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xl/worksheets/sheet1.xml" ContentType="application/vnd.openxmlformats-officedocument.spreadsheetml.worksheet+xml"/>
  <Override PartName="/xl/worksheets/sheet16.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7.xml" ContentType="application/vnd.openxmlformats-officedocument.spreadsheetml.worksheet+xml"/>
  <Override PartName="/xl/worksheets/sheet7.xml" ContentType="application/vnd.openxmlformats-officedocument.spreadsheetml.worksheet+xml"/>
  <Override PartName="/xl/worksheets/sheet18.xml" ContentType="application/vnd.openxmlformats-officedocument.spreadsheetml.worksheet+xml"/>
  <Override PartName="/xl/worksheets/sheet20.xml" ContentType="application/vnd.openxmlformats-officedocument.spreadsheetml.worksheet+xml"/>
  <Override PartName="/xl/drawings/drawing1.xml" ContentType="application/vnd.openxmlformats-officedocument.drawing+xml"/>
  <Override PartName="/xl/worksheets/sheet19.xml" ContentType="application/vnd.openxmlformats-officedocument.spreadsheetml.worksheet+xml"/>
  <Override PartName="/xl/sharedStrings.xml" ContentType="application/vnd.openxmlformats-officedocument.spreadsheetml.sharedStrings+xml"/>
  <Override PartName="/xl/worksheets/sheet6.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worksheets/sheet5.xml" ContentType="application/vnd.openxmlformats-officedocument.spreadsheetml.worksheet+xml"/>
  <Override PartName="/xl/comments3.xml" ContentType="application/vnd.openxmlformats-officedocument.spreadsheetml.comments+xml"/>
  <Override PartName="/xl/externalLinks/externalLink2.xml" ContentType="application/vnd.openxmlformats-officedocument.spreadsheetml.externalLink+xml"/>
  <Override PartName="/docProps/custom.xml" ContentType="application/vnd.openxmlformats-officedocument.custom-properties+xml"/>
  <Override PartName="/xl/externalLinks/externalLink3.xml" ContentType="application/vnd.openxmlformats-officedocument.spreadsheetml.externalLink+xml"/>
  <Override PartName="/docProps/app.xml" ContentType="application/vnd.openxmlformats-officedocument.extended-properties+xml"/>
  <Override PartName="/xl/externalLinks/externalLink1.xml" ContentType="application/vnd.openxmlformats-officedocument.spreadsheetml.externalLink+xml"/>
  <Override PartName="/customXml/itemProps4.xml" ContentType="application/vnd.openxmlformats-officedocument.customXmlProperties+xml"/>
  <Override PartName="/xl/comments5.xml" ContentType="application/vnd.openxmlformats-officedocument.spreadsheetml.comments+xml"/>
  <Override PartName="/xl/comments2.xml" ContentType="application/vnd.openxmlformats-officedocument.spreadsheetml.comments+xml"/>
  <Override PartName="/xl/comments4.xml" ContentType="application/vnd.openxmlformats-officedocument.spreadsheetml.comment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calcChain.xml" ContentType="application/vnd.openxmlformats-officedocument.spreadsheetml.calcChain+xml"/>
  <Override PartName="/xl/comments6.xml" ContentType="application/vnd.openxmlformats-officedocument.spreadsheetml.comments+xml"/>
  <Override PartName="/docProps/core.xml" ContentType="application/vnd.openxmlformats-package.core-properties+xml"/>
  <Override PartName="/customXml/itemProps5.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G:\Nayak Preeta\Illustratives 2018\Charter School\"/>
    </mc:Choice>
  </mc:AlternateContent>
  <bookViews>
    <workbookView xWindow="0" yWindow="0" windowWidth="20490" windowHeight="7620" tabRatio="791"/>
  </bookViews>
  <sheets>
    <sheet name="Instructions" sheetId="16" r:id="rId1"/>
    <sheet name="Conversion Worksheet" sheetId="1" r:id="rId2"/>
    <sheet name="Beginning Capital Assets &amp; LTD" sheetId="24" r:id="rId3"/>
    <sheet name="A. Revenue by Function" sheetId="2" r:id="rId4"/>
    <sheet name="B. Depreciation" sheetId="5" r:id="rId5"/>
    <sheet name="C. Capital Outlay &amp; Donations" sheetId="3" r:id="rId6"/>
    <sheet name="D.  Capital Asset Disposal" sheetId="4" r:id="rId7"/>
    <sheet name="E. Debt Service" sheetId="12" r:id="rId8"/>
    <sheet name="F. Debt Issues" sheetId="13" r:id="rId9"/>
    <sheet name="G.  Other Asset Entries" sheetId="14" r:id="rId10"/>
    <sheet name="H. Other Liabilities &amp; Expenses" sheetId="15" r:id="rId11"/>
    <sheet name="I. Eliminations-Consolidations" sheetId="19" r:id="rId12"/>
    <sheet name="J. GASB 68 TSERS" sheetId="25" r:id="rId13"/>
    <sheet name="Ja. TSERS 2018 Summary" sheetId="36" state="hidden" r:id="rId14"/>
    <sheet name="Jb. TSERS 2017 Summary" sheetId="29" state="hidden" r:id="rId15"/>
    <sheet name="K. GASB 75 RHBF" sheetId="33" r:id="rId16"/>
    <sheet name="Ka. 2018 RHBF Summary" sheetId="32" state="hidden" r:id="rId17"/>
    <sheet name="L. GASB 75 DIPNC" sheetId="34" r:id="rId18"/>
    <sheet name="La. 2018 DIPNC Summary" sheetId="35" state="hidden" r:id="rId19"/>
    <sheet name="Jb. TSERS Data PY" sheetId="27" state="hidden" r:id="rId20"/>
  </sheets>
  <externalReferences>
    <externalReference r:id="rId21"/>
    <externalReference r:id="rId22"/>
    <externalReference r:id="rId23"/>
  </externalReferences>
  <definedNames>
    <definedName name="_xlnm._FilterDatabase" localSheetId="19" hidden="1">'Jb. TSERS Data PY'!$A$2:$U$295</definedName>
    <definedName name="_xlnm._FilterDatabase" localSheetId="16" hidden="1">'Ka. 2018 RHBF Summary'!$A$4:$AD$312</definedName>
    <definedName name="_xlnm._FilterDatabase" localSheetId="18" hidden="1">'La. 2018 DIPNC Summary'!$A$2:$U$297</definedName>
    <definedName name="ActuaryCredentialsGASB">[1]DeveloperInfo!$D$19</definedName>
    <definedName name="ActuaryNameGASB">[1]DeveloperInfo!$D$17</definedName>
    <definedName name="ActuaryTitleGASB">[1]DeveloperInfo!$D$18</definedName>
    <definedName name="AdjCNSDate">[1]DeveloperInfo!$D$33</definedName>
    <definedName name="AdjCNSDate1">[1]DeveloperInfo!$E$33</definedName>
    <definedName name="AdjCNSDateTempEnable">[1]DeveloperInfo!$F$34</definedName>
    <definedName name="AgencyCode" localSheetId="13">#REF!</definedName>
    <definedName name="AgencyCode" localSheetId="14">#REF!</definedName>
    <definedName name="AgencyCode" localSheetId="19">#REF!</definedName>
    <definedName name="AgencyCode" localSheetId="15">#REF!</definedName>
    <definedName name="AgencyCode" localSheetId="16">#REF!</definedName>
    <definedName name="AgencyCode" localSheetId="17">#REF!</definedName>
    <definedName name="AgencyCode" localSheetId="18">#REF!</definedName>
    <definedName name="AgencyCode">#REF!</definedName>
    <definedName name="AnalystGASB">[1]DeveloperInfo!$D$20</definedName>
    <definedName name="Annuity" localSheetId="13">#REF!</definedName>
    <definedName name="Annuity" localSheetId="14">'[2]Assets Input'!$L$37:$L$56</definedName>
    <definedName name="Annuity" localSheetId="19">'[2]Assets Input'!$L$37:$L$56</definedName>
    <definedName name="Annuity" localSheetId="15">#REF!</definedName>
    <definedName name="Annuity" localSheetId="16">#REF!</definedName>
    <definedName name="Annuity" localSheetId="17">#REF!</definedName>
    <definedName name="Annuity" localSheetId="18">#REF!</definedName>
    <definedName name="Annuity">#REF!</definedName>
    <definedName name="AnnuityLY" localSheetId="13">#REF!</definedName>
    <definedName name="AnnuityLY" localSheetId="15">#REF!</definedName>
    <definedName name="AnnuityLY" localSheetId="16">#REF!</definedName>
    <definedName name="AnnuityLY" localSheetId="17">#REF!</definedName>
    <definedName name="AnnuityLY" localSheetId="18">#REF!</definedName>
    <definedName name="AnnuityLY">#REF!</definedName>
    <definedName name="ASTABPF">[1]DeveloperInfo!$D$36</definedName>
    <definedName name="ASTABPF1">[1]DeveloperInfo!$D$37</definedName>
    <definedName name="ASTEBPF">[1]DeveloperInfo!$F$37</definedName>
    <definedName name="ClientCode">[1]DeveloperInfo!$D$25</definedName>
    <definedName name="ClientMatter">[1]DeveloperInfo!$D$26</definedName>
    <definedName name="ClientShortGASB">[1]DeveloperInfo!$D$9</definedName>
    <definedName name="CLPOWERDisc">[1]Adjust!$H$202</definedName>
    <definedName name="CLPOWERDiscMinus1">[1]Adjust!$L$202</definedName>
    <definedName name="CLPOWERDiscPlus1">[1]Adjust!$K$202</definedName>
    <definedName name="CLPOWERExp">[1]Adjust!$G$202</definedName>
    <definedName name="CNSDateDisc">[1]DeveloperInfo!$D$32</definedName>
    <definedName name="CNSDateDisc1">[1]DeveloperInfo!$E$32</definedName>
    <definedName name="ColaRate">[1]DeveloperInfo!$D$40</definedName>
    <definedName name="ColaRate1">[1]DeveloperInfo!$E$40</definedName>
    <definedName name="ConsultantNameGASB">[1]DeveloperInfo!$D$22</definedName>
    <definedName name="ConsultantTitleGASB">[1]DeveloperInfo!$D$23</definedName>
    <definedName name="Disc1DELTACENSUS">[1]Adjust!$G$102</definedName>
    <definedName name="Disc1INTADJBOM">[1]Adjust!$H$200</definedName>
    <definedName name="Disc1INTNDIV12">[1]Adjust!$H$198</definedName>
    <definedName name="Disc1SINTADJBOM">[1]Adjust!$I$200</definedName>
    <definedName name="Disc1SINTNDIV12">[1]Adjust!$I$198</definedName>
    <definedName name="DiscDELTACENSUS">[1]Adjust!$H$102</definedName>
    <definedName name="DiscINTADJBOM">[1]Adjust!$J$200</definedName>
    <definedName name="DiscINTNDIV12">[1]Adjust!$J$198</definedName>
    <definedName name="DiscMinusOneINTADJBOM">[1]Adjust!$L$200</definedName>
    <definedName name="DiscMinusOneINTNDIV12">[1]Adjust!$L$198</definedName>
    <definedName name="DiscPlusOneINTADJBOM">[1]Adjust!$K$200</definedName>
    <definedName name="DiscPlusOneINTNDIV12">[1]Adjust!$K$198</definedName>
    <definedName name="EmployerRates" localSheetId="13">#REF!</definedName>
    <definedName name="EmployerRates" localSheetId="14">#REF!</definedName>
    <definedName name="EmployerRates" localSheetId="19">#REF!</definedName>
    <definedName name="EmployerRates" localSheetId="15">#REF!</definedName>
    <definedName name="EmployerRates" localSheetId="16">#REF!</definedName>
    <definedName name="EmployerRates" localSheetId="17">#REF!</definedName>
    <definedName name="EmployerRates" localSheetId="18">#REF!</definedName>
    <definedName name="EmployerRates">#REF!</definedName>
    <definedName name="EmployerRatesLEO" localSheetId="13">#REF!</definedName>
    <definedName name="EmployerRatesLEO" localSheetId="14">#REF!</definedName>
    <definedName name="EmployerRatesLEO" localSheetId="19">#REF!</definedName>
    <definedName name="EmployerRatesLEO" localSheetId="15">#REF!</definedName>
    <definedName name="EmployerRatesLEO" localSheetId="16">#REF!</definedName>
    <definedName name="EmployerRatesLEO" localSheetId="17">#REF!</definedName>
    <definedName name="EmployerRatesLEO" localSheetId="18">#REF!</definedName>
    <definedName name="EmployerRatesLEO">#REF!</definedName>
    <definedName name="ERData" localSheetId="18">#REF!</definedName>
    <definedName name="ERData">'Ka. 2018 RHBF Summary'!$A$7:$R$310</definedName>
    <definedName name="ERID">[1]ER_NPLExpense!$L$8</definedName>
    <definedName name="ERInfo">[1]ER_Input!$B$16:$Y$319</definedName>
    <definedName name="Exp1INTADJBOM">[1]Adjust!$G$200</definedName>
    <definedName name="Exp1INTNDIV12">[1]Adjust!$G$198</definedName>
    <definedName name="FracYearProj">[1]TOL!$C$22</definedName>
    <definedName name="FundOfficeContactGASB">[1]DeveloperInfo!$D$10</definedName>
    <definedName name="FYrsGASB">[1]DeveloperInfo!$D$54</definedName>
    <definedName name="FYrsGASB1">[1]DeveloperInfo!$E$54</definedName>
    <definedName name="GASBDiscMinusOneINTADJBOM">[1]Adjust!$L$200</definedName>
    <definedName name="GASBDiscMinusOneINTNDIV12">[1]Adjust!$L$198</definedName>
    <definedName name="InflRate">[1]DeveloperInfo!$D$38</definedName>
    <definedName name="InflRate1">[1]DeveloperInfo!$E$38</definedName>
    <definedName name="IntDisc">[1]DeveloperInfo!$F$47</definedName>
    <definedName name="IntDisc1">[1]DeveloperInfo!$D$47</definedName>
    <definedName name="IntDisc1S">[1]DeveloperInfo!$E$47</definedName>
    <definedName name="INTDiscMinusOne">[1]DeveloperInfo!$H$47</definedName>
    <definedName name="INTDiscPlusOne">[1]DeveloperInfo!$G$47</definedName>
    <definedName name="IntExp1">[1]DeveloperInfo!$I$47</definedName>
    <definedName name="InvestmentLoss">[1]ER_Allocation!$P$12</definedName>
    <definedName name="MeasureDate">[1]DeveloperInfo!$D$31</definedName>
    <definedName name="MeasureDate1">[1]DeveloperInfo!$E$31</definedName>
    <definedName name="MeasureDate2">[1]DeveloperInfo!$F$31</definedName>
    <definedName name="N">"N/A"</definedName>
    <definedName name="NDIV12Disc">[1]Adjust!$H$203</definedName>
    <definedName name="NDIV12DiscMinus1">[1]Adjust!$L$203</definedName>
    <definedName name="NDIV12DiscPlus1">[1]Adjust!$K$203</definedName>
    <definedName name="NDIV12Exp">[1]Adjust!$G$203</definedName>
    <definedName name="NumERs">[1]DeveloperInfo!$D$61</definedName>
    <definedName name="OfficeAddr1GASB">[1]DeveloperInfo!$D$11</definedName>
    <definedName name="OfficeAddr2GASB">[1]DeveloperInfo!$D$12</definedName>
    <definedName name="Offices">[1]DeveloperInfo!$K$75:$O$91</definedName>
    <definedName name="Pension" localSheetId="13">#REF!</definedName>
    <definedName name="Pension" localSheetId="14">'[2]Assets Input'!$L$60:$L$95</definedName>
    <definedName name="Pension" localSheetId="19">'[2]Assets Input'!$L$60:$L$95</definedName>
    <definedName name="Pension" localSheetId="15">#REF!</definedName>
    <definedName name="Pension" localSheetId="16">#REF!</definedName>
    <definedName name="Pension" localSheetId="17">#REF!</definedName>
    <definedName name="Pension" localSheetId="18">#REF!</definedName>
    <definedName name="Pension">#REF!</definedName>
    <definedName name="PensionLY" localSheetId="13">#REF!</definedName>
    <definedName name="PensionLY" localSheetId="15">#REF!</definedName>
    <definedName name="PensionLY" localSheetId="16">#REF!</definedName>
    <definedName name="PensionLY" localSheetId="17">#REF!</definedName>
    <definedName name="PensionLY" localSheetId="18">#REF!</definedName>
    <definedName name="PensionLY">#REF!</definedName>
    <definedName name="PlanNameLongGASB">[1]DeveloperInfo!$D$7</definedName>
    <definedName name="PlanNameShortGASB">[1]DeveloperInfo!$D$8</definedName>
    <definedName name="_xlnm.Print_Area" localSheetId="3">'A. Revenue by Function'!$A$1:$P$241</definedName>
    <definedName name="_xlnm.Print_Area" localSheetId="4">'B. Depreciation'!$A$1:$N$79</definedName>
    <definedName name="_xlnm.Print_Area" localSheetId="5">'C. Capital Outlay &amp; Donations'!$A$1:$M$165</definedName>
    <definedName name="_xlnm.Print_Area" localSheetId="1">'Conversion Worksheet'!$A$1:$AS$463</definedName>
    <definedName name="_xlnm.Print_Area" localSheetId="6">'D.  Capital Asset Disposal'!$A$1:$T$231</definedName>
    <definedName name="_xlnm.Print_Area" localSheetId="7">'E. Debt Service'!$A$1:$P$114</definedName>
    <definedName name="_xlnm.Print_Area" localSheetId="8">'F. Debt Issues'!$A$1:$P$43</definedName>
    <definedName name="_xlnm.Print_Area" localSheetId="9">'G.  Other Asset Entries'!$A$1:$O$113</definedName>
    <definedName name="_xlnm.Print_Area" localSheetId="10">'H. Other Liabilities &amp; Expenses'!$A$1:$Q$261</definedName>
    <definedName name="_xlnm.Print_Area" localSheetId="11">'I. Eliminations-Consolidations'!$A$1:$N$333</definedName>
    <definedName name="_xlnm.Print_Area" localSheetId="0">Instructions!$A$1:$K$107</definedName>
    <definedName name="_xlnm.Print_Area" localSheetId="13">'Ja. TSERS 2018 Summary'!$A$2:$U$307</definedName>
    <definedName name="_xlnm.Print_Area" localSheetId="19">'Jb. TSERS Data PY'!$A$1:$U$298</definedName>
    <definedName name="_xlnm.Print_Area" localSheetId="16">'Ka. 2018 RHBF Summary'!$G$2:$AD$312</definedName>
    <definedName name="_xlnm.Print_Area" localSheetId="17">'L. GASB 75 DIPNC'!$B$91:$D$139</definedName>
    <definedName name="_xlnm.Print_Area" localSheetId="18">'La. 2018 DIPNC Summary'!$A$1:$U$312</definedName>
    <definedName name="_xlnm.Print_Titles" localSheetId="3">'A. Revenue by Function'!$1:$3</definedName>
    <definedName name="_xlnm.Print_Titles" localSheetId="2">'Beginning Capital Assets &amp; LTD'!$1:$1</definedName>
    <definedName name="_xlnm.Print_Titles" localSheetId="5">'C. Capital Outlay &amp; Donations'!$1:$2</definedName>
    <definedName name="_xlnm.Print_Titles" localSheetId="1">'Conversion Worksheet'!$1:$5</definedName>
    <definedName name="_xlnm.Print_Titles" localSheetId="6">'D.  Capital Asset Disposal'!$1:$2</definedName>
    <definedName name="_xlnm.Print_Titles" localSheetId="7">'E. Debt Service'!$1:$3</definedName>
    <definedName name="_xlnm.Print_Titles" localSheetId="8">'F. Debt Issues'!$1:$3</definedName>
    <definedName name="_xlnm.Print_Titles" localSheetId="9">'G.  Other Asset Entries'!$1:$3</definedName>
    <definedName name="_xlnm.Print_Titles" localSheetId="10">'H. Other Liabilities &amp; Expenses'!$1:$3</definedName>
    <definedName name="_xlnm.Print_Titles" localSheetId="13">'Ja. TSERS 2018 Summary'!$2:$3</definedName>
    <definedName name="_xlnm.Print_Titles" localSheetId="14">'Jb. TSERS 2017 Summary'!$2:$2</definedName>
    <definedName name="_xlnm.Print_Titles" localSheetId="19">'Jb. TSERS Data PY'!$1:$2</definedName>
    <definedName name="_xlnm.Print_Titles" localSheetId="16">'Ka. 2018 RHBF Summary'!$A:$B,'Ka. 2018 RHBF Summary'!$1:$5</definedName>
    <definedName name="_xlnm.Print_Titles" localSheetId="18">'La. 2018 DIPNC Summary'!$1:$2</definedName>
    <definedName name="ProjDisc?">[1]DeveloperInfo!$D$65</definedName>
    <definedName name="ProValResults" localSheetId="13">#REF!</definedName>
    <definedName name="ProValResults" localSheetId="14">#REF!</definedName>
    <definedName name="ProValResults" localSheetId="19">#REF!</definedName>
    <definedName name="ProValResults" localSheetId="15">#REF!</definedName>
    <definedName name="ProValResults" localSheetId="16">#REF!</definedName>
    <definedName name="ProValResults" localSheetId="17">#REF!</definedName>
    <definedName name="ProValResults" localSheetId="18">#REF!</definedName>
    <definedName name="ProValResults">#REF!</definedName>
    <definedName name="ReportDate67">[1]DeveloperInfo!$D$30</definedName>
    <definedName name="ReportDate671">[1]DeveloperInfo!$E$30</definedName>
    <definedName name="ReportDate68">[1]DeveloperInfo!$D$52</definedName>
    <definedName name="ReportDate681">[1]DeveloperInfo!$E$52</definedName>
    <definedName name="ReviewerGASB">[1]DeveloperInfo!$D$21</definedName>
    <definedName name="Rnd_0">[1]DeveloperInfo!$D$41</definedName>
    <definedName name="RORRate681">[1]DeveloperInfo!$E$53</definedName>
    <definedName name="RORRate682">[1]DeveloperInfo!$F$53</definedName>
    <definedName name="SalRate">[1]DeveloperInfo!$D$39</definedName>
    <definedName name="SalRate1">[1]DeveloperInfo!$E$39</definedName>
    <definedName name="SegalOfficeGASB">[1]DeveloperInfo!$D$24</definedName>
    <definedName name="TableData" localSheetId="13">#REF!</definedName>
    <definedName name="TableData" localSheetId="14">#REF!</definedName>
    <definedName name="TableData" localSheetId="19">#REF!</definedName>
    <definedName name="TableData" localSheetId="15">#REF!</definedName>
    <definedName name="TableData" localSheetId="16">#REF!</definedName>
    <definedName name="TableData" localSheetId="17">#REF!</definedName>
    <definedName name="TableData" localSheetId="18">#REF!</definedName>
    <definedName name="TableData">#REF!</definedName>
    <definedName name="Type" localSheetId="13">#REF!</definedName>
    <definedName name="Type" localSheetId="15">#REF!</definedName>
    <definedName name="Type" localSheetId="16">#REF!</definedName>
    <definedName name="Type" localSheetId="17">#REF!</definedName>
    <definedName name="Type" localSheetId="18">#REF!</definedName>
    <definedName name="Type">#REF!</definedName>
    <definedName name="TypeAnnuity" localSheetId="13">#REF!</definedName>
    <definedName name="TypeAnnuity" localSheetId="14">'[2]Assets Input'!$K$37:$K$56</definedName>
    <definedName name="TypeAnnuity" localSheetId="19">'[2]Assets Input'!$K$37:$K$56</definedName>
    <definedName name="TypeAnnuity" localSheetId="15">#REF!</definedName>
    <definedName name="TypeAnnuity" localSheetId="16">#REF!</definedName>
    <definedName name="TypeAnnuity" localSheetId="17">#REF!</definedName>
    <definedName name="TypeAnnuity" localSheetId="18">#REF!</definedName>
    <definedName name="TypeAnnuity">#REF!</definedName>
    <definedName name="TypePension" localSheetId="13">#REF!</definedName>
    <definedName name="TypePension" localSheetId="14">'[2]Assets Input'!$K$60:$K$95</definedName>
    <definedName name="TypePension" localSheetId="19">'[2]Assets Input'!$K$60:$K$95</definedName>
    <definedName name="TypePension" localSheetId="15">#REF!</definedName>
    <definedName name="TypePension" localSheetId="16">#REF!</definedName>
    <definedName name="TypePension" localSheetId="17">#REF!</definedName>
    <definedName name="TypePension" localSheetId="18">#REF!</definedName>
    <definedName name="TypePension">#REF!</definedName>
    <definedName name="UnfundedData" localSheetId="13">#REF!</definedName>
    <definedName name="UnfundedData" localSheetId="14">#REF!</definedName>
    <definedName name="UnfundedData" localSheetId="19">#REF!</definedName>
    <definedName name="UnfundedData" localSheetId="15">#REF!</definedName>
    <definedName name="UnfundedData" localSheetId="16">#REF!</definedName>
    <definedName name="UnfundedData" localSheetId="17">#REF!</definedName>
    <definedName name="UnfundedData" localSheetId="18">#REF!</definedName>
    <definedName name="UnfundedData">#REF!</definedName>
    <definedName name="UnfundedLY" localSheetId="13">#REF!</definedName>
    <definedName name="UnfundedLY" localSheetId="14">#REF!</definedName>
    <definedName name="UnfundedLY" localSheetId="19">#REF!</definedName>
    <definedName name="UnfundedLY" localSheetId="15">#REF!</definedName>
    <definedName name="UnfundedLY" localSheetId="16">#REF!</definedName>
    <definedName name="UnfundedLY" localSheetId="17">#REF!</definedName>
    <definedName name="UnfundedLY" localSheetId="18">#REF!</definedName>
    <definedName name="UnfundedLY">#REF!</definedName>
    <definedName name="UnfunedLYLEO" localSheetId="13">#REF!</definedName>
    <definedName name="UnfunedLYLEO" localSheetId="14">#REF!</definedName>
    <definedName name="UnfunedLYLEO" localSheetId="19">#REF!</definedName>
    <definedName name="UnfunedLYLEO" localSheetId="15">#REF!</definedName>
    <definedName name="UnfunedLYLEO" localSheetId="16">#REF!</definedName>
    <definedName name="UnfunedLYLEO" localSheetId="17">#REF!</definedName>
    <definedName name="UnfunedLYLEO" localSheetId="18">#REF!</definedName>
    <definedName name="UnfunedLYLEO">#REF!</definedName>
    <definedName name="VersionGASB">[1]DeveloperInfo!$D$4</definedName>
  </definedNames>
  <calcPr calcId="162913" fullPrecision="0"/>
</workbook>
</file>

<file path=xl/calcChain.xml><?xml version="1.0" encoding="utf-8"?>
<calcChain xmlns="http://schemas.openxmlformats.org/spreadsheetml/2006/main">
  <c r="AG316" i="1" l="1"/>
  <c r="C70" i="25"/>
  <c r="N110" i="12" l="1"/>
  <c r="C15" i="25" l="1"/>
  <c r="L330" i="19" l="1"/>
  <c r="AK149" i="1" s="1"/>
  <c r="AJ149" i="1"/>
  <c r="U149" i="1"/>
  <c r="W149" i="1" s="1"/>
  <c r="AN149" i="1" s="1"/>
  <c r="V149" i="1"/>
  <c r="X149" i="1" s="1"/>
  <c r="U298" i="35"/>
  <c r="L298" i="35"/>
  <c r="J298" i="35"/>
  <c r="I298" i="35"/>
  <c r="G298" i="35"/>
  <c r="F298" i="35"/>
  <c r="E298" i="35"/>
  <c r="AO149" i="1" l="1"/>
  <c r="AR149" i="1" s="1"/>
  <c r="C15" i="34"/>
  <c r="AS149" i="1" l="1"/>
  <c r="U26" i="25"/>
  <c r="V26" i="25"/>
  <c r="T26" i="25"/>
  <c r="R26" i="25"/>
  <c r="Q26" i="25"/>
  <c r="P26" i="25"/>
  <c r="O26" i="25"/>
  <c r="K26" i="25"/>
  <c r="L26" i="25"/>
  <c r="M26" i="25"/>
  <c r="J26" i="25"/>
  <c r="H26" i="25"/>
  <c r="G26" i="25"/>
  <c r="G5" i="36"/>
  <c r="G6" i="36"/>
  <c r="G7" i="36"/>
  <c r="G8" i="36"/>
  <c r="G9" i="36"/>
  <c r="G10" i="36"/>
  <c r="G11" i="36"/>
  <c r="G12" i="36"/>
  <c r="G13" i="36"/>
  <c r="G14" i="36"/>
  <c r="G15" i="36"/>
  <c r="G16" i="36"/>
  <c r="G17" i="36"/>
  <c r="G18" i="36"/>
  <c r="G19" i="36"/>
  <c r="G20" i="36"/>
  <c r="G21" i="36"/>
  <c r="G22" i="36"/>
  <c r="G24" i="36"/>
  <c r="G25" i="36"/>
  <c r="G26" i="36"/>
  <c r="G27" i="36"/>
  <c r="G28" i="36"/>
  <c r="G29" i="36"/>
  <c r="G31" i="36"/>
  <c r="G33" i="36"/>
  <c r="G34" i="36"/>
  <c r="G35" i="36"/>
  <c r="G37" i="36"/>
  <c r="G38" i="36"/>
  <c r="G39" i="36"/>
  <c r="G40" i="36"/>
  <c r="G41" i="36"/>
  <c r="G42" i="36"/>
  <c r="G43" i="36"/>
  <c r="G44" i="36"/>
  <c r="G45" i="36"/>
  <c r="G46" i="36"/>
  <c r="G47" i="36"/>
  <c r="G48" i="36"/>
  <c r="G49" i="36"/>
  <c r="G50" i="36"/>
  <c r="G51" i="36"/>
  <c r="G52" i="36"/>
  <c r="G53" i="36"/>
  <c r="G55" i="36"/>
  <c r="G56" i="36"/>
  <c r="G57" i="36"/>
  <c r="G58" i="36"/>
  <c r="G59" i="36"/>
  <c r="G60" i="36"/>
  <c r="G61" i="36"/>
  <c r="G62" i="36"/>
  <c r="G63" i="36"/>
  <c r="G64" i="36"/>
  <c r="G65" i="36"/>
  <c r="G66" i="36"/>
  <c r="G67" i="36"/>
  <c r="G68" i="36"/>
  <c r="G69" i="36"/>
  <c r="G70" i="36"/>
  <c r="G71" i="36"/>
  <c r="G72" i="36"/>
  <c r="G73" i="36"/>
  <c r="G74" i="36"/>
  <c r="G75" i="36"/>
  <c r="G76" i="36"/>
  <c r="G77" i="36"/>
  <c r="G78" i="36"/>
  <c r="G79" i="36"/>
  <c r="G80" i="36"/>
  <c r="G81" i="36"/>
  <c r="G82" i="36"/>
  <c r="G83" i="36"/>
  <c r="G84" i="36"/>
  <c r="G85" i="36"/>
  <c r="G86" i="36"/>
  <c r="G87" i="36"/>
  <c r="G88" i="36"/>
  <c r="G89" i="36"/>
  <c r="G90" i="36"/>
  <c r="G91" i="36"/>
  <c r="G92" i="36"/>
  <c r="G93" i="36"/>
  <c r="G94" i="36"/>
  <c r="G95" i="36"/>
  <c r="G96" i="36"/>
  <c r="G98" i="36"/>
  <c r="G99" i="36"/>
  <c r="G100" i="36"/>
  <c r="G101" i="36"/>
  <c r="G102" i="36"/>
  <c r="G103" i="36"/>
  <c r="G104" i="36"/>
  <c r="G105" i="36"/>
  <c r="G106" i="36"/>
  <c r="G107" i="36"/>
  <c r="G108" i="36"/>
  <c r="G109" i="36"/>
  <c r="G110" i="36"/>
  <c r="G111" i="36"/>
  <c r="G112" i="36"/>
  <c r="G113" i="36"/>
  <c r="G115" i="36"/>
  <c r="G116" i="36"/>
  <c r="G117" i="36"/>
  <c r="G118" i="36"/>
  <c r="G119" i="36"/>
  <c r="G120" i="36"/>
  <c r="G121" i="36"/>
  <c r="G122" i="36"/>
  <c r="G123" i="36"/>
  <c r="G124" i="36"/>
  <c r="G125" i="36"/>
  <c r="G126" i="36"/>
  <c r="G127" i="36"/>
  <c r="G128" i="36"/>
  <c r="G129" i="36"/>
  <c r="G130" i="36"/>
  <c r="G131" i="36"/>
  <c r="G132" i="36"/>
  <c r="G133" i="36"/>
  <c r="G134" i="36"/>
  <c r="G135" i="36"/>
  <c r="G136" i="36"/>
  <c r="G137" i="36"/>
  <c r="G138" i="36"/>
  <c r="G139" i="36"/>
  <c r="G140" i="36"/>
  <c r="G141" i="36"/>
  <c r="G142" i="36"/>
  <c r="G143" i="36"/>
  <c r="G145" i="36"/>
  <c r="G146" i="36"/>
  <c r="G147" i="36"/>
  <c r="G148" i="36"/>
  <c r="G149" i="36"/>
  <c r="G150" i="36"/>
  <c r="G151" i="36"/>
  <c r="G152" i="36"/>
  <c r="G153" i="36"/>
  <c r="G154" i="36"/>
  <c r="G155" i="36"/>
  <c r="G156" i="36"/>
  <c r="G157" i="36"/>
  <c r="G158" i="36"/>
  <c r="G159" i="36"/>
  <c r="G160" i="36"/>
  <c r="G161" i="36"/>
  <c r="G162" i="36"/>
  <c r="G163" i="36"/>
  <c r="G164" i="36"/>
  <c r="G165" i="36"/>
  <c r="G166" i="36"/>
  <c r="G167" i="36"/>
  <c r="G168" i="36"/>
  <c r="G169" i="36"/>
  <c r="G170" i="36"/>
  <c r="G171" i="36"/>
  <c r="G172" i="36"/>
  <c r="G173" i="36"/>
  <c r="G174" i="36"/>
  <c r="G175" i="36"/>
  <c r="G176" i="36"/>
  <c r="G177" i="36"/>
  <c r="G178" i="36"/>
  <c r="G179" i="36"/>
  <c r="G180" i="36"/>
  <c r="G181" i="36"/>
  <c r="G182" i="36"/>
  <c r="G183" i="36"/>
  <c r="G184" i="36"/>
  <c r="G186" i="36"/>
  <c r="G187" i="36"/>
  <c r="G188" i="36"/>
  <c r="G189" i="36"/>
  <c r="G190" i="36"/>
  <c r="G191" i="36"/>
  <c r="G192" i="36"/>
  <c r="G193" i="36"/>
  <c r="G194" i="36"/>
  <c r="G195" i="36"/>
  <c r="G197" i="36"/>
  <c r="G198" i="36"/>
  <c r="G199" i="36"/>
  <c r="G200" i="36"/>
  <c r="G201" i="36"/>
  <c r="G202" i="36"/>
  <c r="G203" i="36"/>
  <c r="G204" i="36"/>
  <c r="G205" i="36"/>
  <c r="G206" i="36"/>
  <c r="G207" i="36"/>
  <c r="G208" i="36"/>
  <c r="G209" i="36"/>
  <c r="G210" i="36"/>
  <c r="G211" i="36"/>
  <c r="G212" i="36"/>
  <c r="G213" i="36"/>
  <c r="G214" i="36"/>
  <c r="G215" i="36"/>
  <c r="G216" i="36"/>
  <c r="G217" i="36"/>
  <c r="G218" i="36"/>
  <c r="G219" i="36"/>
  <c r="G220" i="36"/>
  <c r="G221" i="36"/>
  <c r="G222" i="36"/>
  <c r="G223" i="36"/>
  <c r="G224" i="36"/>
  <c r="G225" i="36"/>
  <c r="G227" i="36"/>
  <c r="G228" i="36"/>
  <c r="G229" i="36"/>
  <c r="G230" i="36"/>
  <c r="G231" i="36"/>
  <c r="G232" i="36"/>
  <c r="G233" i="36"/>
  <c r="G234" i="36"/>
  <c r="G235" i="36"/>
  <c r="G236" i="36"/>
  <c r="G237" i="36"/>
  <c r="G238" i="36"/>
  <c r="G239" i="36"/>
  <c r="G240" i="36"/>
  <c r="G241" i="36"/>
  <c r="G242" i="36"/>
  <c r="G243" i="36"/>
  <c r="G244" i="36"/>
  <c r="G245" i="36"/>
  <c r="G246" i="36"/>
  <c r="G247" i="36"/>
  <c r="G248" i="36"/>
  <c r="G249" i="36"/>
  <c r="G250" i="36"/>
  <c r="G251" i="36"/>
  <c r="G252" i="36"/>
  <c r="G253" i="36"/>
  <c r="G254" i="36"/>
  <c r="G255" i="36"/>
  <c r="G256" i="36"/>
  <c r="G257" i="36"/>
  <c r="G258" i="36"/>
  <c r="G259" i="36"/>
  <c r="G260" i="36"/>
  <c r="G261" i="36"/>
  <c r="G262" i="36"/>
  <c r="G263" i="36"/>
  <c r="G264" i="36"/>
  <c r="G265" i="36"/>
  <c r="G266" i="36"/>
  <c r="G267" i="36"/>
  <c r="G268" i="36"/>
  <c r="G269" i="36"/>
  <c r="G270" i="36"/>
  <c r="G271" i="36"/>
  <c r="G272" i="36"/>
  <c r="G273" i="36"/>
  <c r="G274" i="36"/>
  <c r="G275" i="36"/>
  <c r="G276" i="36"/>
  <c r="G277" i="36"/>
  <c r="G278" i="36"/>
  <c r="G279" i="36"/>
  <c r="G280" i="36"/>
  <c r="G281" i="36"/>
  <c r="G282" i="36"/>
  <c r="G283" i="36"/>
  <c r="G284" i="36"/>
  <c r="G285" i="36"/>
  <c r="G286" i="36"/>
  <c r="G287" i="36"/>
  <c r="G288" i="36"/>
  <c r="G289" i="36"/>
  <c r="G290" i="36"/>
  <c r="G291" i="36"/>
  <c r="G292" i="36"/>
  <c r="G293" i="36"/>
  <c r="G294" i="36"/>
  <c r="G295" i="36"/>
  <c r="G296" i="36"/>
  <c r="G297" i="36"/>
  <c r="G298" i="36"/>
  <c r="G299" i="36"/>
  <c r="G300" i="36"/>
  <c r="G301" i="36"/>
  <c r="G302" i="36"/>
  <c r="G4" i="36"/>
  <c r="G307" i="36" l="1"/>
  <c r="F26" i="25" s="1"/>
  <c r="C71" i="34"/>
  <c r="C72" i="34"/>
  <c r="C71" i="33"/>
  <c r="D174" i="33" s="1"/>
  <c r="E174" i="33" s="1"/>
  <c r="C72" i="33"/>
  <c r="D175" i="33" s="1"/>
  <c r="E175" i="33" s="1"/>
  <c r="G174" i="33" l="1"/>
  <c r="H174" i="33"/>
  <c r="H175" i="33"/>
  <c r="G175" i="33"/>
  <c r="C66" i="34"/>
  <c r="C120" i="33" l="1"/>
  <c r="C73" i="33"/>
  <c r="D176" i="33" s="1"/>
  <c r="E176" i="33" s="1"/>
  <c r="C74" i="33"/>
  <c r="D177" i="33" s="1"/>
  <c r="E177" i="33" s="1"/>
  <c r="K26" i="33"/>
  <c r="L26" i="33"/>
  <c r="J26" i="33"/>
  <c r="G176" i="33" l="1"/>
  <c r="H176" i="33"/>
  <c r="D122" i="33" s="1"/>
  <c r="AG284" i="1" s="1"/>
  <c r="G177" i="33"/>
  <c r="H177" i="33"/>
  <c r="C121" i="33"/>
  <c r="D120" i="33"/>
  <c r="AG268" i="1" s="1"/>
  <c r="V26" i="34"/>
  <c r="U26" i="34"/>
  <c r="T26" i="34"/>
  <c r="R26" i="34"/>
  <c r="Q26" i="34"/>
  <c r="P26" i="34"/>
  <c r="O26" i="34"/>
  <c r="M26" i="34"/>
  <c r="L26" i="34"/>
  <c r="K26" i="34"/>
  <c r="J26" i="34"/>
  <c r="H26" i="34"/>
  <c r="G26" i="34"/>
  <c r="F26" i="34"/>
  <c r="E312" i="32"/>
  <c r="F26" i="33" s="1"/>
  <c r="C122" i="33" l="1"/>
  <c r="D121" i="33"/>
  <c r="AG276" i="1" s="1"/>
  <c r="B174" i="34"/>
  <c r="C87" i="34"/>
  <c r="C86" i="34"/>
  <c r="C85" i="34"/>
  <c r="C84" i="34"/>
  <c r="C83" i="34"/>
  <c r="C82" i="34"/>
  <c r="C81" i="34"/>
  <c r="C80" i="34"/>
  <c r="C79" i="34"/>
  <c r="C78" i="34"/>
  <c r="C77" i="34"/>
  <c r="C76" i="34"/>
  <c r="C75" i="34"/>
  <c r="C74" i="34"/>
  <c r="C73" i="34"/>
  <c r="D150" i="34"/>
  <c r="D167" i="34"/>
  <c r="C67" i="34"/>
  <c r="E55" i="34"/>
  <c r="D54" i="34"/>
  <c r="G31" i="34"/>
  <c r="B29" i="34"/>
  <c r="B24" i="34"/>
  <c r="A24" i="34"/>
  <c r="L24" i="34" l="1"/>
  <c r="D48" i="34" s="1"/>
  <c r="K24" i="34"/>
  <c r="J24" i="34"/>
  <c r="D46" i="34" s="1"/>
  <c r="M24" i="34"/>
  <c r="D49" i="34" s="1"/>
  <c r="H24" i="34"/>
  <c r="G24" i="34"/>
  <c r="D176" i="34"/>
  <c r="E176" i="34" s="1"/>
  <c r="D175" i="34"/>
  <c r="E175" i="34" s="1"/>
  <c r="D163" i="34"/>
  <c r="D189" i="34"/>
  <c r="E189" i="34" s="1"/>
  <c r="D190" i="34"/>
  <c r="E190" i="34" s="1"/>
  <c r="D165" i="34"/>
  <c r="D191" i="34"/>
  <c r="E191" i="34" s="1"/>
  <c r="D158" i="34"/>
  <c r="D184" i="34"/>
  <c r="E184" i="34" s="1"/>
  <c r="D151" i="34"/>
  <c r="D177" i="34"/>
  <c r="E177" i="34" s="1"/>
  <c r="D159" i="34"/>
  <c r="D185" i="34"/>
  <c r="E185" i="34" s="1"/>
  <c r="D180" i="34"/>
  <c r="E180" i="34" s="1"/>
  <c r="D188" i="34"/>
  <c r="E188" i="34" s="1"/>
  <c r="D155" i="34"/>
  <c r="D181" i="34"/>
  <c r="E181" i="34" s="1"/>
  <c r="D156" i="34"/>
  <c r="D182" i="34"/>
  <c r="E182" i="34" s="1"/>
  <c r="D183" i="34"/>
  <c r="E183" i="34" s="1"/>
  <c r="D152" i="34"/>
  <c r="D178" i="34"/>
  <c r="E178" i="34" s="1"/>
  <c r="D160" i="34"/>
  <c r="D186" i="34"/>
  <c r="E186" i="34" s="1"/>
  <c r="D153" i="34"/>
  <c r="D179" i="34"/>
  <c r="E179" i="34" s="1"/>
  <c r="D161" i="34"/>
  <c r="D187" i="34"/>
  <c r="E187" i="34" s="1"/>
  <c r="Q24" i="34"/>
  <c r="E52" i="34" s="1"/>
  <c r="C24" i="34"/>
  <c r="P24" i="34"/>
  <c r="F24" i="34"/>
  <c r="O24" i="34"/>
  <c r="E50" i="34" s="1"/>
  <c r="D24" i="34"/>
  <c r="T24" i="34"/>
  <c r="U24" i="34"/>
  <c r="V24" i="34"/>
  <c r="D37" i="34" s="1"/>
  <c r="C149" i="34" s="1"/>
  <c r="R24" i="34"/>
  <c r="E53" i="34" s="1"/>
  <c r="C68" i="34"/>
  <c r="D68" i="34" s="1"/>
  <c r="D154" i="34"/>
  <c r="D162" i="34"/>
  <c r="D164" i="34"/>
  <c r="A29" i="34"/>
  <c r="D149" i="34"/>
  <c r="D157" i="34"/>
  <c r="C88" i="34"/>
  <c r="AO65" i="1"/>
  <c r="AO284" i="1"/>
  <c r="AO276" i="1"/>
  <c r="AO268" i="1"/>
  <c r="AN103" i="1"/>
  <c r="C148" i="34" l="1"/>
  <c r="C168" i="34"/>
  <c r="H175" i="34"/>
  <c r="D120" i="34" s="1"/>
  <c r="G175" i="34"/>
  <c r="C120" i="34" s="1"/>
  <c r="H176" i="34"/>
  <c r="D121" i="34" s="1"/>
  <c r="AG277" i="1" s="1"/>
  <c r="AO277" i="1" s="1"/>
  <c r="G176" i="34"/>
  <c r="C121" i="34" s="1"/>
  <c r="H178" i="34"/>
  <c r="D123" i="34" s="1"/>
  <c r="AG293" i="1" s="1"/>
  <c r="AO293" i="1" s="1"/>
  <c r="G178" i="34"/>
  <c r="C123" i="34" s="1"/>
  <c r="G180" i="34"/>
  <c r="C125" i="34" s="1"/>
  <c r="H180" i="34"/>
  <c r="D125" i="34" s="1"/>
  <c r="AG309" i="1" s="1"/>
  <c r="AO309" i="1" s="1"/>
  <c r="H186" i="34"/>
  <c r="D131" i="34" s="1"/>
  <c r="AG357" i="1" s="1"/>
  <c r="AO357" i="1" s="1"/>
  <c r="G186" i="34"/>
  <c r="C131" i="34" s="1"/>
  <c r="G188" i="34"/>
  <c r="C133" i="34" s="1"/>
  <c r="H188" i="34"/>
  <c r="D133" i="34" s="1"/>
  <c r="AG373" i="1" s="1"/>
  <c r="AO373" i="1" s="1"/>
  <c r="G191" i="34"/>
  <c r="C136" i="34" s="1"/>
  <c r="H191" i="34"/>
  <c r="D136" i="34" s="1"/>
  <c r="AG397" i="1" s="1"/>
  <c r="AO397" i="1" s="1"/>
  <c r="H190" i="34"/>
  <c r="D135" i="34" s="1"/>
  <c r="AG389" i="1" s="1"/>
  <c r="AO389" i="1" s="1"/>
  <c r="G190" i="34"/>
  <c r="C135" i="34" s="1"/>
  <c r="G183" i="34"/>
  <c r="C128" i="34" s="1"/>
  <c r="H183" i="34"/>
  <c r="D128" i="34" s="1"/>
  <c r="AG333" i="1" s="1"/>
  <c r="AO333" i="1" s="1"/>
  <c r="G179" i="34"/>
  <c r="C124" i="34" s="1"/>
  <c r="H179" i="34"/>
  <c r="D124" i="34" s="1"/>
  <c r="AG301" i="1" s="1"/>
  <c r="AO301" i="1" s="1"/>
  <c r="G185" i="34"/>
  <c r="C130" i="34" s="1"/>
  <c r="H185" i="34"/>
  <c r="D130" i="34" s="1"/>
  <c r="AG349" i="1" s="1"/>
  <c r="AO349" i="1" s="1"/>
  <c r="G187" i="34"/>
  <c r="C132" i="34" s="1"/>
  <c r="H187" i="34"/>
  <c r="D132" i="34" s="1"/>
  <c r="AG365" i="1" s="1"/>
  <c r="AO365" i="1" s="1"/>
  <c r="G189" i="34"/>
  <c r="C134" i="34" s="1"/>
  <c r="H189" i="34"/>
  <c r="D134" i="34" s="1"/>
  <c r="AG381" i="1" s="1"/>
  <c r="AO381" i="1" s="1"/>
  <c r="H182" i="34"/>
  <c r="D127" i="34" s="1"/>
  <c r="AG325" i="1" s="1"/>
  <c r="AO325" i="1" s="1"/>
  <c r="G182" i="34"/>
  <c r="C127" i="34" s="1"/>
  <c r="G177" i="34"/>
  <c r="C122" i="34" s="1"/>
  <c r="H177" i="34"/>
  <c r="D122" i="34" s="1"/>
  <c r="AG285" i="1" s="1"/>
  <c r="AO285" i="1" s="1"/>
  <c r="C147" i="34"/>
  <c r="D147" i="34"/>
  <c r="G181" i="34"/>
  <c r="C126" i="34" s="1"/>
  <c r="H181" i="34"/>
  <c r="D126" i="34" s="1"/>
  <c r="AG317" i="1" s="1"/>
  <c r="AO317" i="1" s="1"/>
  <c r="G184" i="34"/>
  <c r="C129" i="34" s="1"/>
  <c r="H184" i="34"/>
  <c r="D129" i="34" s="1"/>
  <c r="AG341" i="1" s="1"/>
  <c r="AO341" i="1" s="1"/>
  <c r="C165" i="34"/>
  <c r="E165" i="34" s="1"/>
  <c r="H165" i="34" s="1"/>
  <c r="D110" i="34" s="1"/>
  <c r="D174" i="34"/>
  <c r="C174" i="34"/>
  <c r="D47" i="34"/>
  <c r="E24" i="34"/>
  <c r="E36" i="34"/>
  <c r="D148" i="34" s="1"/>
  <c r="D36" i="34"/>
  <c r="D88" i="34"/>
  <c r="D173" i="34"/>
  <c r="D169" i="34"/>
  <c r="D168" i="34"/>
  <c r="C173" i="34"/>
  <c r="C169" i="34"/>
  <c r="D172" i="34"/>
  <c r="C172" i="34"/>
  <c r="D166" i="34"/>
  <c r="C171" i="34"/>
  <c r="C166" i="34"/>
  <c r="D170" i="34"/>
  <c r="C170" i="34"/>
  <c r="D35" i="34"/>
  <c r="E35" i="34"/>
  <c r="V29" i="34"/>
  <c r="L29" i="34"/>
  <c r="C29" i="34"/>
  <c r="T29" i="34"/>
  <c r="J29" i="34"/>
  <c r="U29" i="34"/>
  <c r="K29" i="34"/>
  <c r="R29" i="34"/>
  <c r="H29" i="34"/>
  <c r="P29" i="34"/>
  <c r="F29" i="34"/>
  <c r="O29" i="34"/>
  <c r="M29" i="34"/>
  <c r="D29" i="34"/>
  <c r="Q29" i="34"/>
  <c r="E51" i="34"/>
  <c r="E168" i="34" l="1"/>
  <c r="H168" i="34" s="1"/>
  <c r="D113" i="34" s="1"/>
  <c r="AG269" i="1"/>
  <c r="AO269" i="1" s="1"/>
  <c r="C151" i="34"/>
  <c r="E151" i="34" s="1"/>
  <c r="H151" i="34" s="1"/>
  <c r="D96" i="34" s="1"/>
  <c r="C153" i="34"/>
  <c r="E153" i="34" s="1"/>
  <c r="G153" i="34" s="1"/>
  <c r="C98" i="34" s="1"/>
  <c r="AD301" i="1" s="1"/>
  <c r="AN301" i="1" s="1"/>
  <c r="C150" i="34"/>
  <c r="E150" i="34" s="1"/>
  <c r="H150" i="34" s="1"/>
  <c r="D95" i="34" s="1"/>
  <c r="C159" i="34"/>
  <c r="E159" i="34" s="1"/>
  <c r="H159" i="34" s="1"/>
  <c r="D104" i="34" s="1"/>
  <c r="C162" i="34"/>
  <c r="E162" i="34" s="1"/>
  <c r="H162" i="34" s="1"/>
  <c r="D107" i="34" s="1"/>
  <c r="C160" i="34"/>
  <c r="E160" i="34" s="1"/>
  <c r="G160" i="34" s="1"/>
  <c r="C105" i="34" s="1"/>
  <c r="AD357" i="1" s="1"/>
  <c r="AN357" i="1" s="1"/>
  <c r="C156" i="34"/>
  <c r="E156" i="34" s="1"/>
  <c r="H156" i="34" s="1"/>
  <c r="D101" i="34" s="1"/>
  <c r="C161" i="34"/>
  <c r="E161" i="34" s="1"/>
  <c r="G161" i="34" s="1"/>
  <c r="C106" i="34" s="1"/>
  <c r="AD365" i="1" s="1"/>
  <c r="AN365" i="1" s="1"/>
  <c r="C154" i="34"/>
  <c r="E154" i="34" s="1"/>
  <c r="G154" i="34" s="1"/>
  <c r="C99" i="34" s="1"/>
  <c r="AD309" i="1" s="1"/>
  <c r="AN309" i="1" s="1"/>
  <c r="C155" i="34"/>
  <c r="E155" i="34" s="1"/>
  <c r="G155" i="34" s="1"/>
  <c r="C100" i="34" s="1"/>
  <c r="AD317" i="1" s="1"/>
  <c r="AN317" i="1" s="1"/>
  <c r="C164" i="34"/>
  <c r="E164" i="34" s="1"/>
  <c r="H164" i="34" s="1"/>
  <c r="D109" i="34" s="1"/>
  <c r="C157" i="34"/>
  <c r="E157" i="34" s="1"/>
  <c r="H157" i="34" s="1"/>
  <c r="D102" i="34" s="1"/>
  <c r="C152" i="34"/>
  <c r="E152" i="34" s="1"/>
  <c r="H152" i="34" s="1"/>
  <c r="D97" i="34" s="1"/>
  <c r="E149" i="34"/>
  <c r="C163" i="34"/>
  <c r="E163" i="34" s="1"/>
  <c r="H163" i="34" s="1"/>
  <c r="D108" i="34" s="1"/>
  <c r="C158" i="34"/>
  <c r="E158" i="34" s="1"/>
  <c r="G158" i="34" s="1"/>
  <c r="C103" i="34" s="1"/>
  <c r="AD341" i="1" s="1"/>
  <c r="AN341" i="1" s="1"/>
  <c r="C167" i="34"/>
  <c r="E167" i="34" s="1"/>
  <c r="E174" i="34"/>
  <c r="H174" i="34" s="1"/>
  <c r="D119" i="34" s="1"/>
  <c r="E169" i="34"/>
  <c r="G169" i="34" s="1"/>
  <c r="C114" i="34" s="1"/>
  <c r="E172" i="34"/>
  <c r="G172" i="34" s="1"/>
  <c r="C117" i="34" s="1"/>
  <c r="E166" i="34"/>
  <c r="G166" i="34" s="1"/>
  <c r="C111" i="34" s="1"/>
  <c r="E170" i="34"/>
  <c r="H170" i="34" s="1"/>
  <c r="D115" i="34" s="1"/>
  <c r="E173" i="34"/>
  <c r="H173" i="34" s="1"/>
  <c r="D118" i="34" s="1"/>
  <c r="E148" i="34"/>
  <c r="H148" i="34" s="1"/>
  <c r="D93" i="34" s="1"/>
  <c r="D58" i="34"/>
  <c r="D171" i="34"/>
  <c r="D192" i="34" s="1"/>
  <c r="G165" i="34"/>
  <c r="C110" i="34" s="1"/>
  <c r="AD397" i="1" s="1"/>
  <c r="AN397" i="1" s="1"/>
  <c r="E29" i="34"/>
  <c r="E58" i="34"/>
  <c r="K33" i="34"/>
  <c r="E147" i="34"/>
  <c r="C75" i="33"/>
  <c r="D178" i="33" s="1"/>
  <c r="E178" i="33" s="1"/>
  <c r="C76" i="33"/>
  <c r="D179" i="33" s="1"/>
  <c r="E179" i="33" s="1"/>
  <c r="G178" i="33" l="1"/>
  <c r="H178" i="33"/>
  <c r="D124" i="33" s="1"/>
  <c r="AG300" i="1" s="1"/>
  <c r="AO300" i="1" s="1"/>
  <c r="G179" i="33"/>
  <c r="C125" i="33" s="1"/>
  <c r="H179" i="33"/>
  <c r="D125" i="33" s="1"/>
  <c r="AG308" i="1" s="1"/>
  <c r="AO308" i="1" s="1"/>
  <c r="G168" i="34"/>
  <c r="C113" i="34" s="1"/>
  <c r="G151" i="34"/>
  <c r="C96" i="34" s="1"/>
  <c r="AD285" i="1" s="1"/>
  <c r="AN285" i="1" s="1"/>
  <c r="G157" i="34"/>
  <c r="C102" i="34" s="1"/>
  <c r="AD333" i="1" s="1"/>
  <c r="AN333" i="1" s="1"/>
  <c r="G159" i="34"/>
  <c r="C104" i="34" s="1"/>
  <c r="AD349" i="1" s="1"/>
  <c r="AN349" i="1" s="1"/>
  <c r="G162" i="34"/>
  <c r="C107" i="34" s="1"/>
  <c r="AD373" i="1" s="1"/>
  <c r="AN373" i="1" s="1"/>
  <c r="G150" i="34"/>
  <c r="C95" i="34" s="1"/>
  <c r="AD277" i="1" s="1"/>
  <c r="AN277" i="1" s="1"/>
  <c r="G164" i="34"/>
  <c r="C109" i="34" s="1"/>
  <c r="AD389" i="1" s="1"/>
  <c r="AN389" i="1" s="1"/>
  <c r="G152" i="34"/>
  <c r="C97" i="34" s="1"/>
  <c r="AD293" i="1" s="1"/>
  <c r="AN293" i="1" s="1"/>
  <c r="H154" i="34"/>
  <c r="D99" i="34" s="1"/>
  <c r="G174" i="34"/>
  <c r="C119" i="34" s="1"/>
  <c r="H153" i="34"/>
  <c r="D98" i="34" s="1"/>
  <c r="G156" i="34"/>
  <c r="C101" i="34" s="1"/>
  <c r="AD325" i="1" s="1"/>
  <c r="AN325" i="1" s="1"/>
  <c r="H160" i="34"/>
  <c r="D105" i="34" s="1"/>
  <c r="H155" i="34"/>
  <c r="D100" i="34" s="1"/>
  <c r="C192" i="34"/>
  <c r="G163" i="34"/>
  <c r="C108" i="34" s="1"/>
  <c r="AD381" i="1" s="1"/>
  <c r="AN381" i="1" s="1"/>
  <c r="H161" i="34"/>
  <c r="D106" i="34" s="1"/>
  <c r="H158" i="34"/>
  <c r="D103" i="34" s="1"/>
  <c r="H167" i="34"/>
  <c r="D112" i="34" s="1"/>
  <c r="G167" i="34"/>
  <c r="C112" i="34" s="1"/>
  <c r="H166" i="34"/>
  <c r="D111" i="34" s="1"/>
  <c r="H169" i="34"/>
  <c r="D114" i="34" s="1"/>
  <c r="H172" i="34"/>
  <c r="D117" i="34" s="1"/>
  <c r="G173" i="34"/>
  <c r="C118" i="34" s="1"/>
  <c r="G170" i="34"/>
  <c r="C115" i="34" s="1"/>
  <c r="G148" i="34"/>
  <c r="C93" i="34" s="1"/>
  <c r="AD10" i="1" s="1"/>
  <c r="AN10" i="1" s="1"/>
  <c r="AR10" i="1" s="1"/>
  <c r="E171" i="34"/>
  <c r="E192" i="34" s="1"/>
  <c r="G149" i="34" s="1"/>
  <c r="C124" i="33"/>
  <c r="D153" i="33"/>
  <c r="D152" i="33"/>
  <c r="H147" i="34"/>
  <c r="G147" i="34"/>
  <c r="D148" i="33"/>
  <c r="D149" i="33"/>
  <c r="D150" i="33"/>
  <c r="D151" i="33"/>
  <c r="E55" i="33"/>
  <c r="D54" i="33"/>
  <c r="C15" i="33"/>
  <c r="A24" i="33" s="1"/>
  <c r="K24" i="33" s="1"/>
  <c r="C87" i="33"/>
  <c r="D190" i="33" s="1"/>
  <c r="E190" i="33" s="1"/>
  <c r="C86" i="33"/>
  <c r="D189" i="33" s="1"/>
  <c r="E189" i="33" s="1"/>
  <c r="C85" i="33"/>
  <c r="D188" i="33" s="1"/>
  <c r="E188" i="33" s="1"/>
  <c r="C84" i="33"/>
  <c r="D187" i="33" s="1"/>
  <c r="E187" i="33" s="1"/>
  <c r="C83" i="33"/>
  <c r="D186" i="33" s="1"/>
  <c r="E186" i="33" s="1"/>
  <c r="C82" i="33"/>
  <c r="D185" i="33" s="1"/>
  <c r="E185" i="33" s="1"/>
  <c r="C81" i="33"/>
  <c r="D184" i="33" s="1"/>
  <c r="E184" i="33" s="1"/>
  <c r="C80" i="33"/>
  <c r="D183" i="33" s="1"/>
  <c r="E183" i="33" s="1"/>
  <c r="C79" i="33"/>
  <c r="D182" i="33" s="1"/>
  <c r="E182" i="33" s="1"/>
  <c r="C78" i="33"/>
  <c r="D181" i="33" s="1"/>
  <c r="E181" i="33" s="1"/>
  <c r="C77" i="33"/>
  <c r="D180" i="33" s="1"/>
  <c r="E180" i="33" s="1"/>
  <c r="C67" i="33"/>
  <c r="C66" i="33"/>
  <c r="G31" i="33"/>
  <c r="B29" i="33"/>
  <c r="B24" i="33"/>
  <c r="V312" i="32"/>
  <c r="V26" i="33" s="1"/>
  <c r="U312" i="32"/>
  <c r="U26" i="33" s="1"/>
  <c r="Q312" i="32"/>
  <c r="R26" i="33" s="1"/>
  <c r="P312" i="32"/>
  <c r="Q26" i="33" s="1"/>
  <c r="O312" i="32"/>
  <c r="P26" i="33" s="1"/>
  <c r="N312" i="32"/>
  <c r="O26" i="33" s="1"/>
  <c r="K312" i="32"/>
  <c r="M26" i="33" s="1"/>
  <c r="G312" i="32"/>
  <c r="H26" i="33" s="1"/>
  <c r="F312" i="32"/>
  <c r="G26" i="33" s="1"/>
  <c r="T310" i="32"/>
  <c r="R310" i="32"/>
  <c r="L310" i="32"/>
  <c r="T309" i="32"/>
  <c r="R309" i="32"/>
  <c r="L309" i="32"/>
  <c r="T308" i="32"/>
  <c r="R308" i="32"/>
  <c r="L308" i="32"/>
  <c r="T307" i="32"/>
  <c r="R307" i="32"/>
  <c r="L307" i="32"/>
  <c r="T306" i="32"/>
  <c r="R306" i="32"/>
  <c r="L306" i="32"/>
  <c r="T305" i="32"/>
  <c r="R305" i="32"/>
  <c r="L305" i="32"/>
  <c r="T304" i="32"/>
  <c r="R304" i="32"/>
  <c r="L304" i="32"/>
  <c r="T303" i="32"/>
  <c r="R303" i="32"/>
  <c r="L303" i="32"/>
  <c r="T302" i="32"/>
  <c r="R302" i="32"/>
  <c r="L302" i="32"/>
  <c r="T301" i="32"/>
  <c r="R301" i="32"/>
  <c r="L301" i="32"/>
  <c r="T300" i="32"/>
  <c r="R300" i="32"/>
  <c r="L300" i="32"/>
  <c r="T299" i="32"/>
  <c r="R299" i="32"/>
  <c r="L299" i="32"/>
  <c r="T298" i="32"/>
  <c r="R298" i="32"/>
  <c r="L298" i="32"/>
  <c r="T297" i="32"/>
  <c r="R297" i="32"/>
  <c r="L297" i="32"/>
  <c r="T296" i="32"/>
  <c r="R296" i="32"/>
  <c r="L296" i="32"/>
  <c r="T295" i="32"/>
  <c r="R295" i="32"/>
  <c r="L295" i="32"/>
  <c r="T294" i="32"/>
  <c r="R294" i="32"/>
  <c r="L294" i="32"/>
  <c r="T293" i="32"/>
  <c r="R293" i="32"/>
  <c r="L293" i="32"/>
  <c r="T292" i="32"/>
  <c r="R292" i="32"/>
  <c r="L292" i="32"/>
  <c r="T291" i="32"/>
  <c r="R291" i="32"/>
  <c r="L291" i="32"/>
  <c r="T290" i="32"/>
  <c r="R290" i="32"/>
  <c r="L290" i="32"/>
  <c r="T289" i="32"/>
  <c r="R289" i="32"/>
  <c r="L289" i="32"/>
  <c r="T288" i="32"/>
  <c r="R288" i="32"/>
  <c r="L288" i="32"/>
  <c r="T287" i="32"/>
  <c r="R287" i="32"/>
  <c r="L287" i="32"/>
  <c r="T286" i="32"/>
  <c r="R286" i="32"/>
  <c r="L286" i="32"/>
  <c r="T285" i="32"/>
  <c r="R285" i="32"/>
  <c r="L285" i="32"/>
  <c r="T284" i="32"/>
  <c r="R284" i="32"/>
  <c r="L284" i="32"/>
  <c r="T283" i="32"/>
  <c r="R283" i="32"/>
  <c r="L283" i="32"/>
  <c r="T282" i="32"/>
  <c r="R282" i="32"/>
  <c r="L282" i="32"/>
  <c r="T281" i="32"/>
  <c r="R281" i="32"/>
  <c r="L281" i="32"/>
  <c r="T280" i="32"/>
  <c r="R280" i="32"/>
  <c r="L280" i="32"/>
  <c r="T279" i="32"/>
  <c r="R279" i="32"/>
  <c r="L279" i="32"/>
  <c r="T278" i="32"/>
  <c r="R278" i="32"/>
  <c r="L278" i="32"/>
  <c r="T277" i="32"/>
  <c r="R277" i="32"/>
  <c r="L277" i="32"/>
  <c r="T276" i="32"/>
  <c r="R276" i="32"/>
  <c r="L276" i="32"/>
  <c r="T275" i="32"/>
  <c r="R275" i="32"/>
  <c r="L275" i="32"/>
  <c r="T274" i="32"/>
  <c r="R274" i="32"/>
  <c r="L274" i="32"/>
  <c r="T273" i="32"/>
  <c r="R273" i="32"/>
  <c r="L273" i="32"/>
  <c r="T272" i="32"/>
  <c r="R272" i="32"/>
  <c r="L272" i="32"/>
  <c r="T271" i="32"/>
  <c r="R271" i="32"/>
  <c r="L271" i="32"/>
  <c r="T270" i="32"/>
  <c r="R270" i="32"/>
  <c r="L270" i="32"/>
  <c r="T269" i="32"/>
  <c r="R269" i="32"/>
  <c r="L269" i="32"/>
  <c r="T268" i="32"/>
  <c r="R268" i="32"/>
  <c r="L268" i="32"/>
  <c r="T267" i="32"/>
  <c r="R267" i="32"/>
  <c r="L267" i="32"/>
  <c r="T266" i="32"/>
  <c r="R266" i="32"/>
  <c r="L266" i="32"/>
  <c r="T265" i="32"/>
  <c r="R265" i="32"/>
  <c r="L265" i="32"/>
  <c r="T264" i="32"/>
  <c r="R264" i="32"/>
  <c r="L264" i="32"/>
  <c r="T263" i="32"/>
  <c r="R263" i="32"/>
  <c r="L263" i="32"/>
  <c r="T262" i="32"/>
  <c r="R262" i="32"/>
  <c r="L262" i="32"/>
  <c r="T261" i="32"/>
  <c r="R261" i="32"/>
  <c r="L261" i="32"/>
  <c r="T260" i="32"/>
  <c r="R260" i="32"/>
  <c r="L260" i="32"/>
  <c r="T259" i="32"/>
  <c r="R259" i="32"/>
  <c r="L259" i="32"/>
  <c r="T258" i="32"/>
  <c r="R258" i="32"/>
  <c r="L258" i="32"/>
  <c r="T257" i="32"/>
  <c r="R257" i="32"/>
  <c r="L257" i="32"/>
  <c r="T256" i="32"/>
  <c r="R256" i="32"/>
  <c r="L256" i="32"/>
  <c r="T255" i="32"/>
  <c r="R255" i="32"/>
  <c r="L255" i="32"/>
  <c r="T254" i="32"/>
  <c r="R254" i="32"/>
  <c r="L254" i="32"/>
  <c r="T253" i="32"/>
  <c r="R253" i="32"/>
  <c r="L253" i="32"/>
  <c r="T252" i="32"/>
  <c r="R252" i="32"/>
  <c r="L252" i="32"/>
  <c r="T251" i="32"/>
  <c r="R251" i="32"/>
  <c r="L251" i="32"/>
  <c r="T250" i="32"/>
  <c r="R250" i="32"/>
  <c r="L250" i="32"/>
  <c r="T249" i="32"/>
  <c r="R249" i="32"/>
  <c r="L249" i="32"/>
  <c r="T248" i="32"/>
  <c r="R248" i="32"/>
  <c r="L248" i="32"/>
  <c r="T247" i="32"/>
  <c r="R247" i="32"/>
  <c r="L247" i="32"/>
  <c r="T246" i="32"/>
  <c r="R246" i="32"/>
  <c r="L246" i="32"/>
  <c r="T245" i="32"/>
  <c r="R245" i="32"/>
  <c r="L245" i="32"/>
  <c r="T244" i="32"/>
  <c r="R244" i="32"/>
  <c r="L244" i="32"/>
  <c r="T243" i="32"/>
  <c r="R243" i="32"/>
  <c r="L243" i="32"/>
  <c r="T242" i="32"/>
  <c r="R242" i="32"/>
  <c r="L242" i="32"/>
  <c r="T241" i="32"/>
  <c r="R241" i="32"/>
  <c r="L241" i="32"/>
  <c r="T240" i="32"/>
  <c r="R240" i="32"/>
  <c r="L240" i="32"/>
  <c r="T239" i="32"/>
  <c r="R239" i="32"/>
  <c r="L239" i="32"/>
  <c r="T238" i="32"/>
  <c r="R238" i="32"/>
  <c r="L238" i="32"/>
  <c r="T237" i="32"/>
  <c r="R237" i="32"/>
  <c r="L237" i="32"/>
  <c r="T236" i="32"/>
  <c r="R236" i="32"/>
  <c r="L236" i="32"/>
  <c r="T235" i="32"/>
  <c r="R235" i="32"/>
  <c r="L235" i="32"/>
  <c r="T234" i="32"/>
  <c r="R234" i="32"/>
  <c r="L234" i="32"/>
  <c r="T233" i="32"/>
  <c r="R233" i="32"/>
  <c r="L233" i="32"/>
  <c r="T232" i="32"/>
  <c r="R232" i="32"/>
  <c r="L232" i="32"/>
  <c r="T231" i="32"/>
  <c r="R231" i="32"/>
  <c r="L231" i="32"/>
  <c r="T230" i="32"/>
  <c r="R230" i="32"/>
  <c r="L230" i="32"/>
  <c r="T229" i="32"/>
  <c r="R229" i="32"/>
  <c r="L229" i="32"/>
  <c r="T228" i="32"/>
  <c r="R228" i="32"/>
  <c r="L228" i="32"/>
  <c r="T227" i="32"/>
  <c r="R227" i="32"/>
  <c r="L227" i="32"/>
  <c r="T226" i="32"/>
  <c r="R226" i="32"/>
  <c r="L226" i="32"/>
  <c r="T225" i="32"/>
  <c r="R225" i="32"/>
  <c r="L225" i="32"/>
  <c r="T224" i="32"/>
  <c r="R224" i="32"/>
  <c r="L224" i="32"/>
  <c r="T223" i="32"/>
  <c r="R223" i="32"/>
  <c r="L223" i="32"/>
  <c r="T222" i="32"/>
  <c r="R222" i="32"/>
  <c r="L222" i="32"/>
  <c r="T221" i="32"/>
  <c r="R221" i="32"/>
  <c r="L221" i="32"/>
  <c r="T220" i="32"/>
  <c r="R220" i="32"/>
  <c r="L220" i="32"/>
  <c r="T219" i="32"/>
  <c r="R219" i="32"/>
  <c r="L219" i="32"/>
  <c r="T218" i="32"/>
  <c r="R218" i="32"/>
  <c r="L218" i="32"/>
  <c r="T217" i="32"/>
  <c r="R217" i="32"/>
  <c r="L217" i="32"/>
  <c r="T216" i="32"/>
  <c r="R216" i="32"/>
  <c r="L216" i="32"/>
  <c r="T215" i="32"/>
  <c r="R215" i="32"/>
  <c r="L215" i="32"/>
  <c r="T214" i="32"/>
  <c r="R214" i="32"/>
  <c r="L214" i="32"/>
  <c r="T213" i="32"/>
  <c r="R213" i="32"/>
  <c r="L213" i="32"/>
  <c r="T212" i="32"/>
  <c r="R212" i="32"/>
  <c r="L212" i="32"/>
  <c r="T211" i="32"/>
  <c r="R211" i="32"/>
  <c r="L211" i="32"/>
  <c r="T210" i="32"/>
  <c r="R210" i="32"/>
  <c r="L210" i="32"/>
  <c r="T209" i="32"/>
  <c r="R209" i="32"/>
  <c r="L209" i="32"/>
  <c r="T208" i="32"/>
  <c r="R208" i="32"/>
  <c r="L208" i="32"/>
  <c r="T207" i="32"/>
  <c r="R207" i="32"/>
  <c r="L207" i="32"/>
  <c r="T206" i="32"/>
  <c r="R206" i="32"/>
  <c r="L206" i="32"/>
  <c r="T205" i="32"/>
  <c r="R205" i="32"/>
  <c r="L205" i="32"/>
  <c r="T204" i="32"/>
  <c r="R204" i="32"/>
  <c r="L204" i="32"/>
  <c r="T203" i="32"/>
  <c r="R203" i="32"/>
  <c r="L203" i="32"/>
  <c r="T202" i="32"/>
  <c r="R202" i="32"/>
  <c r="L202" i="32"/>
  <c r="T201" i="32"/>
  <c r="R201" i="32"/>
  <c r="L201" i="32"/>
  <c r="T200" i="32"/>
  <c r="R200" i="32"/>
  <c r="L200" i="32"/>
  <c r="T199" i="32"/>
  <c r="R199" i="32"/>
  <c r="L199" i="32"/>
  <c r="T198" i="32"/>
  <c r="R198" i="32"/>
  <c r="L198" i="32"/>
  <c r="T197" i="32"/>
  <c r="R197" i="32"/>
  <c r="L197" i="32"/>
  <c r="T196" i="32"/>
  <c r="R196" i="32"/>
  <c r="L196" i="32"/>
  <c r="T195" i="32"/>
  <c r="R195" i="32"/>
  <c r="L195" i="32"/>
  <c r="T194" i="32"/>
  <c r="R194" i="32"/>
  <c r="L194" i="32"/>
  <c r="T193" i="32"/>
  <c r="R193" i="32"/>
  <c r="L193" i="32"/>
  <c r="T192" i="32"/>
  <c r="R192" i="32"/>
  <c r="L192" i="32"/>
  <c r="T191" i="32"/>
  <c r="R191" i="32"/>
  <c r="L191" i="32"/>
  <c r="T190" i="32"/>
  <c r="R190" i="32"/>
  <c r="L190" i="32"/>
  <c r="T189" i="32"/>
  <c r="R189" i="32"/>
  <c r="L189" i="32"/>
  <c r="T188" i="32"/>
  <c r="R188" i="32"/>
  <c r="L188" i="32"/>
  <c r="T187" i="32"/>
  <c r="R187" i="32"/>
  <c r="L187" i="32"/>
  <c r="T186" i="32"/>
  <c r="R186" i="32"/>
  <c r="L186" i="32"/>
  <c r="T185" i="32"/>
  <c r="R185" i="32"/>
  <c r="L185" i="32"/>
  <c r="T184" i="32"/>
  <c r="R184" i="32"/>
  <c r="L184" i="32"/>
  <c r="T183" i="32"/>
  <c r="R183" i="32"/>
  <c r="L183" i="32"/>
  <c r="T182" i="32"/>
  <c r="R182" i="32"/>
  <c r="L182" i="32"/>
  <c r="T181" i="32"/>
  <c r="R181" i="32"/>
  <c r="L181" i="32"/>
  <c r="T180" i="32"/>
  <c r="R180" i="32"/>
  <c r="L180" i="32"/>
  <c r="T179" i="32"/>
  <c r="R179" i="32"/>
  <c r="L179" i="32"/>
  <c r="T178" i="32"/>
  <c r="R178" i="32"/>
  <c r="L178" i="32"/>
  <c r="T177" i="32"/>
  <c r="R177" i="32"/>
  <c r="L177" i="32"/>
  <c r="T176" i="32"/>
  <c r="R176" i="32"/>
  <c r="L176" i="32"/>
  <c r="T175" i="32"/>
  <c r="R175" i="32"/>
  <c r="L175" i="32"/>
  <c r="T174" i="32"/>
  <c r="R174" i="32"/>
  <c r="L174" i="32"/>
  <c r="T173" i="32"/>
  <c r="R173" i="32"/>
  <c r="L173" i="32"/>
  <c r="T172" i="32"/>
  <c r="R172" i="32"/>
  <c r="L172" i="32"/>
  <c r="T171" i="32"/>
  <c r="R171" i="32"/>
  <c r="L171" i="32"/>
  <c r="T170" i="32"/>
  <c r="R170" i="32"/>
  <c r="L170" i="32"/>
  <c r="T169" i="32"/>
  <c r="R169" i="32"/>
  <c r="L169" i="32"/>
  <c r="T168" i="32"/>
  <c r="R168" i="32"/>
  <c r="L168" i="32"/>
  <c r="T167" i="32"/>
  <c r="R167" i="32"/>
  <c r="L167" i="32"/>
  <c r="T166" i="32"/>
  <c r="R166" i="32"/>
  <c r="L166" i="32"/>
  <c r="T165" i="32"/>
  <c r="R165" i="32"/>
  <c r="L165" i="32"/>
  <c r="T164" i="32"/>
  <c r="R164" i="32"/>
  <c r="L164" i="32"/>
  <c r="T163" i="32"/>
  <c r="R163" i="32"/>
  <c r="L163" i="32"/>
  <c r="T162" i="32"/>
  <c r="R162" i="32"/>
  <c r="L162" i="32"/>
  <c r="T161" i="32"/>
  <c r="R161" i="32"/>
  <c r="L161" i="32"/>
  <c r="T160" i="32"/>
  <c r="R160" i="32"/>
  <c r="L160" i="32"/>
  <c r="T159" i="32"/>
  <c r="R159" i="32"/>
  <c r="L159" i="32"/>
  <c r="T158" i="32"/>
  <c r="R158" i="32"/>
  <c r="L158" i="32"/>
  <c r="T157" i="32"/>
  <c r="R157" i="32"/>
  <c r="L157" i="32"/>
  <c r="T156" i="32"/>
  <c r="R156" i="32"/>
  <c r="L156" i="32"/>
  <c r="T155" i="32"/>
  <c r="R155" i="32"/>
  <c r="L155" i="32"/>
  <c r="T154" i="32"/>
  <c r="R154" i="32"/>
  <c r="L154" i="32"/>
  <c r="T153" i="32"/>
  <c r="R153" i="32"/>
  <c r="L153" i="32"/>
  <c r="T152" i="32"/>
  <c r="R152" i="32"/>
  <c r="L152" i="32"/>
  <c r="T151" i="32"/>
  <c r="R151" i="32"/>
  <c r="L151" i="32"/>
  <c r="T150" i="32"/>
  <c r="R150" i="32"/>
  <c r="L150" i="32"/>
  <c r="T149" i="32"/>
  <c r="R149" i="32"/>
  <c r="L149" i="32"/>
  <c r="T148" i="32"/>
  <c r="R148" i="32"/>
  <c r="L148" i="32"/>
  <c r="T147" i="32"/>
  <c r="R147" i="32"/>
  <c r="L147" i="32"/>
  <c r="T146" i="32"/>
  <c r="R146" i="32"/>
  <c r="L146" i="32"/>
  <c r="T145" i="32"/>
  <c r="R145" i="32"/>
  <c r="L145" i="32"/>
  <c r="T144" i="32"/>
  <c r="R144" i="32"/>
  <c r="L144" i="32"/>
  <c r="T143" i="32"/>
  <c r="R143" i="32"/>
  <c r="L143" i="32"/>
  <c r="T142" i="32"/>
  <c r="R142" i="32"/>
  <c r="L142" i="32"/>
  <c r="T141" i="32"/>
  <c r="R141" i="32"/>
  <c r="L141" i="32"/>
  <c r="T140" i="32"/>
  <c r="R140" i="32"/>
  <c r="L140" i="32"/>
  <c r="T139" i="32"/>
  <c r="R139" i="32"/>
  <c r="L139" i="32"/>
  <c r="T138" i="32"/>
  <c r="R138" i="32"/>
  <c r="L138" i="32"/>
  <c r="T137" i="32"/>
  <c r="R137" i="32"/>
  <c r="L137" i="32"/>
  <c r="T136" i="32"/>
  <c r="R136" i="32"/>
  <c r="L136" i="32"/>
  <c r="T135" i="32"/>
  <c r="R135" i="32"/>
  <c r="L135" i="32"/>
  <c r="T134" i="32"/>
  <c r="R134" i="32"/>
  <c r="L134" i="32"/>
  <c r="T133" i="32"/>
  <c r="R133" i="32"/>
  <c r="L133" i="32"/>
  <c r="T132" i="32"/>
  <c r="R132" i="32"/>
  <c r="L132" i="32"/>
  <c r="T131" i="32"/>
  <c r="R131" i="32"/>
  <c r="L131" i="32"/>
  <c r="T130" i="32"/>
  <c r="R130" i="32"/>
  <c r="L130" i="32"/>
  <c r="T129" i="32"/>
  <c r="R129" i="32"/>
  <c r="L129" i="32"/>
  <c r="T128" i="32"/>
  <c r="R128" i="32"/>
  <c r="L128" i="32"/>
  <c r="T127" i="32"/>
  <c r="R127" i="32"/>
  <c r="L127" i="32"/>
  <c r="T126" i="32"/>
  <c r="R126" i="32"/>
  <c r="L126" i="32"/>
  <c r="T125" i="32"/>
  <c r="R125" i="32"/>
  <c r="L125" i="32"/>
  <c r="T124" i="32"/>
  <c r="R124" i="32"/>
  <c r="L124" i="32"/>
  <c r="T123" i="32"/>
  <c r="R123" i="32"/>
  <c r="L123" i="32"/>
  <c r="T122" i="32"/>
  <c r="R122" i="32"/>
  <c r="L122" i="32"/>
  <c r="T121" i="32"/>
  <c r="R121" i="32"/>
  <c r="L121" i="32"/>
  <c r="T120" i="32"/>
  <c r="R120" i="32"/>
  <c r="L120" i="32"/>
  <c r="T119" i="32"/>
  <c r="R119" i="32"/>
  <c r="L119" i="32"/>
  <c r="T118" i="32"/>
  <c r="R118" i="32"/>
  <c r="L118" i="32"/>
  <c r="T117" i="32"/>
  <c r="R117" i="32"/>
  <c r="L117" i="32"/>
  <c r="T116" i="32"/>
  <c r="R116" i="32"/>
  <c r="L116" i="32"/>
  <c r="T115" i="32"/>
  <c r="R115" i="32"/>
  <c r="L115" i="32"/>
  <c r="T114" i="32"/>
  <c r="R114" i="32"/>
  <c r="L114" i="32"/>
  <c r="T113" i="32"/>
  <c r="R113" i="32"/>
  <c r="L113" i="32"/>
  <c r="T112" i="32"/>
  <c r="R112" i="32"/>
  <c r="L112" i="32"/>
  <c r="T111" i="32"/>
  <c r="R111" i="32"/>
  <c r="L111" i="32"/>
  <c r="T110" i="32"/>
  <c r="R110" i="32"/>
  <c r="L110" i="32"/>
  <c r="T109" i="32"/>
  <c r="R109" i="32"/>
  <c r="L109" i="32"/>
  <c r="T108" i="32"/>
  <c r="R108" i="32"/>
  <c r="L108" i="32"/>
  <c r="T107" i="32"/>
  <c r="R107" i="32"/>
  <c r="L107" i="32"/>
  <c r="T106" i="32"/>
  <c r="R106" i="32"/>
  <c r="L106" i="32"/>
  <c r="T105" i="32"/>
  <c r="R105" i="32"/>
  <c r="L105" i="32"/>
  <c r="T104" i="32"/>
  <c r="R104" i="32"/>
  <c r="L104" i="32"/>
  <c r="T103" i="32"/>
  <c r="R103" i="32"/>
  <c r="L103" i="32"/>
  <c r="T102" i="32"/>
  <c r="R102" i="32"/>
  <c r="L102" i="32"/>
  <c r="T101" i="32"/>
  <c r="R101" i="32"/>
  <c r="L101" i="32"/>
  <c r="T100" i="32"/>
  <c r="R100" i="32"/>
  <c r="L100" i="32"/>
  <c r="T99" i="32"/>
  <c r="R99" i="32"/>
  <c r="L99" i="32"/>
  <c r="T98" i="32"/>
  <c r="R98" i="32"/>
  <c r="L98" i="32"/>
  <c r="T97" i="32"/>
  <c r="R97" i="32"/>
  <c r="L97" i="32"/>
  <c r="T96" i="32"/>
  <c r="R96" i="32"/>
  <c r="L96" i="32"/>
  <c r="T95" i="32"/>
  <c r="R95" i="32"/>
  <c r="L95" i="32"/>
  <c r="T94" i="32"/>
  <c r="R94" i="32"/>
  <c r="L94" i="32"/>
  <c r="T93" i="32"/>
  <c r="R93" i="32"/>
  <c r="L93" i="32"/>
  <c r="T92" i="32"/>
  <c r="R92" i="32"/>
  <c r="L92" i="32"/>
  <c r="T91" i="32"/>
  <c r="R91" i="32"/>
  <c r="L91" i="32"/>
  <c r="T90" i="32"/>
  <c r="R90" i="32"/>
  <c r="L90" i="32"/>
  <c r="T89" i="32"/>
  <c r="R89" i="32"/>
  <c r="L89" i="32"/>
  <c r="T88" i="32"/>
  <c r="R88" i="32"/>
  <c r="L88" i="32"/>
  <c r="T87" i="32"/>
  <c r="R87" i="32"/>
  <c r="L87" i="32"/>
  <c r="T86" i="32"/>
  <c r="R86" i="32"/>
  <c r="L86" i="32"/>
  <c r="T85" i="32"/>
  <c r="R85" i="32"/>
  <c r="L85" i="32"/>
  <c r="T84" i="32"/>
  <c r="R84" i="32"/>
  <c r="L84" i="32"/>
  <c r="T83" i="32"/>
  <c r="R83" i="32"/>
  <c r="L83" i="32"/>
  <c r="T82" i="32"/>
  <c r="R82" i="32"/>
  <c r="L82" i="32"/>
  <c r="T81" i="32"/>
  <c r="R81" i="32"/>
  <c r="L81" i="32"/>
  <c r="T80" i="32"/>
  <c r="R80" i="32"/>
  <c r="L80" i="32"/>
  <c r="T79" i="32"/>
  <c r="R79" i="32"/>
  <c r="L79" i="32"/>
  <c r="T78" i="32"/>
  <c r="R78" i="32"/>
  <c r="L78" i="32"/>
  <c r="T77" i="32"/>
  <c r="R77" i="32"/>
  <c r="L77" i="32"/>
  <c r="T76" i="32"/>
  <c r="R76" i="32"/>
  <c r="L76" i="32"/>
  <c r="T75" i="32"/>
  <c r="R75" i="32"/>
  <c r="L75" i="32"/>
  <c r="T74" i="32"/>
  <c r="R74" i="32"/>
  <c r="L74" i="32"/>
  <c r="T73" i="32"/>
  <c r="R73" i="32"/>
  <c r="L73" i="32"/>
  <c r="T72" i="32"/>
  <c r="R72" i="32"/>
  <c r="L72" i="32"/>
  <c r="T71" i="32"/>
  <c r="R71" i="32"/>
  <c r="L71" i="32"/>
  <c r="T70" i="32"/>
  <c r="R70" i="32"/>
  <c r="L70" i="32"/>
  <c r="T69" i="32"/>
  <c r="R69" i="32"/>
  <c r="L69" i="32"/>
  <c r="T68" i="32"/>
  <c r="R68" i="32"/>
  <c r="L68" i="32"/>
  <c r="T67" i="32"/>
  <c r="R67" i="32"/>
  <c r="L67" i="32"/>
  <c r="T66" i="32"/>
  <c r="R66" i="32"/>
  <c r="L66" i="32"/>
  <c r="T65" i="32"/>
  <c r="R65" i="32"/>
  <c r="L65" i="32"/>
  <c r="T64" i="32"/>
  <c r="R64" i="32"/>
  <c r="L64" i="32"/>
  <c r="T63" i="32"/>
  <c r="R63" i="32"/>
  <c r="L63" i="32"/>
  <c r="T62" i="32"/>
  <c r="R62" i="32"/>
  <c r="L62" i="32"/>
  <c r="T61" i="32"/>
  <c r="R61" i="32"/>
  <c r="L61" i="32"/>
  <c r="T60" i="32"/>
  <c r="R60" i="32"/>
  <c r="L60" i="32"/>
  <c r="T59" i="32"/>
  <c r="R59" i="32"/>
  <c r="L59" i="32"/>
  <c r="T58" i="32"/>
  <c r="R58" i="32"/>
  <c r="L58" i="32"/>
  <c r="T57" i="32"/>
  <c r="R57" i="32"/>
  <c r="L57" i="32"/>
  <c r="T56" i="32"/>
  <c r="R56" i="32"/>
  <c r="L56" i="32"/>
  <c r="T55" i="32"/>
  <c r="R55" i="32"/>
  <c r="L55" i="32"/>
  <c r="T54" i="32"/>
  <c r="R54" i="32"/>
  <c r="L54" i="32"/>
  <c r="T53" i="32"/>
  <c r="R53" i="32"/>
  <c r="L53" i="32"/>
  <c r="T52" i="32"/>
  <c r="R52" i="32"/>
  <c r="L52" i="32"/>
  <c r="T51" i="32"/>
  <c r="R51" i="32"/>
  <c r="L51" i="32"/>
  <c r="T50" i="32"/>
  <c r="R50" i="32"/>
  <c r="L50" i="32"/>
  <c r="T49" i="32"/>
  <c r="R49" i="32"/>
  <c r="L49" i="32"/>
  <c r="T48" i="32"/>
  <c r="R48" i="32"/>
  <c r="L48" i="32"/>
  <c r="T47" i="32"/>
  <c r="R47" i="32"/>
  <c r="L47" i="32"/>
  <c r="T46" i="32"/>
  <c r="R46" i="32"/>
  <c r="L46" i="32"/>
  <c r="T45" i="32"/>
  <c r="R45" i="32"/>
  <c r="L45" i="32"/>
  <c r="T44" i="32"/>
  <c r="R44" i="32"/>
  <c r="L44" i="32"/>
  <c r="T43" i="32"/>
  <c r="R43" i="32"/>
  <c r="L43" i="32"/>
  <c r="T42" i="32"/>
  <c r="R42" i="32"/>
  <c r="L42" i="32"/>
  <c r="T41" i="32"/>
  <c r="R41" i="32"/>
  <c r="L41" i="32"/>
  <c r="T40" i="32"/>
  <c r="R40" i="32"/>
  <c r="L40" i="32"/>
  <c r="T39" i="32"/>
  <c r="R39" i="32"/>
  <c r="L39" i="32"/>
  <c r="T38" i="32"/>
  <c r="R38" i="32"/>
  <c r="L38" i="32"/>
  <c r="T37" i="32"/>
  <c r="R37" i="32"/>
  <c r="L37" i="32"/>
  <c r="T36" i="32"/>
  <c r="R36" i="32"/>
  <c r="L36" i="32"/>
  <c r="T35" i="32"/>
  <c r="R35" i="32"/>
  <c r="L35" i="32"/>
  <c r="T34" i="32"/>
  <c r="R34" i="32"/>
  <c r="L34" i="32"/>
  <c r="T33" i="32"/>
  <c r="R33" i="32"/>
  <c r="L33" i="32"/>
  <c r="T32" i="32"/>
  <c r="R32" i="32"/>
  <c r="L32" i="32"/>
  <c r="T31" i="32"/>
  <c r="R31" i="32"/>
  <c r="L31" i="32"/>
  <c r="T30" i="32"/>
  <c r="R30" i="32"/>
  <c r="L30" i="32"/>
  <c r="T29" i="32"/>
  <c r="R29" i="32"/>
  <c r="L29" i="32"/>
  <c r="T28" i="32"/>
  <c r="R28" i="32"/>
  <c r="L28" i="32"/>
  <c r="T27" i="32"/>
  <c r="R27" i="32"/>
  <c r="L27" i="32"/>
  <c r="T26" i="32"/>
  <c r="R26" i="32"/>
  <c r="L26" i="32"/>
  <c r="T25" i="32"/>
  <c r="R25" i="32"/>
  <c r="L25" i="32"/>
  <c r="T24" i="32"/>
  <c r="R24" i="32"/>
  <c r="L24" i="32"/>
  <c r="T23" i="32"/>
  <c r="R23" i="32"/>
  <c r="L23" i="32"/>
  <c r="T22" i="32"/>
  <c r="R22" i="32"/>
  <c r="L22" i="32"/>
  <c r="T21" i="32"/>
  <c r="R21" i="32"/>
  <c r="L21" i="32"/>
  <c r="T20" i="32"/>
  <c r="R20" i="32"/>
  <c r="L20" i="32"/>
  <c r="T19" i="32"/>
  <c r="R19" i="32"/>
  <c r="L19" i="32"/>
  <c r="T18" i="32"/>
  <c r="R18" i="32"/>
  <c r="L18" i="32"/>
  <c r="T17" i="32"/>
  <c r="R17" i="32"/>
  <c r="L17" i="32"/>
  <c r="T16" i="32"/>
  <c r="R16" i="32"/>
  <c r="L16" i="32"/>
  <c r="T15" i="32"/>
  <c r="R15" i="32"/>
  <c r="L15" i="32"/>
  <c r="T14" i="32"/>
  <c r="R14" i="32"/>
  <c r="L14" i="32"/>
  <c r="T13" i="32"/>
  <c r="R13" i="32"/>
  <c r="L13" i="32"/>
  <c r="T12" i="32"/>
  <c r="R12" i="32"/>
  <c r="L12" i="32"/>
  <c r="T11" i="32"/>
  <c r="R11" i="32"/>
  <c r="L11" i="32"/>
  <c r="T10" i="32"/>
  <c r="R10" i="32"/>
  <c r="L10" i="32"/>
  <c r="T9" i="32"/>
  <c r="R9" i="32"/>
  <c r="L9" i="32"/>
  <c r="T8" i="32"/>
  <c r="R8" i="32"/>
  <c r="L8" i="32"/>
  <c r="T7" i="32"/>
  <c r="R7" i="32"/>
  <c r="L7" i="32"/>
  <c r="G190" i="33" l="1"/>
  <c r="C136" i="33" s="1"/>
  <c r="H190" i="33"/>
  <c r="D136" i="33" s="1"/>
  <c r="AG396" i="1" s="1"/>
  <c r="AO396" i="1" s="1"/>
  <c r="G184" i="33"/>
  <c r="H184" i="33"/>
  <c r="D130" i="33" s="1"/>
  <c r="AG348" i="1" s="1"/>
  <c r="AO348" i="1" s="1"/>
  <c r="H185" i="33"/>
  <c r="D131" i="33" s="1"/>
  <c r="AG356" i="1" s="1"/>
  <c r="AO356" i="1" s="1"/>
  <c r="G185" i="33"/>
  <c r="C131" i="33" s="1"/>
  <c r="H189" i="33"/>
  <c r="D135" i="33" s="1"/>
  <c r="AG388" i="1" s="1"/>
  <c r="AO388" i="1" s="1"/>
  <c r="G189" i="33"/>
  <c r="C135" i="33" s="1"/>
  <c r="H183" i="33"/>
  <c r="D129" i="33" s="1"/>
  <c r="AG340" i="1" s="1"/>
  <c r="AO340" i="1" s="1"/>
  <c r="G183" i="33"/>
  <c r="C129" i="33" s="1"/>
  <c r="G186" i="33"/>
  <c r="C132" i="33" s="1"/>
  <c r="H186" i="33"/>
  <c r="G187" i="33"/>
  <c r="C133" i="33" s="1"/>
  <c r="H187" i="33"/>
  <c r="D133" i="33" s="1"/>
  <c r="AG372" i="1" s="1"/>
  <c r="AO372" i="1" s="1"/>
  <c r="H181" i="33"/>
  <c r="D127" i="33" s="1"/>
  <c r="G181" i="33"/>
  <c r="C127" i="33" s="1"/>
  <c r="G182" i="33"/>
  <c r="C128" i="33" s="1"/>
  <c r="H182" i="33"/>
  <c r="G180" i="33"/>
  <c r="C126" i="33" s="1"/>
  <c r="H180" i="33"/>
  <c r="D126" i="33" s="1"/>
  <c r="G188" i="33"/>
  <c r="C134" i="33" s="1"/>
  <c r="H188" i="33"/>
  <c r="D134" i="33" s="1"/>
  <c r="AG380" i="1" s="1"/>
  <c r="AO380" i="1" s="1"/>
  <c r="T312" i="32"/>
  <c r="T26" i="33" s="1"/>
  <c r="L312" i="32"/>
  <c r="R312" i="32"/>
  <c r="H171" i="34"/>
  <c r="D116" i="34" s="1"/>
  <c r="G171" i="34"/>
  <c r="C116" i="34" s="1"/>
  <c r="D128" i="33"/>
  <c r="AG332" i="1" s="1"/>
  <c r="AO332" i="1" s="1"/>
  <c r="D132" i="33"/>
  <c r="AG364" i="1" s="1"/>
  <c r="AO364" i="1" s="1"/>
  <c r="D123" i="33"/>
  <c r="AG292" i="1" s="1"/>
  <c r="AO292" i="1" s="1"/>
  <c r="C123" i="33"/>
  <c r="C130" i="33"/>
  <c r="D158" i="33"/>
  <c r="D159" i="33"/>
  <c r="D160" i="33"/>
  <c r="D161" i="33"/>
  <c r="D154" i="33"/>
  <c r="D162" i="33"/>
  <c r="D163" i="33"/>
  <c r="D157" i="33"/>
  <c r="D155" i="33"/>
  <c r="D156" i="33"/>
  <c r="D164" i="33"/>
  <c r="C94" i="34"/>
  <c r="H149" i="34"/>
  <c r="D94" i="34" s="1"/>
  <c r="C92" i="34"/>
  <c r="AD121" i="1" s="1"/>
  <c r="AN121" i="1" s="1"/>
  <c r="D92" i="34"/>
  <c r="AG121" i="1" s="1"/>
  <c r="AO121" i="1" s="1"/>
  <c r="R24" i="33"/>
  <c r="E53" i="33" s="1"/>
  <c r="O24" i="33"/>
  <c r="E50" i="33" s="1"/>
  <c r="G24" i="33"/>
  <c r="L24" i="33"/>
  <c r="D48" i="33" s="1"/>
  <c r="C167" i="33" s="1"/>
  <c r="H24" i="33"/>
  <c r="C147" i="33" s="1"/>
  <c r="M24" i="33"/>
  <c r="D49" i="33" s="1"/>
  <c r="V24" i="33"/>
  <c r="D37" i="33" s="1"/>
  <c r="C148" i="33" s="1"/>
  <c r="P24" i="33"/>
  <c r="E51" i="33" s="1"/>
  <c r="U24" i="33"/>
  <c r="Q24" i="33"/>
  <c r="E52" i="33" s="1"/>
  <c r="T24" i="33"/>
  <c r="C24" i="33"/>
  <c r="J24" i="33"/>
  <c r="D46" i="33" s="1"/>
  <c r="C165" i="33" s="1"/>
  <c r="F24" i="33"/>
  <c r="D146" i="33" s="1"/>
  <c r="D24" i="33"/>
  <c r="A29" i="33"/>
  <c r="O29" i="33" s="1"/>
  <c r="C68" i="33"/>
  <c r="D68" i="33" s="1"/>
  <c r="C88" i="33"/>
  <c r="AD269" i="1" l="1"/>
  <c r="AN269" i="1" s="1"/>
  <c r="AO316" i="1"/>
  <c r="AG324" i="1"/>
  <c r="AO324" i="1" s="1"/>
  <c r="C164" i="33"/>
  <c r="C173" i="33"/>
  <c r="E173" i="33" s="1"/>
  <c r="G173" i="33" s="1"/>
  <c r="C119" i="33" s="1"/>
  <c r="AD65" i="1" s="1"/>
  <c r="AN65" i="1" s="1"/>
  <c r="AS65" i="1" s="1"/>
  <c r="C169" i="33"/>
  <c r="D168" i="33"/>
  <c r="D169" i="33"/>
  <c r="C168" i="33"/>
  <c r="C170" i="33"/>
  <c r="D171" i="33"/>
  <c r="C172" i="33"/>
  <c r="D172" i="33"/>
  <c r="D170" i="33"/>
  <c r="C171" i="33"/>
  <c r="C137" i="34"/>
  <c r="C139" i="34" s="1"/>
  <c r="D137" i="34"/>
  <c r="D139" i="34" s="1"/>
  <c r="D88" i="33"/>
  <c r="G192" i="34"/>
  <c r="H192" i="34"/>
  <c r="E24" i="33"/>
  <c r="D47" i="33"/>
  <c r="C166" i="33" s="1"/>
  <c r="E36" i="33"/>
  <c r="D147" i="33" s="1"/>
  <c r="E35" i="33"/>
  <c r="D35" i="33"/>
  <c r="C146" i="33"/>
  <c r="R29" i="33"/>
  <c r="F29" i="33"/>
  <c r="P29" i="33"/>
  <c r="C29" i="33"/>
  <c r="G29" i="33"/>
  <c r="Q29" i="33"/>
  <c r="L29" i="33"/>
  <c r="V29" i="33"/>
  <c r="K29" i="33"/>
  <c r="H29" i="33"/>
  <c r="U29" i="33"/>
  <c r="J29" i="33"/>
  <c r="D29" i="33"/>
  <c r="T29" i="33"/>
  <c r="M29" i="33"/>
  <c r="D167" i="33" l="1"/>
  <c r="E167" i="33" s="1"/>
  <c r="H167" i="33" s="1"/>
  <c r="D113" i="33" s="1"/>
  <c r="AG68" i="1" s="1"/>
  <c r="D165" i="33"/>
  <c r="E165" i="33" s="1"/>
  <c r="G165" i="33" s="1"/>
  <c r="C111" i="33" s="1"/>
  <c r="AD67" i="1" s="1"/>
  <c r="AN67" i="1" s="1"/>
  <c r="E169" i="33"/>
  <c r="G169" i="33" s="1"/>
  <c r="C115" i="33" s="1"/>
  <c r="AD114" i="1" s="1"/>
  <c r="AN114" i="1" s="1"/>
  <c r="E168" i="33"/>
  <c r="H168" i="33" s="1"/>
  <c r="D114" i="33" s="1"/>
  <c r="AG66" i="1" s="1"/>
  <c r="E171" i="33"/>
  <c r="G171" i="33" s="1"/>
  <c r="C117" i="33" s="1"/>
  <c r="AD115" i="1" s="1"/>
  <c r="AN115" i="1" s="1"/>
  <c r="H173" i="33"/>
  <c r="D119" i="33" s="1"/>
  <c r="E172" i="33"/>
  <c r="H172" i="33" s="1"/>
  <c r="D118" i="33" s="1"/>
  <c r="E29" i="33"/>
  <c r="AR65" i="1"/>
  <c r="C154" i="33"/>
  <c r="C149" i="33"/>
  <c r="C155" i="33"/>
  <c r="C163" i="33"/>
  <c r="C158" i="33"/>
  <c r="C161" i="33"/>
  <c r="C160" i="33"/>
  <c r="C150" i="33"/>
  <c r="C151" i="33"/>
  <c r="C152" i="33"/>
  <c r="C162" i="33"/>
  <c r="C157" i="33"/>
  <c r="C156" i="33"/>
  <c r="C159" i="33"/>
  <c r="C153" i="33"/>
  <c r="E146" i="33"/>
  <c r="D166" i="33"/>
  <c r="E166" i="33" s="1"/>
  <c r="G166" i="33" s="1"/>
  <c r="C112" i="33" s="1"/>
  <c r="AD69" i="1" s="1"/>
  <c r="K33" i="33"/>
  <c r="E170" i="33"/>
  <c r="G170" i="33" s="1"/>
  <c r="C116" i="33" s="1"/>
  <c r="AD116" i="1" s="1"/>
  <c r="AN116" i="1" s="1"/>
  <c r="E147" i="33"/>
  <c r="AG113" i="1" l="1"/>
  <c r="AO113" i="1" s="1"/>
  <c r="G167" i="33"/>
  <c r="C113" i="33" s="1"/>
  <c r="H165" i="33"/>
  <c r="D111" i="33" s="1"/>
  <c r="AG67" i="1" s="1"/>
  <c r="AN69" i="1"/>
  <c r="AO66" i="1"/>
  <c r="G168" i="33"/>
  <c r="C114" i="33" s="1"/>
  <c r="AD66" i="1" s="1"/>
  <c r="G172" i="33"/>
  <c r="C118" i="33" s="1"/>
  <c r="AD113" i="1" s="1"/>
  <c r="AN113" i="1" s="1"/>
  <c r="H169" i="33"/>
  <c r="D115" i="33" s="1"/>
  <c r="H171" i="33"/>
  <c r="D117" i="33" s="1"/>
  <c r="AO68" i="1" s="1"/>
  <c r="H146" i="33"/>
  <c r="D92" i="33" s="1"/>
  <c r="AG120" i="1" s="1"/>
  <c r="AO120" i="1" s="1"/>
  <c r="G146" i="33"/>
  <c r="C92" i="33" s="1"/>
  <c r="AD120" i="1" s="1"/>
  <c r="H166" i="33"/>
  <c r="D112" i="33" s="1"/>
  <c r="AG69" i="1" s="1"/>
  <c r="H170" i="33"/>
  <c r="D116" i="33" s="1"/>
  <c r="H147" i="33"/>
  <c r="G147" i="33"/>
  <c r="AD68" i="1" l="1"/>
  <c r="AN68" i="1" s="1"/>
  <c r="AR68" i="1" s="1"/>
  <c r="AO67" i="1"/>
  <c r="AS67" i="1" s="1"/>
  <c r="AO69" i="1"/>
  <c r="AR69" i="1" s="1"/>
  <c r="AR113" i="1"/>
  <c r="AS113" i="1"/>
  <c r="AG115" i="1"/>
  <c r="AO115" i="1" s="1"/>
  <c r="AG114" i="1"/>
  <c r="AO114" i="1" s="1"/>
  <c r="AG116" i="1"/>
  <c r="AO116" i="1" s="1"/>
  <c r="AN66" i="1"/>
  <c r="AR66" i="1" s="1"/>
  <c r="AN120" i="1"/>
  <c r="E58" i="33"/>
  <c r="D58" i="33"/>
  <c r="D93" i="33"/>
  <c r="AG103" i="1" s="1"/>
  <c r="AO103" i="1" s="1"/>
  <c r="C93" i="33"/>
  <c r="E148" i="33"/>
  <c r="AS68" i="1" l="1"/>
  <c r="AS69" i="1"/>
  <c r="AR67" i="1"/>
  <c r="AR116" i="1"/>
  <c r="AS116" i="1"/>
  <c r="AR114" i="1"/>
  <c r="AS114" i="1"/>
  <c r="AS115" i="1"/>
  <c r="AR115" i="1"/>
  <c r="AS66" i="1"/>
  <c r="AS103" i="1"/>
  <c r="AR103" i="1"/>
  <c r="E162" i="33"/>
  <c r="H162" i="33" s="1"/>
  <c r="D108" i="33" s="1"/>
  <c r="E149" i="33" l="1"/>
  <c r="G149" i="33" s="1"/>
  <c r="C95" i="33" s="1"/>
  <c r="AD276" i="1" s="1"/>
  <c r="AN276" i="1" s="1"/>
  <c r="E153" i="33"/>
  <c r="G153" i="33" s="1"/>
  <c r="C99" i="33" s="1"/>
  <c r="AD308" i="1" s="1"/>
  <c r="AN308" i="1" s="1"/>
  <c r="E163" i="33"/>
  <c r="H163" i="33" s="1"/>
  <c r="D109" i="33" s="1"/>
  <c r="E150" i="33"/>
  <c r="H150" i="33" s="1"/>
  <c r="D96" i="33" s="1"/>
  <c r="E160" i="33"/>
  <c r="G160" i="33" s="1"/>
  <c r="C106" i="33" s="1"/>
  <c r="AD364" i="1" s="1"/>
  <c r="AN364" i="1" s="1"/>
  <c r="E158" i="33"/>
  <c r="H158" i="33" s="1"/>
  <c r="D104" i="33" s="1"/>
  <c r="E156" i="33"/>
  <c r="H156" i="33" s="1"/>
  <c r="D102" i="33" s="1"/>
  <c r="E154" i="33"/>
  <c r="G154" i="33" s="1"/>
  <c r="C100" i="33" s="1"/>
  <c r="AD316" i="1" s="1"/>
  <c r="AN316" i="1" s="1"/>
  <c r="E164" i="33"/>
  <c r="G164" i="33" s="1"/>
  <c r="C110" i="33" s="1"/>
  <c r="AD396" i="1" s="1"/>
  <c r="AN396" i="1" s="1"/>
  <c r="E152" i="33"/>
  <c r="G152" i="33" s="1"/>
  <c r="C98" i="33" s="1"/>
  <c r="AD300" i="1" s="1"/>
  <c r="AN300" i="1" s="1"/>
  <c r="E151" i="33"/>
  <c r="G151" i="33" s="1"/>
  <c r="C97" i="33" s="1"/>
  <c r="AD292" i="1" s="1"/>
  <c r="AN292" i="1" s="1"/>
  <c r="E155" i="33"/>
  <c r="G155" i="33" s="1"/>
  <c r="C101" i="33" s="1"/>
  <c r="AD324" i="1" s="1"/>
  <c r="AN324" i="1" s="1"/>
  <c r="G162" i="33"/>
  <c r="C108" i="33" s="1"/>
  <c r="AD380" i="1" s="1"/>
  <c r="AN380" i="1" s="1"/>
  <c r="E159" i="33"/>
  <c r="G159" i="33" s="1"/>
  <c r="C105" i="33" s="1"/>
  <c r="AD356" i="1" s="1"/>
  <c r="AN356" i="1" s="1"/>
  <c r="C191" i="33"/>
  <c r="E157" i="33"/>
  <c r="H157" i="33" s="1"/>
  <c r="D103" i="33" s="1"/>
  <c r="D191" i="33"/>
  <c r="E161" i="33"/>
  <c r="H149" i="33" l="1"/>
  <c r="D95" i="33" s="1"/>
  <c r="H153" i="33"/>
  <c r="D99" i="33" s="1"/>
  <c r="H152" i="33"/>
  <c r="D98" i="33" s="1"/>
  <c r="G158" i="33"/>
  <c r="C104" i="33" s="1"/>
  <c r="AD348" i="1" s="1"/>
  <c r="AN348" i="1" s="1"/>
  <c r="G163" i="33"/>
  <c r="C109" i="33" s="1"/>
  <c r="AD388" i="1" s="1"/>
  <c r="AN388" i="1" s="1"/>
  <c r="H164" i="33"/>
  <c r="D110" i="33" s="1"/>
  <c r="H155" i="33"/>
  <c r="D101" i="33" s="1"/>
  <c r="H160" i="33"/>
  <c r="D106" i="33" s="1"/>
  <c r="G156" i="33"/>
  <c r="C102" i="33" s="1"/>
  <c r="AD332" i="1" s="1"/>
  <c r="AN332" i="1" s="1"/>
  <c r="G150" i="33"/>
  <c r="C96" i="33" s="1"/>
  <c r="AD284" i="1" s="1"/>
  <c r="AN284" i="1" s="1"/>
  <c r="H154" i="33"/>
  <c r="D100" i="33" s="1"/>
  <c r="G157" i="33"/>
  <c r="C103" i="33" s="1"/>
  <c r="AD340" i="1" s="1"/>
  <c r="AN340" i="1" s="1"/>
  <c r="H159" i="33"/>
  <c r="D105" i="33" s="1"/>
  <c r="H151" i="33"/>
  <c r="D97" i="33" s="1"/>
  <c r="E191" i="33"/>
  <c r="G161" i="33"/>
  <c r="C107" i="33" s="1"/>
  <c r="AD372" i="1" s="1"/>
  <c r="AN372" i="1" s="1"/>
  <c r="H161" i="33"/>
  <c r="D107" i="33" s="1"/>
  <c r="H148" i="33" l="1"/>
  <c r="D94" i="33" s="1"/>
  <c r="D138" i="33" s="1"/>
  <c r="G148" i="33"/>
  <c r="C94" i="33" s="1"/>
  <c r="AD268" i="1" s="1"/>
  <c r="H191" i="33" l="1"/>
  <c r="C138" i="33"/>
  <c r="AN268" i="1"/>
  <c r="G191" i="33"/>
  <c r="E54" i="25" l="1"/>
  <c r="B24" i="25" l="1"/>
  <c r="B29" i="25"/>
  <c r="U303" i="29"/>
  <c r="V31" i="25" s="1"/>
  <c r="T303" i="29"/>
  <c r="U31" i="25" s="1"/>
  <c r="S303" i="29"/>
  <c r="T31" i="25" s="1"/>
  <c r="Q303" i="29"/>
  <c r="R31" i="25" s="1"/>
  <c r="P303" i="29"/>
  <c r="Q31" i="25" s="1"/>
  <c r="O303" i="29"/>
  <c r="P31" i="25" s="1"/>
  <c r="N303" i="29"/>
  <c r="O31" i="25" s="1"/>
  <c r="L303" i="29"/>
  <c r="M31" i="25" s="1"/>
  <c r="K303" i="29"/>
  <c r="L31" i="25" s="1"/>
  <c r="J303" i="29"/>
  <c r="K31" i="25" s="1"/>
  <c r="I303" i="29"/>
  <c r="J31" i="25" s="1"/>
  <c r="G303" i="29"/>
  <c r="H31" i="25" s="1"/>
  <c r="F303" i="29"/>
  <c r="G31" i="25" s="1"/>
  <c r="E303" i="29"/>
  <c r="F31" i="25" s="1"/>
  <c r="D303" i="29"/>
  <c r="C303" i="29"/>
  <c r="F297" i="27" l="1"/>
  <c r="V122" i="1" l="1"/>
  <c r="U122" i="1"/>
  <c r="V112" i="1" l="1"/>
  <c r="U112" i="1"/>
  <c r="W112" i="1" s="1"/>
  <c r="V111" i="1"/>
  <c r="U111" i="1"/>
  <c r="W111" i="1" s="1"/>
  <c r="V110" i="1"/>
  <c r="U110" i="1"/>
  <c r="W110" i="1" s="1"/>
  <c r="V109" i="1"/>
  <c r="U109" i="1"/>
  <c r="W109" i="1" s="1"/>
  <c r="V71" i="1"/>
  <c r="X71" i="1" s="1"/>
  <c r="U71" i="1"/>
  <c r="W71" i="1" s="1"/>
  <c r="V70" i="1"/>
  <c r="X70" i="1" s="1"/>
  <c r="U70" i="1"/>
  <c r="W70" i="1" s="1"/>
  <c r="V64" i="1"/>
  <c r="X64" i="1" s="1"/>
  <c r="U64" i="1"/>
  <c r="V63" i="1"/>
  <c r="X63" i="1" s="1"/>
  <c r="U63" i="1"/>
  <c r="V62" i="1"/>
  <c r="X62" i="1" s="1"/>
  <c r="U62" i="1"/>
  <c r="V61" i="1"/>
  <c r="X61" i="1" s="1"/>
  <c r="U61" i="1"/>
  <c r="A29" i="25" l="1"/>
  <c r="C29" i="25" s="1"/>
  <c r="U298" i="27"/>
  <c r="T298" i="27"/>
  <c r="S298" i="27"/>
  <c r="Q298" i="27"/>
  <c r="P298" i="27"/>
  <c r="O298" i="27"/>
  <c r="N298" i="27"/>
  <c r="L298" i="27"/>
  <c r="K298" i="27"/>
  <c r="J298" i="27"/>
  <c r="I298" i="27"/>
  <c r="G298" i="27"/>
  <c r="E298" i="27"/>
  <c r="F295" i="27"/>
  <c r="F294" i="27"/>
  <c r="F293" i="27"/>
  <c r="F292" i="27"/>
  <c r="F291" i="27"/>
  <c r="F290" i="27"/>
  <c r="F289" i="27"/>
  <c r="F288" i="27"/>
  <c r="F287" i="27"/>
  <c r="F286" i="27"/>
  <c r="F285" i="27"/>
  <c r="F284" i="27"/>
  <c r="F283" i="27"/>
  <c r="F282" i="27"/>
  <c r="F281" i="27"/>
  <c r="F280" i="27"/>
  <c r="F279" i="27"/>
  <c r="F278" i="27"/>
  <c r="F277" i="27"/>
  <c r="F276" i="27"/>
  <c r="F275" i="27"/>
  <c r="F274" i="27"/>
  <c r="F273" i="27"/>
  <c r="F272" i="27"/>
  <c r="F271" i="27"/>
  <c r="F270" i="27"/>
  <c r="F269" i="27"/>
  <c r="F268" i="27"/>
  <c r="F267" i="27"/>
  <c r="F266" i="27"/>
  <c r="F265" i="27"/>
  <c r="F264" i="27"/>
  <c r="F263" i="27"/>
  <c r="F262" i="27"/>
  <c r="F261" i="27"/>
  <c r="F260" i="27"/>
  <c r="F259" i="27"/>
  <c r="F258" i="27"/>
  <c r="F257" i="27"/>
  <c r="F256" i="27"/>
  <c r="F255" i="27"/>
  <c r="F254" i="27"/>
  <c r="F253" i="27"/>
  <c r="F252" i="27"/>
  <c r="F251" i="27"/>
  <c r="F250" i="27"/>
  <c r="F249" i="27"/>
  <c r="F248" i="27"/>
  <c r="F247" i="27"/>
  <c r="F246" i="27"/>
  <c r="F245" i="27"/>
  <c r="F244" i="27"/>
  <c r="F243" i="27"/>
  <c r="F242" i="27"/>
  <c r="F241" i="27"/>
  <c r="F240" i="27"/>
  <c r="F239" i="27"/>
  <c r="F238" i="27"/>
  <c r="F237" i="27"/>
  <c r="F236" i="27"/>
  <c r="F235" i="27"/>
  <c r="F234" i="27"/>
  <c r="F233" i="27"/>
  <c r="F232" i="27"/>
  <c r="F231" i="27"/>
  <c r="F230" i="27"/>
  <c r="F229" i="27"/>
  <c r="F228" i="27"/>
  <c r="F227" i="27"/>
  <c r="F226" i="27"/>
  <c r="F225" i="27"/>
  <c r="F224" i="27"/>
  <c r="F223" i="27"/>
  <c r="F222" i="27"/>
  <c r="F221" i="27"/>
  <c r="F220" i="27"/>
  <c r="F219" i="27"/>
  <c r="F218" i="27"/>
  <c r="F217" i="27"/>
  <c r="F216" i="27"/>
  <c r="F215" i="27"/>
  <c r="F214" i="27"/>
  <c r="F213" i="27"/>
  <c r="F212" i="27"/>
  <c r="F211" i="27"/>
  <c r="F210" i="27"/>
  <c r="F209" i="27"/>
  <c r="F208" i="27"/>
  <c r="F207" i="27"/>
  <c r="F206" i="27"/>
  <c r="F205" i="27"/>
  <c r="F204" i="27"/>
  <c r="F203" i="27"/>
  <c r="F202" i="27"/>
  <c r="F201" i="27"/>
  <c r="F200" i="27"/>
  <c r="F199" i="27"/>
  <c r="F198" i="27"/>
  <c r="F197" i="27"/>
  <c r="F196" i="27"/>
  <c r="F195" i="27"/>
  <c r="F194" i="27"/>
  <c r="F193" i="27"/>
  <c r="F192" i="27"/>
  <c r="F191" i="27"/>
  <c r="F190" i="27"/>
  <c r="F189" i="27"/>
  <c r="F188" i="27"/>
  <c r="F187" i="27"/>
  <c r="F186" i="27"/>
  <c r="F185" i="27"/>
  <c r="F184" i="27"/>
  <c r="F183" i="27"/>
  <c r="F182" i="27"/>
  <c r="F181" i="27"/>
  <c r="F180" i="27"/>
  <c r="F179" i="27"/>
  <c r="F178" i="27"/>
  <c r="F177" i="27"/>
  <c r="F176" i="27"/>
  <c r="F175" i="27"/>
  <c r="F174" i="27"/>
  <c r="F173" i="27"/>
  <c r="F172" i="27"/>
  <c r="F171" i="27"/>
  <c r="F170" i="27"/>
  <c r="F169" i="27"/>
  <c r="F168" i="27"/>
  <c r="F167" i="27"/>
  <c r="F166" i="27"/>
  <c r="F165" i="27"/>
  <c r="F164" i="27"/>
  <c r="F163" i="27"/>
  <c r="F162" i="27"/>
  <c r="F161" i="27"/>
  <c r="F160" i="27"/>
  <c r="F159" i="27"/>
  <c r="F158" i="27"/>
  <c r="F157" i="27"/>
  <c r="F156" i="27"/>
  <c r="F155" i="27"/>
  <c r="F154" i="27"/>
  <c r="F153" i="27"/>
  <c r="F152" i="27"/>
  <c r="F151" i="27"/>
  <c r="F150" i="27"/>
  <c r="F149" i="27"/>
  <c r="F148" i="27"/>
  <c r="F147" i="27"/>
  <c r="F146" i="27"/>
  <c r="F145" i="27"/>
  <c r="F144" i="27"/>
  <c r="F143" i="27"/>
  <c r="F142" i="27"/>
  <c r="F141" i="27"/>
  <c r="F140" i="27"/>
  <c r="F139" i="27"/>
  <c r="F138" i="27"/>
  <c r="F137" i="27"/>
  <c r="F136" i="27"/>
  <c r="F135" i="27"/>
  <c r="F134" i="27"/>
  <c r="F133" i="27"/>
  <c r="F132" i="27"/>
  <c r="F131" i="27"/>
  <c r="F130" i="27"/>
  <c r="F129" i="27"/>
  <c r="F128" i="27"/>
  <c r="F127" i="27"/>
  <c r="F126" i="27"/>
  <c r="F125" i="27"/>
  <c r="F124" i="27"/>
  <c r="F123" i="27"/>
  <c r="F122" i="27"/>
  <c r="F121" i="27"/>
  <c r="F120" i="27"/>
  <c r="F119" i="27"/>
  <c r="F118" i="27"/>
  <c r="F117" i="27"/>
  <c r="F116" i="27"/>
  <c r="F115" i="27"/>
  <c r="F114" i="27"/>
  <c r="F113" i="27"/>
  <c r="F112" i="27"/>
  <c r="F111" i="27"/>
  <c r="F110" i="27"/>
  <c r="F109" i="27"/>
  <c r="F108" i="27"/>
  <c r="F107" i="27"/>
  <c r="F106" i="27"/>
  <c r="F105" i="27"/>
  <c r="F104" i="27"/>
  <c r="F103" i="27"/>
  <c r="F102" i="27"/>
  <c r="F101" i="27"/>
  <c r="F100" i="27"/>
  <c r="F99" i="27"/>
  <c r="F98" i="27"/>
  <c r="F97" i="27"/>
  <c r="F96" i="27"/>
  <c r="F95" i="27"/>
  <c r="F94" i="27"/>
  <c r="F93" i="27"/>
  <c r="F92" i="27"/>
  <c r="F91" i="27"/>
  <c r="F90" i="27"/>
  <c r="F89" i="27"/>
  <c r="F88" i="27"/>
  <c r="F87" i="27"/>
  <c r="F86" i="27"/>
  <c r="F85" i="27"/>
  <c r="F84" i="27"/>
  <c r="F83" i="27"/>
  <c r="F82" i="27"/>
  <c r="F81" i="27"/>
  <c r="F80" i="27"/>
  <c r="F79" i="27"/>
  <c r="F78" i="27"/>
  <c r="F77" i="27"/>
  <c r="F76" i="27"/>
  <c r="F75" i="27"/>
  <c r="F74" i="27"/>
  <c r="F73" i="27"/>
  <c r="F72" i="27"/>
  <c r="F71" i="27"/>
  <c r="F70" i="27"/>
  <c r="F69" i="27"/>
  <c r="F68" i="27"/>
  <c r="F67" i="27"/>
  <c r="F66" i="27"/>
  <c r="F65" i="27"/>
  <c r="F64" i="27"/>
  <c r="F63" i="27"/>
  <c r="G29" i="34" s="1"/>
  <c r="F62" i="27"/>
  <c r="F61" i="27"/>
  <c r="F60" i="27"/>
  <c r="F59" i="27"/>
  <c r="F58" i="27"/>
  <c r="F57" i="27"/>
  <c r="F56" i="27"/>
  <c r="F55" i="27"/>
  <c r="F54" i="27"/>
  <c r="F53" i="27"/>
  <c r="F52" i="27"/>
  <c r="F51" i="27"/>
  <c r="F50" i="27"/>
  <c r="F49" i="27"/>
  <c r="F48" i="27"/>
  <c r="F47" i="27"/>
  <c r="F46" i="27"/>
  <c r="F45" i="27"/>
  <c r="F44" i="27"/>
  <c r="F43" i="27"/>
  <c r="F42" i="27"/>
  <c r="F41" i="27"/>
  <c r="F40" i="27"/>
  <c r="F39" i="27"/>
  <c r="F38" i="27"/>
  <c r="F37" i="27"/>
  <c r="F36" i="27"/>
  <c r="F35" i="27"/>
  <c r="F34" i="27"/>
  <c r="F33" i="27"/>
  <c r="F32" i="27"/>
  <c r="F31" i="27"/>
  <c r="F30" i="27"/>
  <c r="F29" i="27"/>
  <c r="F28" i="27"/>
  <c r="F27" i="27"/>
  <c r="F26" i="27"/>
  <c r="F25" i="27"/>
  <c r="F24" i="27"/>
  <c r="F23" i="27"/>
  <c r="F22" i="27"/>
  <c r="F21" i="27"/>
  <c r="F20" i="27"/>
  <c r="F19" i="27"/>
  <c r="F18" i="27"/>
  <c r="F17" i="27"/>
  <c r="F16" i="27"/>
  <c r="F15" i="27"/>
  <c r="F14" i="27"/>
  <c r="F13" i="27"/>
  <c r="F12" i="27"/>
  <c r="F11" i="27"/>
  <c r="F10" i="27"/>
  <c r="F9" i="27"/>
  <c r="F8" i="27"/>
  <c r="F7" i="27"/>
  <c r="F6" i="27"/>
  <c r="F5" i="27"/>
  <c r="F4" i="27"/>
  <c r="F3" i="27"/>
  <c r="P31" i="34" l="1"/>
  <c r="P31" i="33"/>
  <c r="F31" i="34"/>
  <c r="F31" i="33"/>
  <c r="Q31" i="34"/>
  <c r="Q31" i="33"/>
  <c r="H31" i="34"/>
  <c r="H31" i="33"/>
  <c r="J31" i="34"/>
  <c r="J31" i="33"/>
  <c r="K31" i="34"/>
  <c r="K31" i="33"/>
  <c r="U31" i="34"/>
  <c r="U31" i="33"/>
  <c r="O31" i="34"/>
  <c r="O31" i="33"/>
  <c r="T31" i="34"/>
  <c r="T31" i="33"/>
  <c r="L31" i="34"/>
  <c r="L31" i="33"/>
  <c r="V31" i="34"/>
  <c r="V31" i="33"/>
  <c r="R31" i="34"/>
  <c r="R31" i="33"/>
  <c r="M31" i="34"/>
  <c r="M31" i="33"/>
  <c r="U29" i="25"/>
  <c r="K29" i="25"/>
  <c r="L29" i="25"/>
  <c r="E40" i="25" s="1"/>
  <c r="D149" i="25" s="1"/>
  <c r="M29" i="25"/>
  <c r="E41" i="25" s="1"/>
  <c r="D150" i="25" s="1"/>
  <c r="T29" i="25"/>
  <c r="J29" i="25"/>
  <c r="E38" i="25" s="1"/>
  <c r="D147" i="25" s="1"/>
  <c r="R29" i="25"/>
  <c r="D45" i="25" s="1"/>
  <c r="C154" i="25" s="1"/>
  <c r="H29" i="25"/>
  <c r="Q29" i="25"/>
  <c r="D44" i="25" s="1"/>
  <c r="C153" i="25" s="1"/>
  <c r="G29" i="25"/>
  <c r="P29" i="25"/>
  <c r="O29" i="25"/>
  <c r="D42" i="25" s="1"/>
  <c r="C151" i="25" s="1"/>
  <c r="V29" i="25"/>
  <c r="F29" i="25"/>
  <c r="D29" i="25"/>
  <c r="A24" i="25"/>
  <c r="D43" i="25" l="1"/>
  <c r="C152" i="25" s="1"/>
  <c r="E29" i="25"/>
  <c r="V24" i="25"/>
  <c r="D37" i="25" s="1"/>
  <c r="L24" i="25"/>
  <c r="D48" i="25" s="1"/>
  <c r="C149" i="25" s="1"/>
  <c r="C24" i="25"/>
  <c r="U24" i="25"/>
  <c r="K24" i="25"/>
  <c r="T24" i="25"/>
  <c r="J24" i="25"/>
  <c r="D46" i="25" s="1"/>
  <c r="C147" i="25" s="1"/>
  <c r="R24" i="25"/>
  <c r="E53" i="25" s="1"/>
  <c r="D154" i="25" s="1"/>
  <c r="H24" i="25"/>
  <c r="E36" i="25" s="1"/>
  <c r="Q24" i="25"/>
  <c r="E52" i="25" s="1"/>
  <c r="D153" i="25" s="1"/>
  <c r="G24" i="25"/>
  <c r="D35" i="25" s="1"/>
  <c r="P24" i="25"/>
  <c r="F24" i="25"/>
  <c r="O24" i="25"/>
  <c r="E50" i="25" s="1"/>
  <c r="D151" i="25" s="1"/>
  <c r="M24" i="25"/>
  <c r="D49" i="25" s="1"/>
  <c r="C150" i="25" s="1"/>
  <c r="D24" i="25"/>
  <c r="E39" i="25"/>
  <c r="D148" i="25" s="1"/>
  <c r="K33" i="25"/>
  <c r="N15" i="25"/>
  <c r="E24" i="25" l="1"/>
  <c r="Z112" i="1"/>
  <c r="E55" i="25"/>
  <c r="D55" i="25"/>
  <c r="D47" i="25"/>
  <c r="C148" i="25" s="1"/>
  <c r="E51" i="25"/>
  <c r="D152" i="25" s="1"/>
  <c r="E56" i="25" l="1"/>
  <c r="D136" i="25" s="1"/>
  <c r="D56" i="25"/>
  <c r="Q293" i="15"/>
  <c r="C130" i="25" l="1"/>
  <c r="C136" i="25"/>
  <c r="E57" i="25"/>
  <c r="D57" i="25"/>
  <c r="C86" i="25"/>
  <c r="C85" i="25"/>
  <c r="C84" i="25"/>
  <c r="C83" i="25"/>
  <c r="C82" i="25"/>
  <c r="C81" i="25"/>
  <c r="C80" i="25"/>
  <c r="C79" i="25"/>
  <c r="C78" i="25"/>
  <c r="C77" i="25"/>
  <c r="C76" i="25"/>
  <c r="C75" i="25"/>
  <c r="C74" i="25"/>
  <c r="C73" i="25"/>
  <c r="C72" i="25"/>
  <c r="C71" i="25"/>
  <c r="D130" i="25"/>
  <c r="C66" i="25"/>
  <c r="C65" i="25"/>
  <c r="Y60" i="1" s="1"/>
  <c r="L229" i="15"/>
  <c r="W286" i="15" s="1"/>
  <c r="L228" i="15"/>
  <c r="W285" i="15" s="1"/>
  <c r="L227" i="15"/>
  <c r="W284" i="15" s="1"/>
  <c r="L226" i="15"/>
  <c r="W283" i="15" s="1"/>
  <c r="L225" i="15"/>
  <c r="W282" i="15" s="1"/>
  <c r="L224" i="15"/>
  <c r="W281" i="15" s="1"/>
  <c r="L223" i="15"/>
  <c r="W280" i="15" s="1"/>
  <c r="L222" i="15"/>
  <c r="W279" i="15" s="1"/>
  <c r="L221" i="15"/>
  <c r="W278" i="15" s="1"/>
  <c r="L220" i="15"/>
  <c r="W277" i="15" s="1"/>
  <c r="L219" i="15"/>
  <c r="W276" i="15" s="1"/>
  <c r="L218" i="15"/>
  <c r="W275" i="15" s="1"/>
  <c r="L217" i="15"/>
  <c r="W274" i="15" s="1"/>
  <c r="L216" i="15"/>
  <c r="W273" i="15" s="1"/>
  <c r="L215" i="15"/>
  <c r="W272" i="15" s="1"/>
  <c r="L214" i="15"/>
  <c r="W271" i="15" s="1"/>
  <c r="L213" i="15"/>
  <c r="W270" i="15" s="1"/>
  <c r="L208" i="15"/>
  <c r="N208" i="15" s="1"/>
  <c r="L188" i="15"/>
  <c r="M188" i="15" s="1"/>
  <c r="D155" i="25" l="1"/>
  <c r="Y64" i="1"/>
  <c r="D138" i="25"/>
  <c r="C138" i="25"/>
  <c r="D142" i="25"/>
  <c r="C142" i="25"/>
  <c r="D135" i="25"/>
  <c r="C135" i="25"/>
  <c r="D143" i="25"/>
  <c r="C143" i="25"/>
  <c r="D133" i="25"/>
  <c r="C133" i="25"/>
  <c r="D137" i="25"/>
  <c r="C137" i="25"/>
  <c r="D141" i="25"/>
  <c r="C141" i="25"/>
  <c r="D145" i="25"/>
  <c r="C145" i="25"/>
  <c r="D134" i="25"/>
  <c r="C134" i="25"/>
  <c r="D146" i="25"/>
  <c r="C146" i="25"/>
  <c r="D131" i="25"/>
  <c r="C131" i="25"/>
  <c r="D139" i="25"/>
  <c r="C139" i="25"/>
  <c r="C129" i="25"/>
  <c r="C155" i="25"/>
  <c r="D129" i="25"/>
  <c r="D132" i="25"/>
  <c r="C132" i="25"/>
  <c r="D140" i="25"/>
  <c r="C140" i="25"/>
  <c r="D144" i="25"/>
  <c r="C144" i="25"/>
  <c r="Z109" i="1"/>
  <c r="Y62" i="1"/>
  <c r="Z111" i="1"/>
  <c r="Z102" i="1"/>
  <c r="Y63" i="1"/>
  <c r="Z110" i="1"/>
  <c r="Y61" i="1"/>
  <c r="X110" i="1"/>
  <c r="X111" i="1"/>
  <c r="W63" i="1"/>
  <c r="X109" i="1"/>
  <c r="W61" i="1"/>
  <c r="W62" i="1"/>
  <c r="C87" i="25"/>
  <c r="D87" i="25" s="1"/>
  <c r="C67" i="25"/>
  <c r="D67" i="25" s="1"/>
  <c r="L230" i="15"/>
  <c r="U289" i="15" s="1"/>
  <c r="Z122" i="1" l="1"/>
  <c r="Y122" i="1"/>
  <c r="AN122" i="1" s="1"/>
  <c r="E129" i="25"/>
  <c r="G129" i="25" s="1"/>
  <c r="E151" i="25"/>
  <c r="H151" i="25" s="1"/>
  <c r="W64" i="1"/>
  <c r="X122" i="1"/>
  <c r="X112" i="1"/>
  <c r="W122" i="1"/>
  <c r="E155" i="25"/>
  <c r="H155" i="25" s="1"/>
  <c r="E153" i="25"/>
  <c r="E149" i="25"/>
  <c r="E154" i="25"/>
  <c r="V23" i="1"/>
  <c r="X23" i="1" s="1"/>
  <c r="AO23" i="1" s="1"/>
  <c r="U23" i="1"/>
  <c r="W23" i="1" s="1"/>
  <c r="V60" i="1"/>
  <c r="X60" i="1" s="1"/>
  <c r="U60" i="1"/>
  <c r="W60" i="1" s="1"/>
  <c r="V102" i="1"/>
  <c r="X102" i="1" s="1"/>
  <c r="U102" i="1"/>
  <c r="W102" i="1" s="1"/>
  <c r="V108" i="1"/>
  <c r="X108" i="1" s="1"/>
  <c r="U108" i="1"/>
  <c r="W108" i="1" s="1"/>
  <c r="V119" i="1"/>
  <c r="X119" i="1" s="1"/>
  <c r="U119" i="1"/>
  <c r="W119" i="1" s="1"/>
  <c r="G151" i="25" l="1"/>
  <c r="C114" i="25" s="1"/>
  <c r="AD110" i="1" s="1"/>
  <c r="D114" i="25"/>
  <c r="AG110" i="1" s="1"/>
  <c r="D118" i="25"/>
  <c r="AG60" i="1" s="1"/>
  <c r="AO122" i="1"/>
  <c r="G155" i="25"/>
  <c r="H154" i="25"/>
  <c r="G154" i="25"/>
  <c r="H149" i="25"/>
  <c r="G149" i="25"/>
  <c r="H153" i="25"/>
  <c r="G153" i="25"/>
  <c r="Y289" i="15"/>
  <c r="N254" i="15" s="1"/>
  <c r="X294" i="15"/>
  <c r="X293" i="15"/>
  <c r="X292" i="15"/>
  <c r="X290" i="15"/>
  <c r="Y288" i="15"/>
  <c r="Y287" i="15"/>
  <c r="W295" i="15"/>
  <c r="D116" i="25" l="1"/>
  <c r="C112" i="25"/>
  <c r="AD63" i="1" s="1"/>
  <c r="D112" i="25"/>
  <c r="AG63" i="1" s="1"/>
  <c r="C118" i="25"/>
  <c r="C116" i="25"/>
  <c r="C117" i="25"/>
  <c r="AD109" i="1" s="1"/>
  <c r="AN109" i="1" s="1"/>
  <c r="D117" i="25"/>
  <c r="AG109" i="1" s="1"/>
  <c r="AO109" i="1" s="1"/>
  <c r="C27" i="24"/>
  <c r="C65" i="24" s="1"/>
  <c r="C25" i="24"/>
  <c r="C26" i="24" s="1"/>
  <c r="C64" i="24" s="1"/>
  <c r="C23" i="24"/>
  <c r="C61" i="24" s="1"/>
  <c r="C21" i="24"/>
  <c r="C22" i="24" s="1"/>
  <c r="C60" i="24" s="1"/>
  <c r="C19" i="24"/>
  <c r="C57" i="24" s="1"/>
  <c r="C18" i="24"/>
  <c r="C56" i="24" s="1"/>
  <c r="C17" i="24"/>
  <c r="C55" i="24" s="1"/>
  <c r="C47" i="5"/>
  <c r="C78" i="5" s="1"/>
  <c r="C46" i="5"/>
  <c r="C77" i="5" s="1"/>
  <c r="C45" i="5"/>
  <c r="C76" i="5" s="1"/>
  <c r="C44" i="5"/>
  <c r="C75" i="5" s="1"/>
  <c r="C43" i="5"/>
  <c r="C74" i="5" s="1"/>
  <c r="C42" i="5"/>
  <c r="C73" i="5" s="1"/>
  <c r="E158" i="3"/>
  <c r="E157" i="3"/>
  <c r="E156" i="3"/>
  <c r="E155" i="3"/>
  <c r="E154" i="3"/>
  <c r="C57" i="1"/>
  <c r="C52" i="1"/>
  <c r="C56" i="3"/>
  <c r="E107" i="3" s="1"/>
  <c r="C55" i="3"/>
  <c r="E106" i="3" s="1"/>
  <c r="C54" i="3"/>
  <c r="E105" i="3" s="1"/>
  <c r="C53" i="3"/>
  <c r="E104" i="3" s="1"/>
  <c r="C52" i="3"/>
  <c r="E103" i="3" s="1"/>
  <c r="C51" i="3"/>
  <c r="E102" i="3" s="1"/>
  <c r="C50" i="3"/>
  <c r="E101" i="3" s="1"/>
  <c r="C49" i="3"/>
  <c r="E100" i="3" s="1"/>
  <c r="S22" i="4"/>
  <c r="C259" i="4" s="1"/>
  <c r="R22" i="4"/>
  <c r="R43" i="4" s="1"/>
  <c r="Q22" i="4"/>
  <c r="P22" i="4"/>
  <c r="C256" i="4" s="1"/>
  <c r="O22" i="4"/>
  <c r="C243" i="4" s="1"/>
  <c r="M23" i="4"/>
  <c r="C254" i="4" s="1"/>
  <c r="L23" i="4"/>
  <c r="F217" i="4" s="1"/>
  <c r="Q122" i="4"/>
  <c r="D240" i="19"/>
  <c r="E248" i="19" s="1"/>
  <c r="D239" i="19"/>
  <c r="E247" i="19" s="1"/>
  <c r="C98" i="19"/>
  <c r="C96" i="19"/>
  <c r="AN108" i="1"/>
  <c r="AO108" i="1"/>
  <c r="U106" i="1"/>
  <c r="W106" i="1" s="1"/>
  <c r="V106" i="1"/>
  <c r="X106" i="1" s="1"/>
  <c r="U78" i="1"/>
  <c r="W78" i="1" s="1"/>
  <c r="V78" i="1"/>
  <c r="X78" i="1" s="1"/>
  <c r="V391" i="1"/>
  <c r="X391" i="1" s="1"/>
  <c r="U391" i="1"/>
  <c r="W391" i="1" s="1"/>
  <c r="AJ150" i="1"/>
  <c r="AJ148" i="1"/>
  <c r="AJ147" i="1"/>
  <c r="AJ146" i="1"/>
  <c r="AJ145" i="1"/>
  <c r="AJ144" i="1"/>
  <c r="AJ143" i="1"/>
  <c r="AJ142" i="1"/>
  <c r="AJ141" i="1"/>
  <c r="AJ140" i="1"/>
  <c r="AJ139" i="1"/>
  <c r="AJ138" i="1"/>
  <c r="AJ137" i="1"/>
  <c r="AJ136" i="1"/>
  <c r="AJ135" i="1"/>
  <c r="AJ134" i="1"/>
  <c r="AJ133" i="1"/>
  <c r="AJ132" i="1"/>
  <c r="AJ131" i="1"/>
  <c r="AJ130" i="1"/>
  <c r="AJ129" i="1"/>
  <c r="AJ128" i="1"/>
  <c r="L312" i="19"/>
  <c r="AK129" i="1" s="1"/>
  <c r="L162" i="19"/>
  <c r="L310" i="19" s="1"/>
  <c r="AK130" i="1" s="1"/>
  <c r="V129" i="1"/>
  <c r="X129" i="1" s="1"/>
  <c r="U129" i="1"/>
  <c r="W129" i="1" s="1"/>
  <c r="AN129" i="1" s="1"/>
  <c r="N198" i="2"/>
  <c r="AB217" i="1" s="1"/>
  <c r="AF97" i="1"/>
  <c r="AC97" i="1"/>
  <c r="N177" i="15"/>
  <c r="T290" i="15" s="1"/>
  <c r="L259" i="15"/>
  <c r="L258" i="15"/>
  <c r="L257" i="15"/>
  <c r="L255" i="15"/>
  <c r="AD97" i="1" s="1"/>
  <c r="N253" i="15"/>
  <c r="N252" i="15"/>
  <c r="R272" i="15"/>
  <c r="R286" i="15"/>
  <c r="R285" i="15"/>
  <c r="R284" i="15"/>
  <c r="R283" i="15"/>
  <c r="R282" i="15"/>
  <c r="R281" i="15"/>
  <c r="R280" i="15"/>
  <c r="R279" i="15"/>
  <c r="R278" i="15"/>
  <c r="R277" i="15"/>
  <c r="R276" i="15"/>
  <c r="R275" i="15"/>
  <c r="R274" i="15"/>
  <c r="R273" i="15"/>
  <c r="R271" i="15"/>
  <c r="R270" i="15"/>
  <c r="K76" i="24"/>
  <c r="Z97" i="1" s="1"/>
  <c r="N155" i="15"/>
  <c r="V97" i="1"/>
  <c r="X97" i="1" s="1"/>
  <c r="U97" i="1"/>
  <c r="W97" i="1" s="1"/>
  <c r="L33" i="15"/>
  <c r="J279" i="15" s="1"/>
  <c r="L32" i="15"/>
  <c r="J278" i="15" s="1"/>
  <c r="J55" i="15"/>
  <c r="F279" i="15" s="1"/>
  <c r="J54" i="15"/>
  <c r="F278" i="15" s="1"/>
  <c r="L278" i="15"/>
  <c r="O278" i="15"/>
  <c r="L279" i="15"/>
  <c r="O279" i="15"/>
  <c r="N158" i="2"/>
  <c r="AB167" i="1" s="1"/>
  <c r="N166" i="2"/>
  <c r="AB177" i="1" s="1"/>
  <c r="N185" i="2"/>
  <c r="AB201" i="1" s="1"/>
  <c r="N199" i="2"/>
  <c r="AB218" i="1" s="1"/>
  <c r="J46" i="15"/>
  <c r="F270" i="15" s="1"/>
  <c r="L270" i="15"/>
  <c r="O270" i="15"/>
  <c r="L24" i="15"/>
  <c r="J270" i="15" s="1"/>
  <c r="Y270" i="15" s="1"/>
  <c r="N235" i="15" s="1"/>
  <c r="AG265" i="1" s="1"/>
  <c r="J47" i="15"/>
  <c r="F271" i="15" s="1"/>
  <c r="L271" i="15"/>
  <c r="O271" i="15"/>
  <c r="L25" i="15"/>
  <c r="J271" i="15" s="1"/>
  <c r="J48" i="15"/>
  <c r="L272" i="15"/>
  <c r="O272" i="15"/>
  <c r="L26" i="15"/>
  <c r="J272" i="15" s="1"/>
  <c r="J49" i="15"/>
  <c r="F273" i="15" s="1"/>
  <c r="L273" i="15"/>
  <c r="O273" i="15"/>
  <c r="L27" i="15"/>
  <c r="J273" i="15" s="1"/>
  <c r="J50" i="15"/>
  <c r="F274" i="15" s="1"/>
  <c r="L274" i="15"/>
  <c r="O274" i="15"/>
  <c r="L28" i="15"/>
  <c r="J274" i="15" s="1"/>
  <c r="Y274" i="15" s="1"/>
  <c r="J51" i="15"/>
  <c r="F275" i="15" s="1"/>
  <c r="L275" i="15"/>
  <c r="O275" i="15"/>
  <c r="L29" i="15"/>
  <c r="J275" i="15" s="1"/>
  <c r="J52" i="15"/>
  <c r="F276" i="15" s="1"/>
  <c r="L276" i="15"/>
  <c r="O276" i="15"/>
  <c r="L30" i="15"/>
  <c r="J276" i="15" s="1"/>
  <c r="Y276" i="15" s="1"/>
  <c r="J53" i="15"/>
  <c r="F277" i="15" s="1"/>
  <c r="L277" i="15"/>
  <c r="O277" i="15"/>
  <c r="L31" i="15"/>
  <c r="J277" i="15" s="1"/>
  <c r="J56" i="15"/>
  <c r="F280" i="15" s="1"/>
  <c r="L280" i="15"/>
  <c r="O280" i="15"/>
  <c r="L34" i="15"/>
  <c r="J280" i="15" s="1"/>
  <c r="J57" i="15"/>
  <c r="F281" i="15" s="1"/>
  <c r="L281" i="15"/>
  <c r="O281" i="15"/>
  <c r="L35" i="15"/>
  <c r="J281" i="15" s="1"/>
  <c r="J58" i="15"/>
  <c r="F282" i="15" s="1"/>
  <c r="L282" i="15"/>
  <c r="O282" i="15"/>
  <c r="L36" i="15"/>
  <c r="J282" i="15" s="1"/>
  <c r="J59" i="15"/>
  <c r="F283" i="15" s="1"/>
  <c r="L283" i="15"/>
  <c r="O283" i="15"/>
  <c r="L37" i="15"/>
  <c r="J283" i="15" s="1"/>
  <c r="J60" i="15"/>
  <c r="F284" i="15" s="1"/>
  <c r="L284" i="15"/>
  <c r="O284" i="15"/>
  <c r="L38" i="15"/>
  <c r="J284" i="15" s="1"/>
  <c r="J61" i="15"/>
  <c r="F285" i="15" s="1"/>
  <c r="L285" i="15"/>
  <c r="O285" i="15"/>
  <c r="L39" i="15"/>
  <c r="J285" i="15" s="1"/>
  <c r="J62" i="15"/>
  <c r="F286" i="15" s="1"/>
  <c r="L286" i="15"/>
  <c r="O286" i="15"/>
  <c r="L40" i="15"/>
  <c r="J286" i="15" s="1"/>
  <c r="L287" i="15"/>
  <c r="O287" i="15"/>
  <c r="L288" i="15"/>
  <c r="O288" i="15"/>
  <c r="K74" i="24"/>
  <c r="Z96" i="1" s="1"/>
  <c r="K75" i="24"/>
  <c r="Z93" i="1" s="1"/>
  <c r="K77" i="24"/>
  <c r="Z98" i="1" s="1"/>
  <c r="K78" i="24"/>
  <c r="K79" i="24"/>
  <c r="Z100" i="1" s="1"/>
  <c r="K80" i="24"/>
  <c r="Z101" i="1" s="1"/>
  <c r="J236" i="19"/>
  <c r="AI94" i="1" s="1"/>
  <c r="J235" i="19"/>
  <c r="AI93" i="1" s="1"/>
  <c r="L244" i="19"/>
  <c r="AK88" i="1" s="1"/>
  <c r="L243" i="19"/>
  <c r="AK87" i="1" s="1"/>
  <c r="L103" i="12"/>
  <c r="AD94" i="1" s="1"/>
  <c r="L102" i="12"/>
  <c r="AD93" i="1" s="1"/>
  <c r="AJ91" i="1"/>
  <c r="AJ90" i="1"/>
  <c r="AJ89" i="1"/>
  <c r="AJ88" i="1"/>
  <c r="AJ87" i="1"/>
  <c r="AJ86" i="1"/>
  <c r="AJ85" i="1"/>
  <c r="AJ84" i="1"/>
  <c r="U88" i="1"/>
  <c r="W88" i="1" s="1"/>
  <c r="AN88" i="1" s="1"/>
  <c r="V88" i="1"/>
  <c r="X88" i="1" s="1"/>
  <c r="L246" i="19"/>
  <c r="AK85" i="1" s="1"/>
  <c r="U87" i="1"/>
  <c r="W87" i="1" s="1"/>
  <c r="AN87" i="1" s="1"/>
  <c r="V87" i="1"/>
  <c r="X87" i="1" s="1"/>
  <c r="L245" i="19"/>
  <c r="AK89" i="1" s="1"/>
  <c r="N38" i="13"/>
  <c r="AG92" i="1" s="1"/>
  <c r="N41" i="13"/>
  <c r="AG95" i="1" s="1"/>
  <c r="N40" i="13"/>
  <c r="AG94" i="1" s="1"/>
  <c r="N39" i="13"/>
  <c r="L37" i="13"/>
  <c r="AD422" i="1" s="1"/>
  <c r="L36" i="13"/>
  <c r="AD424" i="1" s="1"/>
  <c r="L35" i="13"/>
  <c r="AD423" i="1" s="1"/>
  <c r="AH95" i="1"/>
  <c r="AH94" i="1"/>
  <c r="AH93" i="1"/>
  <c r="AH92" i="1"/>
  <c r="AF95" i="1"/>
  <c r="AF94" i="1"/>
  <c r="AF93" i="1"/>
  <c r="AF92" i="1"/>
  <c r="AC95" i="1"/>
  <c r="AC94" i="1"/>
  <c r="AC93" i="1"/>
  <c r="AC92" i="1"/>
  <c r="U94" i="1"/>
  <c r="W94" i="1" s="1"/>
  <c r="J238" i="19"/>
  <c r="AI98" i="1" s="1"/>
  <c r="V94" i="1"/>
  <c r="X94" i="1" s="1"/>
  <c r="U93" i="1"/>
  <c r="W93" i="1" s="1"/>
  <c r="L104" i="12"/>
  <c r="AD95" i="1" s="1"/>
  <c r="J237" i="19"/>
  <c r="AI95" i="1" s="1"/>
  <c r="V93" i="1"/>
  <c r="X93" i="1" s="1"/>
  <c r="AC424" i="1"/>
  <c r="AC423" i="1"/>
  <c r="AC422" i="1"/>
  <c r="U424" i="1"/>
  <c r="W424" i="1" s="1"/>
  <c r="V424" i="1"/>
  <c r="X424" i="1" s="1"/>
  <c r="AO424" i="1" s="1"/>
  <c r="U423" i="1"/>
  <c r="W423" i="1" s="1"/>
  <c r="V423" i="1"/>
  <c r="X423" i="1" s="1"/>
  <c r="AO423" i="1" s="1"/>
  <c r="J264" i="19"/>
  <c r="AI375" i="1" s="1"/>
  <c r="J263" i="19"/>
  <c r="AI367" i="1" s="1"/>
  <c r="J262" i="19"/>
  <c r="AI359" i="1" s="1"/>
  <c r="J261" i="19"/>
  <c r="AI351" i="1" s="1"/>
  <c r="AH367" i="1"/>
  <c r="AH359" i="1"/>
  <c r="AH351" i="1"/>
  <c r="AH343" i="1"/>
  <c r="J260" i="19"/>
  <c r="AI343" i="1" s="1"/>
  <c r="J259" i="19"/>
  <c r="AI335" i="1" s="1"/>
  <c r="J258" i="19"/>
  <c r="AI327" i="1" s="1"/>
  <c r="J257" i="19"/>
  <c r="AI319" i="1" s="1"/>
  <c r="J256" i="19"/>
  <c r="AI311" i="1" s="1"/>
  <c r="J255" i="19"/>
  <c r="AI303" i="1" s="1"/>
  <c r="L300" i="19"/>
  <c r="AK238" i="1" s="1"/>
  <c r="L283" i="19"/>
  <c r="AK237" i="1" s="1"/>
  <c r="L299" i="19"/>
  <c r="AK233" i="1" s="1"/>
  <c r="L282" i="19"/>
  <c r="AK232" i="1" s="1"/>
  <c r="L298" i="19"/>
  <c r="AK228" i="1" s="1"/>
  <c r="L281" i="19"/>
  <c r="AK227" i="1" s="1"/>
  <c r="L297" i="19"/>
  <c r="AK223" i="1" s="1"/>
  <c r="L280" i="19"/>
  <c r="AK222" i="1" s="1"/>
  <c r="AJ238" i="1"/>
  <c r="AJ237" i="1"/>
  <c r="AJ233" i="1"/>
  <c r="AJ232" i="1"/>
  <c r="AJ228" i="1"/>
  <c r="AJ227" i="1"/>
  <c r="AJ222" i="1"/>
  <c r="L296" i="19"/>
  <c r="AK218" i="1" s="1"/>
  <c r="L279" i="19"/>
  <c r="AK217" i="1" s="1"/>
  <c r="L295" i="19"/>
  <c r="AK213" i="1" s="1"/>
  <c r="L278" i="19"/>
  <c r="AK212" i="1" s="1"/>
  <c r="L294" i="19"/>
  <c r="AK208" i="1" s="1"/>
  <c r="L277" i="19"/>
  <c r="AK207" i="1" s="1"/>
  <c r="L293" i="19"/>
  <c r="AK203" i="1" s="1"/>
  <c r="L276" i="19"/>
  <c r="AK202" i="1" s="1"/>
  <c r="L292" i="19"/>
  <c r="AK198" i="1" s="1"/>
  <c r="L275" i="19"/>
  <c r="AK197" i="1" s="1"/>
  <c r="L291" i="19"/>
  <c r="AK193" i="1" s="1"/>
  <c r="L274" i="19"/>
  <c r="AK192" i="1" s="1"/>
  <c r="U426" i="1"/>
  <c r="W426" i="1" s="1"/>
  <c r="AN426" i="1" s="1"/>
  <c r="V426" i="1"/>
  <c r="X426" i="1" s="1"/>
  <c r="AF426" i="1"/>
  <c r="L34" i="13"/>
  <c r="AD421" i="1" s="1"/>
  <c r="N83" i="12"/>
  <c r="AG266" i="1" s="1"/>
  <c r="N84" i="12"/>
  <c r="AG274" i="1" s="1"/>
  <c r="N85" i="12"/>
  <c r="AG282" i="1"/>
  <c r="N86" i="12"/>
  <c r="AG290" i="1" s="1"/>
  <c r="N87" i="12"/>
  <c r="AG298" i="1" s="1"/>
  <c r="N88" i="12"/>
  <c r="AG306" i="1" s="1"/>
  <c r="N89" i="12"/>
  <c r="AG314" i="1" s="1"/>
  <c r="N90" i="12"/>
  <c r="AG322" i="1" s="1"/>
  <c r="N91" i="12"/>
  <c r="AG330" i="1" s="1"/>
  <c r="N92" i="12"/>
  <c r="AG338" i="1" s="1"/>
  <c r="N93" i="12"/>
  <c r="AG346" i="1" s="1"/>
  <c r="N94" i="12"/>
  <c r="AG354" i="1" s="1"/>
  <c r="N95" i="12"/>
  <c r="AG362" i="1" s="1"/>
  <c r="N96" i="12"/>
  <c r="AG370" i="1" s="1"/>
  <c r="N97" i="12"/>
  <c r="AG378" i="1" s="1"/>
  <c r="N98" i="12"/>
  <c r="AG386" i="1" s="1"/>
  <c r="N99" i="12"/>
  <c r="AG394" i="1" s="1"/>
  <c r="L101" i="12"/>
  <c r="N108" i="12"/>
  <c r="AG82" i="1" s="1"/>
  <c r="L110" i="12"/>
  <c r="AD83" i="1" s="1"/>
  <c r="J42" i="12"/>
  <c r="L81" i="12" s="1"/>
  <c r="AD410" i="1" s="1"/>
  <c r="L42" i="12"/>
  <c r="L82" i="12" s="1"/>
  <c r="AD412" i="1" s="1"/>
  <c r="L107" i="12"/>
  <c r="AD118" i="1" s="1"/>
  <c r="M122" i="3"/>
  <c r="AG375" i="1" s="1"/>
  <c r="M121" i="3"/>
  <c r="AG367" i="1"/>
  <c r="M120" i="3"/>
  <c r="AG359" i="1" s="1"/>
  <c r="M78" i="3"/>
  <c r="K145" i="3" s="1"/>
  <c r="AD368" i="1" s="1"/>
  <c r="J67" i="5"/>
  <c r="AD367" i="1" s="1"/>
  <c r="M77" i="3"/>
  <c r="K144" i="3" s="1"/>
  <c r="AD360" i="1" s="1"/>
  <c r="J66" i="5"/>
  <c r="AD359" i="1" s="1"/>
  <c r="AC370" i="1"/>
  <c r="AC369" i="1"/>
  <c r="AC368" i="1"/>
  <c r="AC367" i="1"/>
  <c r="AC362" i="1"/>
  <c r="AC361" i="1"/>
  <c r="AC360" i="1"/>
  <c r="AC359" i="1"/>
  <c r="M119" i="3"/>
  <c r="AG351" i="1" s="1"/>
  <c r="M118" i="3"/>
  <c r="AG343" i="1" s="1"/>
  <c r="M117" i="3"/>
  <c r="AG335" i="1" s="1"/>
  <c r="M116" i="3"/>
  <c r="AG327" i="1" s="1"/>
  <c r="M115" i="3"/>
  <c r="AG319" i="1" s="1"/>
  <c r="M114" i="3"/>
  <c r="AG311" i="1" s="1"/>
  <c r="M113" i="3"/>
  <c r="AG303" i="1" s="1"/>
  <c r="AC354" i="1"/>
  <c r="AC353" i="1"/>
  <c r="AC352" i="1"/>
  <c r="AC351" i="1"/>
  <c r="AC346" i="1"/>
  <c r="AC345" i="1"/>
  <c r="AC344" i="1"/>
  <c r="AC343" i="1"/>
  <c r="M76" i="3"/>
  <c r="K143" i="3" s="1"/>
  <c r="AD352" i="1" s="1"/>
  <c r="M75" i="3"/>
  <c r="K142" i="3" s="1"/>
  <c r="AD344" i="1" s="1"/>
  <c r="M74" i="3"/>
  <c r="K141" i="3" s="1"/>
  <c r="AD337" i="1" s="1"/>
  <c r="M73" i="3"/>
  <c r="K140" i="3" s="1"/>
  <c r="AD329" i="1" s="1"/>
  <c r="M72" i="3"/>
  <c r="K139" i="3" s="1"/>
  <c r="AD321" i="1" s="1"/>
  <c r="M71" i="3"/>
  <c r="K138" i="3" s="1"/>
  <c r="AD313" i="1" s="1"/>
  <c r="M70" i="3"/>
  <c r="K137" i="3" s="1"/>
  <c r="AD305" i="1" s="1"/>
  <c r="AD56" i="1"/>
  <c r="AC31" i="1"/>
  <c r="N213" i="2"/>
  <c r="AB236" i="1" s="1"/>
  <c r="N211" i="2"/>
  <c r="AB233" i="1" s="1"/>
  <c r="N210" i="2"/>
  <c r="AB232" i="1" s="1"/>
  <c r="N207" i="2"/>
  <c r="AB228" i="1" s="1"/>
  <c r="N206" i="2"/>
  <c r="AB227" i="1" s="1"/>
  <c r="V441" i="1"/>
  <c r="X441" i="1" s="1"/>
  <c r="AO441" i="1" s="1"/>
  <c r="U441" i="1"/>
  <c r="W441" i="1" s="1"/>
  <c r="AN441" i="1" s="1"/>
  <c r="V438" i="1"/>
  <c r="X438" i="1" s="1"/>
  <c r="U438" i="1"/>
  <c r="W438" i="1" s="1"/>
  <c r="AN438" i="1" s="1"/>
  <c r="L196" i="19"/>
  <c r="L329" i="19" s="1"/>
  <c r="AK148" i="1" s="1"/>
  <c r="L195" i="19"/>
  <c r="L328" i="19" s="1"/>
  <c r="AK147" i="1" s="1"/>
  <c r="L194" i="19"/>
  <c r="L327" i="19" s="1"/>
  <c r="AK146" i="1" s="1"/>
  <c r="L193" i="19"/>
  <c r="L326" i="19" s="1"/>
  <c r="AK145" i="1" s="1"/>
  <c r="L192" i="19"/>
  <c r="L325" i="19" s="1"/>
  <c r="AK144" i="1" s="1"/>
  <c r="L191" i="19"/>
  <c r="L324" i="19" s="1"/>
  <c r="AK143" i="1" s="1"/>
  <c r="L190" i="19"/>
  <c r="L323" i="19" s="1"/>
  <c r="AK142" i="1" s="1"/>
  <c r="L189" i="19"/>
  <c r="L322" i="19" s="1"/>
  <c r="L188" i="19"/>
  <c r="L321" i="19" s="1"/>
  <c r="AK140" i="1" s="1"/>
  <c r="L187" i="19"/>
  <c r="L320" i="19" s="1"/>
  <c r="AK139" i="1" s="1"/>
  <c r="L186" i="19"/>
  <c r="L319" i="19" s="1"/>
  <c r="AK138" i="1" s="1"/>
  <c r="L185" i="19"/>
  <c r="L318" i="19" s="1"/>
  <c r="AK137" i="1" s="1"/>
  <c r="L184" i="19"/>
  <c r="L317" i="19" s="1"/>
  <c r="AK136" i="1" s="1"/>
  <c r="L183" i="19"/>
  <c r="L316" i="19" s="1"/>
  <c r="AK135" i="1" s="1"/>
  <c r="L182" i="19"/>
  <c r="L315" i="19" s="1"/>
  <c r="AK134" i="1" s="1"/>
  <c r="L181" i="19"/>
  <c r="L314" i="19" s="1"/>
  <c r="L302" i="19"/>
  <c r="AK248" i="1" s="1"/>
  <c r="L301" i="19"/>
  <c r="AK243" i="1" s="1"/>
  <c r="L290" i="19"/>
  <c r="AK188" i="1" s="1"/>
  <c r="L289" i="19"/>
  <c r="AK183" i="1" s="1"/>
  <c r="L288" i="19"/>
  <c r="AK178" i="1" s="1"/>
  <c r="L287" i="19"/>
  <c r="AK173" i="1" s="1"/>
  <c r="L285" i="19"/>
  <c r="AK247" i="1" s="1"/>
  <c r="L284" i="19"/>
  <c r="AK242" i="1" s="1"/>
  <c r="L273" i="19"/>
  <c r="AK187" i="1" s="1"/>
  <c r="L272" i="19"/>
  <c r="AK182" i="1" s="1"/>
  <c r="L271" i="19"/>
  <c r="AK177" i="1" s="1"/>
  <c r="V370" i="1"/>
  <c r="X370" i="1" s="1"/>
  <c r="U370" i="1"/>
  <c r="W370" i="1" s="1"/>
  <c r="AF370" i="1"/>
  <c r="V369" i="1"/>
  <c r="X369" i="1" s="1"/>
  <c r="U369" i="1"/>
  <c r="W369" i="1" s="1"/>
  <c r="AF369" i="1"/>
  <c r="V368" i="1"/>
  <c r="X368" i="1" s="1"/>
  <c r="U368" i="1"/>
  <c r="W368" i="1" s="1"/>
  <c r="AF368" i="1"/>
  <c r="U367" i="1"/>
  <c r="W367" i="1" s="1"/>
  <c r="V367" i="1"/>
  <c r="X367" i="1" s="1"/>
  <c r="AF367" i="1"/>
  <c r="V362" i="1"/>
  <c r="X362" i="1" s="1"/>
  <c r="U362" i="1"/>
  <c r="W362" i="1" s="1"/>
  <c r="AF362" i="1"/>
  <c r="V361" i="1"/>
  <c r="X361" i="1" s="1"/>
  <c r="U361" i="1"/>
  <c r="W361" i="1" s="1"/>
  <c r="AF361" i="1"/>
  <c r="V360" i="1"/>
  <c r="X360" i="1" s="1"/>
  <c r="U360" i="1"/>
  <c r="W360" i="1" s="1"/>
  <c r="AF360" i="1"/>
  <c r="U359" i="1"/>
  <c r="W359" i="1" s="1"/>
  <c r="V359" i="1"/>
  <c r="X359" i="1" s="1"/>
  <c r="L241" i="19"/>
  <c r="AK84" i="1" s="1"/>
  <c r="AF359" i="1"/>
  <c r="V354" i="1"/>
  <c r="X354" i="1" s="1"/>
  <c r="U354" i="1"/>
  <c r="W354" i="1" s="1"/>
  <c r="AF354" i="1"/>
  <c r="V353" i="1"/>
  <c r="X353" i="1" s="1"/>
  <c r="U353" i="1"/>
  <c r="W353" i="1" s="1"/>
  <c r="AF353" i="1"/>
  <c r="V352" i="1"/>
  <c r="X352" i="1" s="1"/>
  <c r="U352" i="1"/>
  <c r="W352" i="1" s="1"/>
  <c r="AF352" i="1"/>
  <c r="U351" i="1"/>
  <c r="W351" i="1" s="1"/>
  <c r="J266" i="19"/>
  <c r="AI391" i="1" s="1"/>
  <c r="V351" i="1"/>
  <c r="X351" i="1" s="1"/>
  <c r="AF351" i="1"/>
  <c r="U231" i="1"/>
  <c r="W231" i="1" s="1"/>
  <c r="AN231" i="1" s="1"/>
  <c r="V231" i="1"/>
  <c r="X231" i="1" s="1"/>
  <c r="U232" i="1"/>
  <c r="W232" i="1" s="1"/>
  <c r="AN232" i="1" s="1"/>
  <c r="V232" i="1"/>
  <c r="X232" i="1" s="1"/>
  <c r="U233" i="1"/>
  <c r="W233" i="1" s="1"/>
  <c r="AN233" i="1" s="1"/>
  <c r="V233" i="1"/>
  <c r="X233" i="1" s="1"/>
  <c r="U228" i="1"/>
  <c r="W228" i="1" s="1"/>
  <c r="AN228" i="1" s="1"/>
  <c r="V228" i="1"/>
  <c r="X228" i="1" s="1"/>
  <c r="U227" i="1"/>
  <c r="W227" i="1" s="1"/>
  <c r="AN227" i="1" s="1"/>
  <c r="V227" i="1"/>
  <c r="X227" i="1" s="1"/>
  <c r="L286" i="19"/>
  <c r="AK168" i="1" s="1"/>
  <c r="U226" i="1"/>
  <c r="W226" i="1" s="1"/>
  <c r="AN226" i="1" s="1"/>
  <c r="V226" i="1"/>
  <c r="X226" i="1" s="1"/>
  <c r="J265" i="19"/>
  <c r="AI383" i="1" s="1"/>
  <c r="J254" i="19"/>
  <c r="AI295" i="1" s="1"/>
  <c r="J253" i="19"/>
  <c r="AI287" i="1" s="1"/>
  <c r="J252" i="19"/>
  <c r="AI279" i="1" s="1"/>
  <c r="N111" i="14"/>
  <c r="AG118" i="1" s="1"/>
  <c r="N110" i="14"/>
  <c r="AG392" i="1" s="1"/>
  <c r="N109" i="14"/>
  <c r="AG384" i="1" s="1"/>
  <c r="N108" i="14"/>
  <c r="AG376" i="1" s="1"/>
  <c r="N107" i="14"/>
  <c r="AG368" i="1" s="1"/>
  <c r="N106" i="14"/>
  <c r="AG360" i="1" s="1"/>
  <c r="N105" i="14"/>
  <c r="AG352" i="1" s="1"/>
  <c r="N104" i="14"/>
  <c r="AG344" i="1"/>
  <c r="N103" i="14"/>
  <c r="AG336" i="1" s="1"/>
  <c r="N102" i="14"/>
  <c r="AG328" i="1" s="1"/>
  <c r="N101" i="14"/>
  <c r="AG320" i="1" s="1"/>
  <c r="N100" i="14"/>
  <c r="AG312" i="1" s="1"/>
  <c r="N99" i="14"/>
  <c r="AG304" i="1" s="1"/>
  <c r="N98" i="14"/>
  <c r="AG296" i="1" s="1"/>
  <c r="N97" i="14"/>
  <c r="AG288" i="1" s="1"/>
  <c r="N96" i="14"/>
  <c r="AG280" i="1" s="1"/>
  <c r="N95" i="14"/>
  <c r="AG272" i="1" s="1"/>
  <c r="U279" i="4"/>
  <c r="X279" i="4" s="1"/>
  <c r="M216" i="4" s="1"/>
  <c r="AD394" i="1" s="1"/>
  <c r="U278" i="4"/>
  <c r="X278" i="4" s="1"/>
  <c r="M215" i="4" s="1"/>
  <c r="AD386" i="1" s="1"/>
  <c r="U277" i="4"/>
  <c r="X277" i="4" s="1"/>
  <c r="M214" i="4" s="1"/>
  <c r="AD378" i="1" s="1"/>
  <c r="U276" i="4"/>
  <c r="X276" i="4" s="1"/>
  <c r="M213" i="4" s="1"/>
  <c r="AD369" i="1" s="1"/>
  <c r="U275" i="4"/>
  <c r="X275" i="4" s="1"/>
  <c r="M212" i="4" s="1"/>
  <c r="AD361" i="1" s="1"/>
  <c r="U274" i="4"/>
  <c r="U273" i="4"/>
  <c r="X273" i="4" s="1"/>
  <c r="M210" i="4" s="1"/>
  <c r="U272" i="4"/>
  <c r="X272" i="4" s="1"/>
  <c r="M209" i="4" s="1"/>
  <c r="AD338" i="1" s="1"/>
  <c r="U271" i="4"/>
  <c r="X271" i="4" s="1"/>
  <c r="M208" i="4" s="1"/>
  <c r="AD330" i="1" s="1"/>
  <c r="U270" i="4"/>
  <c r="X270" i="4" s="1"/>
  <c r="M207" i="4" s="1"/>
  <c r="AD322" i="1" s="1"/>
  <c r="U269" i="4"/>
  <c r="X269" i="4" s="1"/>
  <c r="M206" i="4" s="1"/>
  <c r="AD314" i="1" s="1"/>
  <c r="U268" i="4"/>
  <c r="X268" i="4" s="1"/>
  <c r="M205" i="4" s="1"/>
  <c r="AD306" i="1" s="1"/>
  <c r="U267" i="4"/>
  <c r="X267" i="4"/>
  <c r="M204" i="4" s="1"/>
  <c r="AD298" i="1" s="1"/>
  <c r="U266" i="4"/>
  <c r="X266" i="4" s="1"/>
  <c r="M203" i="4" s="1"/>
  <c r="AD290" i="1" s="1"/>
  <c r="U265" i="4"/>
  <c r="X265" i="4" s="1"/>
  <c r="M202" i="4" s="1"/>
  <c r="AD282" i="1" s="1"/>
  <c r="U264" i="4"/>
  <c r="X264" i="4" s="1"/>
  <c r="M201" i="4" s="1"/>
  <c r="AD274" i="1" s="1"/>
  <c r="L184" i="4"/>
  <c r="M81" i="3"/>
  <c r="K148" i="3" s="1"/>
  <c r="AD393" i="1" s="1"/>
  <c r="M80" i="3"/>
  <c r="K147" i="3" s="1"/>
  <c r="AD385" i="1" s="1"/>
  <c r="M79" i="3"/>
  <c r="K146" i="3" s="1"/>
  <c r="AD377" i="1" s="1"/>
  <c r="M69" i="3"/>
  <c r="K136" i="3" s="1"/>
  <c r="AD297" i="1" s="1"/>
  <c r="M68" i="3"/>
  <c r="K135" i="3" s="1"/>
  <c r="AD289" i="1" s="1"/>
  <c r="M67" i="3"/>
  <c r="K134" i="3" s="1"/>
  <c r="AD281" i="1" s="1"/>
  <c r="M66" i="3"/>
  <c r="K133" i="3" s="1"/>
  <c r="AD273" i="1" s="1"/>
  <c r="M65" i="3"/>
  <c r="K132" i="3" s="1"/>
  <c r="AD264" i="1" s="1"/>
  <c r="M124" i="3"/>
  <c r="AG391" i="1" s="1"/>
  <c r="M123" i="3"/>
  <c r="AG383" i="1" s="1"/>
  <c r="M112" i="3"/>
  <c r="AG295" i="1" s="1"/>
  <c r="M111" i="3"/>
  <c r="AG287" i="1" s="1"/>
  <c r="M110" i="3"/>
  <c r="AG279" i="1" s="1"/>
  <c r="M109" i="3"/>
  <c r="AG271" i="1" s="1"/>
  <c r="J70" i="5"/>
  <c r="AD391" i="1"/>
  <c r="J69" i="5"/>
  <c r="AD383" i="1" s="1"/>
  <c r="J68" i="5"/>
  <c r="AD375" i="1" s="1"/>
  <c r="J65" i="5"/>
  <c r="AD351" i="1" s="1"/>
  <c r="J64" i="5"/>
  <c r="AD343" i="1" s="1"/>
  <c r="J63" i="5"/>
  <c r="AD335" i="1" s="1"/>
  <c r="J62" i="5"/>
  <c r="AD327" i="1" s="1"/>
  <c r="J61" i="5"/>
  <c r="AD319" i="1"/>
  <c r="J60" i="5"/>
  <c r="AD311" i="1" s="1"/>
  <c r="J59" i="5"/>
  <c r="AD303" i="1" s="1"/>
  <c r="J58" i="5"/>
  <c r="AD295" i="1" s="1"/>
  <c r="J57" i="5"/>
  <c r="AD287" i="1" s="1"/>
  <c r="J56" i="5"/>
  <c r="AD279" i="1" s="1"/>
  <c r="J55" i="5"/>
  <c r="AD271" i="1" s="1"/>
  <c r="J54" i="5"/>
  <c r="AD263" i="1" s="1"/>
  <c r="N209" i="2"/>
  <c r="AB231" i="1" s="1"/>
  <c r="N205" i="2"/>
  <c r="AB226" i="1" s="1"/>
  <c r="N226" i="2"/>
  <c r="AB252" i="1" s="1"/>
  <c r="K102" i="3"/>
  <c r="AD29" i="1" s="1"/>
  <c r="M125" i="3"/>
  <c r="AG401" i="1" s="1"/>
  <c r="M93" i="4"/>
  <c r="O93" i="4"/>
  <c r="P93" i="4"/>
  <c r="Q93" i="4"/>
  <c r="R93" i="4"/>
  <c r="S93" i="4"/>
  <c r="O226" i="4"/>
  <c r="AG440" i="1" s="1"/>
  <c r="U262" i="4"/>
  <c r="X262" i="4" s="1"/>
  <c r="M226" i="4" s="1"/>
  <c r="AD435" i="1" s="1"/>
  <c r="V440" i="1"/>
  <c r="X440" i="1" s="1"/>
  <c r="N233" i="2"/>
  <c r="AB440" i="1" s="1"/>
  <c r="U440" i="1"/>
  <c r="W440" i="1" s="1"/>
  <c r="AN440" i="1" s="1"/>
  <c r="U434" i="1"/>
  <c r="W434" i="1" s="1"/>
  <c r="U435" i="1"/>
  <c r="W435" i="1" s="1"/>
  <c r="V434" i="1"/>
  <c r="X434" i="1" s="1"/>
  <c r="AO434" i="1" s="1"/>
  <c r="V435" i="1"/>
  <c r="X435" i="1" s="1"/>
  <c r="AO435" i="1" s="1"/>
  <c r="X274" i="4"/>
  <c r="M211" i="4" s="1"/>
  <c r="AD353" i="1" s="1"/>
  <c r="U263" i="4"/>
  <c r="X263" i="4" s="1"/>
  <c r="M200" i="4" s="1"/>
  <c r="AD265" i="1" s="1"/>
  <c r="V262" i="4"/>
  <c r="Y262" i="4" s="1"/>
  <c r="V260" i="4"/>
  <c r="V259" i="4"/>
  <c r="V258" i="4"/>
  <c r="V257" i="4"/>
  <c r="V256" i="4"/>
  <c r="V255" i="4"/>
  <c r="V254" i="4"/>
  <c r="V253" i="4"/>
  <c r="U251" i="4"/>
  <c r="L54" i="4"/>
  <c r="L60" i="4" s="1"/>
  <c r="M54" i="4"/>
  <c r="M60" i="4" s="1"/>
  <c r="O54" i="4"/>
  <c r="O60" i="4" s="1"/>
  <c r="P54" i="4"/>
  <c r="P60" i="4" s="1"/>
  <c r="Q54" i="4"/>
  <c r="Q60" i="4" s="1"/>
  <c r="R54" i="4"/>
  <c r="R60" i="4" s="1"/>
  <c r="S54" i="4"/>
  <c r="S60" i="4" s="1"/>
  <c r="M259" i="4"/>
  <c r="P259" i="4"/>
  <c r="R259" i="4"/>
  <c r="T259" i="4"/>
  <c r="M258" i="4"/>
  <c r="P258" i="4"/>
  <c r="R258" i="4"/>
  <c r="T258" i="4"/>
  <c r="M257" i="4"/>
  <c r="P257" i="4"/>
  <c r="R257" i="4"/>
  <c r="T257" i="4"/>
  <c r="M256" i="4"/>
  <c r="P256" i="4"/>
  <c r="R256" i="4"/>
  <c r="T256" i="4"/>
  <c r="M255" i="4"/>
  <c r="P255" i="4"/>
  <c r="R255" i="4"/>
  <c r="T255" i="4"/>
  <c r="M254" i="4"/>
  <c r="Y254" i="4" s="1"/>
  <c r="O218" i="4" s="1"/>
  <c r="AG29" i="1" s="1"/>
  <c r="P254" i="4"/>
  <c r="R254" i="4"/>
  <c r="T254" i="4"/>
  <c r="M253" i="4"/>
  <c r="P253" i="4"/>
  <c r="R253" i="4"/>
  <c r="L35" i="4"/>
  <c r="L39" i="4" s="1"/>
  <c r="M35" i="4"/>
  <c r="M39" i="4" s="1"/>
  <c r="O35" i="4"/>
  <c r="O39" i="4" s="1"/>
  <c r="P35" i="4"/>
  <c r="P39" i="4" s="1"/>
  <c r="Q35" i="4"/>
  <c r="Q39" i="4" s="1"/>
  <c r="R35" i="4"/>
  <c r="R39" i="4" s="1"/>
  <c r="S35" i="4"/>
  <c r="S39" i="4" s="1"/>
  <c r="L242" i="4"/>
  <c r="L281" i="4" s="1"/>
  <c r="O242" i="4"/>
  <c r="Q242" i="4"/>
  <c r="S242" i="4"/>
  <c r="L243" i="4"/>
  <c r="O243" i="4"/>
  <c r="Q243" i="4"/>
  <c r="S243" i="4"/>
  <c r="L244" i="4"/>
  <c r="X244" i="4" s="1"/>
  <c r="M191" i="4" s="1"/>
  <c r="AD47" i="1" s="1"/>
  <c r="O244" i="4"/>
  <c r="Q244" i="4"/>
  <c r="S244" i="4"/>
  <c r="L245" i="4"/>
  <c r="O245" i="4"/>
  <c r="Q245" i="4"/>
  <c r="S245" i="4"/>
  <c r="L246" i="4"/>
  <c r="O246" i="4"/>
  <c r="Q246" i="4"/>
  <c r="S246" i="4"/>
  <c r="L247" i="4"/>
  <c r="O247" i="4"/>
  <c r="Q247" i="4"/>
  <c r="S247" i="4"/>
  <c r="L248" i="4"/>
  <c r="O248" i="4"/>
  <c r="O249" i="4"/>
  <c r="X249" i="4" s="1"/>
  <c r="M196" i="4" s="1"/>
  <c r="AD256" i="1" s="1"/>
  <c r="S252" i="4"/>
  <c r="X252" i="4" s="1"/>
  <c r="M199" i="4" s="1"/>
  <c r="AD420" i="1" s="1"/>
  <c r="Q253" i="4"/>
  <c r="X253" i="4" s="1"/>
  <c r="M217" i="4" s="1"/>
  <c r="AD26" i="1" s="1"/>
  <c r="Q254" i="4"/>
  <c r="X254" i="4" s="1"/>
  <c r="M218" i="4" s="1"/>
  <c r="AD30" i="1" s="1"/>
  <c r="Q255" i="4"/>
  <c r="X255" i="4" s="1"/>
  <c r="M219" i="4" s="1"/>
  <c r="AD35" i="1" s="1"/>
  <c r="Q256" i="4"/>
  <c r="X256" i="4"/>
  <c r="M220" i="4" s="1"/>
  <c r="AD45" i="1" s="1"/>
  <c r="Q257" i="4"/>
  <c r="X257" i="4" s="1"/>
  <c r="M221" i="4" s="1"/>
  <c r="AD40" i="1" s="1"/>
  <c r="Q258" i="4"/>
  <c r="X258" i="4" s="1"/>
  <c r="M222" i="4" s="1"/>
  <c r="AD50" i="1" s="1"/>
  <c r="Q259" i="4"/>
  <c r="X259" i="4" s="1"/>
  <c r="M223" i="4" s="1"/>
  <c r="AD55" i="1" s="1"/>
  <c r="M129" i="4"/>
  <c r="L122" i="4"/>
  <c r="M122" i="4"/>
  <c r="O122" i="4"/>
  <c r="P122" i="4"/>
  <c r="Q135" i="4"/>
  <c r="H146" i="4"/>
  <c r="X144" i="4"/>
  <c r="M132" i="4"/>
  <c r="Q132" i="4" s="1"/>
  <c r="I32" i="24"/>
  <c r="N154" i="19"/>
  <c r="L309" i="19" s="1"/>
  <c r="AK128" i="1" s="1"/>
  <c r="K101" i="3"/>
  <c r="AD28" i="1" s="1"/>
  <c r="K100" i="3"/>
  <c r="AD25" i="1" s="1"/>
  <c r="K105" i="3"/>
  <c r="AD39" i="1" s="1"/>
  <c r="M23" i="3"/>
  <c r="M127" i="3"/>
  <c r="AG405" i="1" s="1"/>
  <c r="M87" i="3"/>
  <c r="M161" i="3" s="1"/>
  <c r="C33" i="2"/>
  <c r="B153" i="2" s="1"/>
  <c r="C32" i="2"/>
  <c r="B152" i="2" s="1"/>
  <c r="N231" i="2"/>
  <c r="AB256" i="1" s="1"/>
  <c r="N228" i="2"/>
  <c r="AB254" i="1" s="1"/>
  <c r="N230" i="2"/>
  <c r="AB258" i="1" s="1"/>
  <c r="N229" i="2"/>
  <c r="AB255" i="1" s="1"/>
  <c r="N227" i="2"/>
  <c r="AB253" i="1" s="1"/>
  <c r="N225" i="2"/>
  <c r="AB251" i="1" s="1"/>
  <c r="L150" i="2"/>
  <c r="AA157" i="1" s="1"/>
  <c r="N223" i="2"/>
  <c r="AB248" i="1" s="1"/>
  <c r="N222" i="2"/>
  <c r="AB247" i="1" s="1"/>
  <c r="N221" i="2"/>
  <c r="AB426" i="1" s="1"/>
  <c r="N215" i="2"/>
  <c r="AB238" i="1"/>
  <c r="N214" i="2"/>
  <c r="AB237" i="1" s="1"/>
  <c r="N219" i="2"/>
  <c r="AB243" i="1" s="1"/>
  <c r="N218" i="2"/>
  <c r="AB242" i="1" s="1"/>
  <c r="N217" i="2"/>
  <c r="AB241" i="1" s="1"/>
  <c r="N203" i="2"/>
  <c r="AB223" i="1" s="1"/>
  <c r="N202" i="2"/>
  <c r="AB222" i="1" s="1"/>
  <c r="N201" i="2"/>
  <c r="AB221" i="1" s="1"/>
  <c r="N197" i="2"/>
  <c r="AB216" i="1" s="1"/>
  <c r="N195" i="2"/>
  <c r="AB213" i="1" s="1"/>
  <c r="N194" i="2"/>
  <c r="AB212" i="1" s="1"/>
  <c r="N193" i="2"/>
  <c r="AB211" i="1" s="1"/>
  <c r="N191" i="2"/>
  <c r="AB208" i="1" s="1"/>
  <c r="N190" i="2"/>
  <c r="AB207" i="1" s="1"/>
  <c r="N189" i="2"/>
  <c r="AB206" i="1" s="1"/>
  <c r="N187" i="2"/>
  <c r="AB203" i="1" s="1"/>
  <c r="N186" i="2"/>
  <c r="AB202" i="1" s="1"/>
  <c r="N183" i="2"/>
  <c r="AB198" i="1" s="1"/>
  <c r="N182" i="2"/>
  <c r="AB197" i="1" s="1"/>
  <c r="N181" i="2"/>
  <c r="AB196" i="1" s="1"/>
  <c r="N179" i="2"/>
  <c r="AB193" i="1" s="1"/>
  <c r="N178" i="2"/>
  <c r="AB192" i="1" s="1"/>
  <c r="N177" i="2"/>
  <c r="AB191" i="1" s="1"/>
  <c r="N175" i="2"/>
  <c r="AB188" i="1" s="1"/>
  <c r="N174" i="2"/>
  <c r="AB187" i="1" s="1"/>
  <c r="N173" i="2"/>
  <c r="AB186" i="1" s="1"/>
  <c r="N171" i="2"/>
  <c r="AB183" i="1" s="1"/>
  <c r="N170" i="2"/>
  <c r="AB182" i="1" s="1"/>
  <c r="N169" i="2"/>
  <c r="AB181" i="1" s="1"/>
  <c r="N167" i="2"/>
  <c r="AB178" i="1" s="1"/>
  <c r="L155" i="2"/>
  <c r="AA162" i="1" s="1"/>
  <c r="L154" i="2"/>
  <c r="AA161" i="1" s="1"/>
  <c r="L153" i="2"/>
  <c r="AA160" i="1" s="1"/>
  <c r="L152" i="2"/>
  <c r="AA159" i="1" s="1"/>
  <c r="L148" i="2"/>
  <c r="AA154" i="1" s="1"/>
  <c r="N157" i="2"/>
  <c r="AB166" i="1" s="1"/>
  <c r="N159" i="2"/>
  <c r="AB168" i="1" s="1"/>
  <c r="N161" i="2"/>
  <c r="AB171" i="1" s="1"/>
  <c r="N162" i="2"/>
  <c r="AB172" i="1" s="1"/>
  <c r="N163" i="2"/>
  <c r="AB173" i="1" s="1"/>
  <c r="N165" i="2"/>
  <c r="AB176" i="1" s="1"/>
  <c r="N232" i="2"/>
  <c r="AB437" i="1" s="1"/>
  <c r="L149" i="2"/>
  <c r="AA155" i="1" s="1"/>
  <c r="L151" i="2"/>
  <c r="AA158" i="1" s="1"/>
  <c r="K234" i="2"/>
  <c r="J71" i="5"/>
  <c r="AD415" i="1" s="1"/>
  <c r="L73" i="5"/>
  <c r="AG32" i="1" s="1"/>
  <c r="L74" i="5"/>
  <c r="AG37" i="1" s="1"/>
  <c r="L75" i="5"/>
  <c r="AG47" i="1" s="1"/>
  <c r="L76" i="5"/>
  <c r="AG42" i="1" s="1"/>
  <c r="L77" i="5"/>
  <c r="AG52" i="1" s="1"/>
  <c r="L78" i="5"/>
  <c r="AG57" i="1" s="1"/>
  <c r="G48" i="5"/>
  <c r="C29" i="24"/>
  <c r="C67" i="24" s="1"/>
  <c r="K72" i="24"/>
  <c r="Z92" i="1"/>
  <c r="K73" i="24"/>
  <c r="Z95" i="1" s="1"/>
  <c r="I55" i="24"/>
  <c r="I56" i="24"/>
  <c r="Y28" i="1" s="1"/>
  <c r="I57" i="24"/>
  <c r="Y29" i="1" s="1"/>
  <c r="I59" i="24"/>
  <c r="Y34" i="1" s="1"/>
  <c r="I61" i="24"/>
  <c r="Y39" i="1" s="1"/>
  <c r="I63" i="24"/>
  <c r="Y44" i="1" s="1"/>
  <c r="I65" i="24"/>
  <c r="Y49" i="1" s="1"/>
  <c r="I67" i="24"/>
  <c r="Y54" i="1" s="1"/>
  <c r="K60" i="24"/>
  <c r="Z37" i="1" s="1"/>
  <c r="K62" i="24"/>
  <c r="Z42" i="1" s="1"/>
  <c r="K64" i="24"/>
  <c r="Z47" i="1" s="1"/>
  <c r="K66" i="24"/>
  <c r="Z52" i="1" s="1"/>
  <c r="K68" i="24"/>
  <c r="Z57" i="1" s="1"/>
  <c r="H32" i="24"/>
  <c r="H48" i="24"/>
  <c r="C46" i="24"/>
  <c r="C80" i="24" s="1"/>
  <c r="C45" i="24"/>
  <c r="C79" i="24" s="1"/>
  <c r="M162" i="3"/>
  <c r="AG438" i="1" s="1"/>
  <c r="M163" i="3"/>
  <c r="AG419" i="1" s="1"/>
  <c r="M63" i="3"/>
  <c r="K130" i="3" s="1"/>
  <c r="AD409" i="1" s="1"/>
  <c r="M64" i="3"/>
  <c r="I24" i="3"/>
  <c r="M126" i="3"/>
  <c r="AG403" i="1" s="1"/>
  <c r="K160" i="3"/>
  <c r="K159" i="3"/>
  <c r="AD51" i="1"/>
  <c r="K158" i="3"/>
  <c r="AD41" i="1" s="1"/>
  <c r="K157" i="3"/>
  <c r="AD46" i="1" s="1"/>
  <c r="K156" i="3"/>
  <c r="AD36" i="1" s="1"/>
  <c r="K155" i="3"/>
  <c r="AD31" i="1" s="1"/>
  <c r="K154" i="3"/>
  <c r="AD27" i="1" s="1"/>
  <c r="F82" i="3"/>
  <c r="K82" i="3"/>
  <c r="I82" i="3"/>
  <c r="M108" i="3"/>
  <c r="AG263" i="1" s="1"/>
  <c r="K107" i="3"/>
  <c r="AD54" i="1" s="1"/>
  <c r="K106" i="3"/>
  <c r="AD49" i="1" s="1"/>
  <c r="K104" i="3"/>
  <c r="AD34" i="1" s="1"/>
  <c r="K103" i="3"/>
  <c r="AD44" i="1" s="1"/>
  <c r="M149" i="3"/>
  <c r="AG402" i="1" s="1"/>
  <c r="M151" i="3"/>
  <c r="AG406" i="1" s="1"/>
  <c r="AC420" i="1"/>
  <c r="AF419" i="1"/>
  <c r="AF438" i="1"/>
  <c r="AH344" i="1"/>
  <c r="U124" i="1"/>
  <c r="W124" i="1" s="1"/>
  <c r="AN124" i="1" s="1"/>
  <c r="V124" i="1"/>
  <c r="X124" i="1" s="1"/>
  <c r="AO124" i="1" s="1"/>
  <c r="U167" i="1"/>
  <c r="W167" i="1" s="1"/>
  <c r="AN167" i="1" s="1"/>
  <c r="V167" i="1"/>
  <c r="X167" i="1" s="1"/>
  <c r="L269" i="19"/>
  <c r="AK167" i="1" s="1"/>
  <c r="U422" i="1"/>
  <c r="W422" i="1" s="1"/>
  <c r="V422" i="1"/>
  <c r="X422" i="1" s="1"/>
  <c r="AO422" i="1" s="1"/>
  <c r="U411" i="1"/>
  <c r="W411" i="1" s="1"/>
  <c r="U412" i="1"/>
  <c r="W412" i="1" s="1"/>
  <c r="U413" i="1"/>
  <c r="W413" i="1" s="1"/>
  <c r="V411" i="1"/>
  <c r="X411" i="1" s="1"/>
  <c r="J125" i="19"/>
  <c r="L267" i="19" s="1"/>
  <c r="AK411" i="1" s="1"/>
  <c r="V412" i="1"/>
  <c r="X412" i="1" s="1"/>
  <c r="AO412" i="1" s="1"/>
  <c r="V413" i="1"/>
  <c r="X413" i="1" s="1"/>
  <c r="AO413" i="1" s="1"/>
  <c r="U409" i="1"/>
  <c r="W409" i="1" s="1"/>
  <c r="U410" i="1"/>
  <c r="W410" i="1" s="1"/>
  <c r="V409" i="1"/>
  <c r="X409" i="1" s="1"/>
  <c r="V410" i="1"/>
  <c r="X410" i="1" s="1"/>
  <c r="AO410" i="1" s="1"/>
  <c r="U401" i="1"/>
  <c r="W401" i="1" s="1"/>
  <c r="AN401" i="1" s="1"/>
  <c r="U402" i="1"/>
  <c r="W402" i="1" s="1"/>
  <c r="AN402" i="1" s="1"/>
  <c r="V401" i="1"/>
  <c r="X401" i="1" s="1"/>
  <c r="V402" i="1"/>
  <c r="X402" i="1" s="1"/>
  <c r="U392" i="1"/>
  <c r="W392" i="1" s="1"/>
  <c r="U393" i="1"/>
  <c r="W393" i="1" s="1"/>
  <c r="U394" i="1"/>
  <c r="W394" i="1" s="1"/>
  <c r="L230" i="19"/>
  <c r="V392" i="1"/>
  <c r="X392" i="1" s="1"/>
  <c r="V393" i="1"/>
  <c r="X393" i="1" s="1"/>
  <c r="V394" i="1"/>
  <c r="X394" i="1" s="1"/>
  <c r="U383" i="1"/>
  <c r="W383" i="1" s="1"/>
  <c r="U384" i="1"/>
  <c r="W384" i="1" s="1"/>
  <c r="U385" i="1"/>
  <c r="W385" i="1" s="1"/>
  <c r="U386" i="1"/>
  <c r="W386" i="1" s="1"/>
  <c r="V383" i="1"/>
  <c r="X383" i="1" s="1"/>
  <c r="V384" i="1"/>
  <c r="X384" i="1" s="1"/>
  <c r="V385" i="1"/>
  <c r="X385" i="1" s="1"/>
  <c r="V386" i="1"/>
  <c r="X386" i="1" s="1"/>
  <c r="U375" i="1"/>
  <c r="W375" i="1" s="1"/>
  <c r="U376" i="1"/>
  <c r="W376" i="1" s="1"/>
  <c r="U377" i="1"/>
  <c r="W377" i="1" s="1"/>
  <c r="U378" i="1"/>
  <c r="W378" i="1" s="1"/>
  <c r="V375" i="1"/>
  <c r="X375" i="1" s="1"/>
  <c r="V376" i="1"/>
  <c r="X376" i="1" s="1"/>
  <c r="V377" i="1"/>
  <c r="X377" i="1" s="1"/>
  <c r="V378" i="1"/>
  <c r="X378" i="1" s="1"/>
  <c r="U335" i="1"/>
  <c r="W335" i="1" s="1"/>
  <c r="U336" i="1"/>
  <c r="W336" i="1" s="1"/>
  <c r="U337" i="1"/>
  <c r="W337" i="1" s="1"/>
  <c r="U338" i="1"/>
  <c r="W338" i="1" s="1"/>
  <c r="V335" i="1"/>
  <c r="X335" i="1" s="1"/>
  <c r="V336" i="1"/>
  <c r="X336" i="1" s="1"/>
  <c r="V337" i="1"/>
  <c r="X337" i="1" s="1"/>
  <c r="V338" i="1"/>
  <c r="X338" i="1" s="1"/>
  <c r="U319" i="1"/>
  <c r="W319" i="1" s="1"/>
  <c r="U320" i="1"/>
  <c r="W320" i="1" s="1"/>
  <c r="U321" i="1"/>
  <c r="W321" i="1" s="1"/>
  <c r="U322" i="1"/>
  <c r="W322" i="1" s="1"/>
  <c r="V319" i="1"/>
  <c r="X319" i="1" s="1"/>
  <c r="V320" i="1"/>
  <c r="X320" i="1" s="1"/>
  <c r="V321" i="1"/>
  <c r="X321" i="1" s="1"/>
  <c r="V322" i="1"/>
  <c r="X322" i="1" s="1"/>
  <c r="U311" i="1"/>
  <c r="W311" i="1" s="1"/>
  <c r="U312" i="1"/>
  <c r="W312" i="1" s="1"/>
  <c r="U313" i="1"/>
  <c r="W313" i="1" s="1"/>
  <c r="U314" i="1"/>
  <c r="W314" i="1" s="1"/>
  <c r="V311" i="1"/>
  <c r="X311" i="1" s="1"/>
  <c r="V312" i="1"/>
  <c r="X312" i="1" s="1"/>
  <c r="V313" i="1"/>
  <c r="X313" i="1" s="1"/>
  <c r="V314" i="1"/>
  <c r="X314" i="1" s="1"/>
  <c r="U303" i="1"/>
  <c r="W303" i="1" s="1"/>
  <c r="U304" i="1"/>
  <c r="W304" i="1" s="1"/>
  <c r="U305" i="1"/>
  <c r="W305" i="1" s="1"/>
  <c r="U306" i="1"/>
  <c r="W306" i="1" s="1"/>
  <c r="V303" i="1"/>
  <c r="X303" i="1" s="1"/>
  <c r="V304" i="1"/>
  <c r="X304" i="1" s="1"/>
  <c r="V305" i="1"/>
  <c r="X305" i="1" s="1"/>
  <c r="V306" i="1"/>
  <c r="X306" i="1" s="1"/>
  <c r="U295" i="1"/>
  <c r="W295" i="1" s="1"/>
  <c r="U296" i="1"/>
  <c r="W296" i="1" s="1"/>
  <c r="U297" i="1"/>
  <c r="W297" i="1" s="1"/>
  <c r="U298" i="1"/>
  <c r="W298" i="1" s="1"/>
  <c r="V295" i="1"/>
  <c r="X295" i="1" s="1"/>
  <c r="V296" i="1"/>
  <c r="X296" i="1" s="1"/>
  <c r="V297" i="1"/>
  <c r="X297" i="1" s="1"/>
  <c r="V298" i="1"/>
  <c r="X298" i="1" s="1"/>
  <c r="U287" i="1"/>
  <c r="W287" i="1" s="1"/>
  <c r="U288" i="1"/>
  <c r="W288" i="1" s="1"/>
  <c r="U289" i="1"/>
  <c r="W289" i="1" s="1"/>
  <c r="U290" i="1"/>
  <c r="W290" i="1" s="1"/>
  <c r="V287" i="1"/>
  <c r="X287" i="1" s="1"/>
  <c r="V288" i="1"/>
  <c r="X288" i="1" s="1"/>
  <c r="V289" i="1"/>
  <c r="X289" i="1" s="1"/>
  <c r="V290" i="1"/>
  <c r="X290" i="1" s="1"/>
  <c r="U279" i="1"/>
  <c r="W279" i="1" s="1"/>
  <c r="U280" i="1"/>
  <c r="W280" i="1" s="1"/>
  <c r="U281" i="1"/>
  <c r="W281" i="1" s="1"/>
  <c r="U282" i="1"/>
  <c r="W282" i="1" s="1"/>
  <c r="V279" i="1"/>
  <c r="X279" i="1" s="1"/>
  <c r="V280" i="1"/>
  <c r="X280" i="1" s="1"/>
  <c r="V281" i="1"/>
  <c r="X281" i="1" s="1"/>
  <c r="V282" i="1"/>
  <c r="X282" i="1" s="1"/>
  <c r="U271" i="1"/>
  <c r="W271" i="1" s="1"/>
  <c r="J251" i="19"/>
  <c r="AI271" i="1" s="1"/>
  <c r="U272" i="1"/>
  <c r="W272" i="1" s="1"/>
  <c r="U273" i="1"/>
  <c r="W273" i="1" s="1"/>
  <c r="U274" i="1"/>
  <c r="W274" i="1" s="1"/>
  <c r="V271" i="1"/>
  <c r="X271" i="1" s="1"/>
  <c r="V272" i="1"/>
  <c r="X272" i="1" s="1"/>
  <c r="V273" i="1"/>
  <c r="X273" i="1" s="1"/>
  <c r="V274" i="1"/>
  <c r="X274" i="1" s="1"/>
  <c r="U263" i="1"/>
  <c r="W263" i="1" s="1"/>
  <c r="J250" i="19"/>
  <c r="AI263" i="1"/>
  <c r="U264" i="1"/>
  <c r="W264" i="1" s="1"/>
  <c r="U265" i="1"/>
  <c r="W265" i="1" s="1"/>
  <c r="U266" i="1"/>
  <c r="W266" i="1" s="1"/>
  <c r="V263" i="1"/>
  <c r="X263" i="1" s="1"/>
  <c r="V264" i="1"/>
  <c r="X264" i="1" s="1"/>
  <c r="N94" i="14"/>
  <c r="AG264" i="1" s="1"/>
  <c r="V265" i="1"/>
  <c r="X265" i="1" s="1"/>
  <c r="V266" i="1"/>
  <c r="X266" i="1" s="1"/>
  <c r="U247" i="1"/>
  <c r="W247" i="1" s="1"/>
  <c r="AN247" i="1" s="1"/>
  <c r="V247" i="1"/>
  <c r="X247" i="1" s="1"/>
  <c r="U242" i="1"/>
  <c r="W242" i="1" s="1"/>
  <c r="AN242" i="1" s="1"/>
  <c r="V242" i="1"/>
  <c r="X242" i="1" s="1"/>
  <c r="U237" i="1"/>
  <c r="W237" i="1" s="1"/>
  <c r="AN237" i="1" s="1"/>
  <c r="V237" i="1"/>
  <c r="X237" i="1" s="1"/>
  <c r="U222" i="1"/>
  <c r="W222" i="1" s="1"/>
  <c r="AN222" i="1" s="1"/>
  <c r="V222" i="1"/>
  <c r="X222" i="1" s="1"/>
  <c r="U217" i="1"/>
  <c r="W217" i="1" s="1"/>
  <c r="AN217" i="1" s="1"/>
  <c r="V217" i="1"/>
  <c r="X217" i="1" s="1"/>
  <c r="U212" i="1"/>
  <c r="W212" i="1" s="1"/>
  <c r="AN212" i="1" s="1"/>
  <c r="V212" i="1"/>
  <c r="X212" i="1" s="1"/>
  <c r="U207" i="1"/>
  <c r="W207" i="1" s="1"/>
  <c r="AN207" i="1" s="1"/>
  <c r="V207" i="1"/>
  <c r="X207" i="1" s="1"/>
  <c r="U202" i="1"/>
  <c r="W202" i="1" s="1"/>
  <c r="AN202" i="1" s="1"/>
  <c r="V202" i="1"/>
  <c r="X202" i="1" s="1"/>
  <c r="U197" i="1"/>
  <c r="W197" i="1" s="1"/>
  <c r="AN197" i="1" s="1"/>
  <c r="V197" i="1"/>
  <c r="X197" i="1" s="1"/>
  <c r="U192" i="1"/>
  <c r="W192" i="1" s="1"/>
  <c r="AN192" i="1" s="1"/>
  <c r="V192" i="1"/>
  <c r="X192" i="1" s="1"/>
  <c r="U187" i="1"/>
  <c r="W187" i="1" s="1"/>
  <c r="AN187" i="1" s="1"/>
  <c r="V187" i="1"/>
  <c r="X187" i="1" s="1"/>
  <c r="U182" i="1"/>
  <c r="W182" i="1" s="1"/>
  <c r="AN182" i="1" s="1"/>
  <c r="V182" i="1"/>
  <c r="X182" i="1" s="1"/>
  <c r="U177" i="1"/>
  <c r="W177" i="1" s="1"/>
  <c r="AN177" i="1" s="1"/>
  <c r="V177" i="1"/>
  <c r="X177" i="1" s="1"/>
  <c r="U172" i="1"/>
  <c r="W172" i="1" s="1"/>
  <c r="AN172" i="1" s="1"/>
  <c r="V172" i="1"/>
  <c r="X172" i="1" s="1"/>
  <c r="L270" i="19"/>
  <c r="AK172" i="1" s="1"/>
  <c r="V406" i="1"/>
  <c r="X406" i="1" s="1"/>
  <c r="U406" i="1"/>
  <c r="W406" i="1" s="1"/>
  <c r="AN406" i="1" s="1"/>
  <c r="U168" i="1"/>
  <c r="W168" i="1" s="1"/>
  <c r="AN168" i="1" s="1"/>
  <c r="V168" i="1"/>
  <c r="X168" i="1" s="1"/>
  <c r="U107" i="1"/>
  <c r="W107" i="1" s="1"/>
  <c r="AN107" i="1" s="1"/>
  <c r="V107" i="1"/>
  <c r="X107" i="1" s="1"/>
  <c r="AO107" i="1" s="1"/>
  <c r="U19" i="1"/>
  <c r="W19" i="1" s="1"/>
  <c r="L221" i="19"/>
  <c r="AK17" i="1" s="1"/>
  <c r="L222" i="19"/>
  <c r="J218" i="19"/>
  <c r="AI81" i="1" s="1"/>
  <c r="J219" i="19"/>
  <c r="AI75" i="1" s="1"/>
  <c r="V19" i="1"/>
  <c r="X19" i="1" s="1"/>
  <c r="AO19" i="1" s="1"/>
  <c r="C91" i="1"/>
  <c r="C90" i="1"/>
  <c r="N93" i="14"/>
  <c r="AF258" i="1"/>
  <c r="AF394" i="1"/>
  <c r="AF386" i="1"/>
  <c r="AF378" i="1"/>
  <c r="AF346" i="1"/>
  <c r="AF338" i="1"/>
  <c r="AF330" i="1"/>
  <c r="AF322" i="1"/>
  <c r="AF314" i="1"/>
  <c r="AF306" i="1"/>
  <c r="AF298" i="1"/>
  <c r="AF290" i="1"/>
  <c r="AF282" i="1"/>
  <c r="AF274" i="1"/>
  <c r="AF266" i="1"/>
  <c r="AC412" i="1"/>
  <c r="AC410" i="1"/>
  <c r="AF321" i="1"/>
  <c r="AF83" i="1"/>
  <c r="AF411" i="1"/>
  <c r="AC411" i="1"/>
  <c r="AC83" i="1"/>
  <c r="AC413" i="1"/>
  <c r="AC409" i="1"/>
  <c r="AF256" i="1"/>
  <c r="AC56" i="1"/>
  <c r="AC51" i="1"/>
  <c r="AC46" i="1"/>
  <c r="AC41" i="1"/>
  <c r="AC36" i="1"/>
  <c r="AC27" i="1"/>
  <c r="Z99" i="1"/>
  <c r="U8" i="1"/>
  <c r="W8" i="1" s="1"/>
  <c r="AN8" i="1" s="1"/>
  <c r="V8" i="1"/>
  <c r="X8" i="1" s="1"/>
  <c r="AO8" i="1" s="1"/>
  <c r="U9" i="1"/>
  <c r="W9" i="1" s="1"/>
  <c r="AN9" i="1" s="1"/>
  <c r="V9" i="1"/>
  <c r="X9" i="1" s="1"/>
  <c r="AO9" i="1" s="1"/>
  <c r="U11" i="1"/>
  <c r="W11" i="1" s="1"/>
  <c r="V11" i="1"/>
  <c r="X11" i="1" s="1"/>
  <c r="AO11" i="1" s="1"/>
  <c r="AC11" i="1"/>
  <c r="U12" i="1"/>
  <c r="W12" i="1" s="1"/>
  <c r="AN12" i="1" s="1"/>
  <c r="V12" i="1"/>
  <c r="X12" i="1" s="1"/>
  <c r="U13" i="1"/>
  <c r="W13" i="1" s="1"/>
  <c r="AN13" i="1" s="1"/>
  <c r="V13" i="1"/>
  <c r="X13" i="1" s="1"/>
  <c r="U14" i="1"/>
  <c r="W14" i="1" s="1"/>
  <c r="AN14" i="1" s="1"/>
  <c r="V14" i="1"/>
  <c r="X14" i="1" s="1"/>
  <c r="U15" i="1"/>
  <c r="W15" i="1" s="1"/>
  <c r="V15" i="1"/>
  <c r="X15" i="1" s="1"/>
  <c r="AO15" i="1" s="1"/>
  <c r="U16" i="1"/>
  <c r="W16" i="1" s="1"/>
  <c r="AN16" i="1" s="1"/>
  <c r="V16" i="1"/>
  <c r="X16" i="1" s="1"/>
  <c r="AO16" i="1" s="1"/>
  <c r="U17" i="1"/>
  <c r="W17" i="1" s="1"/>
  <c r="AN17" i="1" s="1"/>
  <c r="V17" i="1"/>
  <c r="X17" i="1" s="1"/>
  <c r="U18" i="1"/>
  <c r="W18" i="1" s="1"/>
  <c r="AN18" i="1" s="1"/>
  <c r="V18" i="1"/>
  <c r="X18" i="1" s="1"/>
  <c r="U20" i="1"/>
  <c r="W20" i="1" s="1"/>
  <c r="AN20" i="1" s="1"/>
  <c r="V20" i="1"/>
  <c r="X20" i="1" s="1"/>
  <c r="AO20" i="1" s="1"/>
  <c r="U21" i="1"/>
  <c r="W21" i="1" s="1"/>
  <c r="AN21" i="1" s="1"/>
  <c r="V21" i="1"/>
  <c r="X21" i="1" s="1"/>
  <c r="AO21" i="1" s="1"/>
  <c r="U22" i="1"/>
  <c r="W22" i="1" s="1"/>
  <c r="AN22" i="1" s="1"/>
  <c r="V22" i="1"/>
  <c r="X22" i="1" s="1"/>
  <c r="AO22" i="1" s="1"/>
  <c r="U25" i="1"/>
  <c r="W25" i="1" s="1"/>
  <c r="V25" i="1"/>
  <c r="X25" i="1" s="1"/>
  <c r="AC25" i="1"/>
  <c r="AF25" i="1"/>
  <c r="U26" i="1"/>
  <c r="W26" i="1" s="1"/>
  <c r="V26" i="1"/>
  <c r="X26" i="1" s="1"/>
  <c r="AO26" i="1" s="1"/>
  <c r="AC26" i="1"/>
  <c r="U27" i="1"/>
  <c r="W27" i="1" s="1"/>
  <c r="V27" i="1"/>
  <c r="X27" i="1" s="1"/>
  <c r="AO27" i="1" s="1"/>
  <c r="U28" i="1"/>
  <c r="W28" i="1" s="1"/>
  <c r="V28" i="1"/>
  <c r="X28" i="1" s="1"/>
  <c r="AO28" i="1" s="1"/>
  <c r="AC28" i="1"/>
  <c r="U29" i="1"/>
  <c r="W29" i="1" s="1"/>
  <c r="V29" i="1"/>
  <c r="X29" i="1" s="1"/>
  <c r="AC29" i="1"/>
  <c r="AF29" i="1"/>
  <c r="U30" i="1"/>
  <c r="W30" i="1" s="1"/>
  <c r="V30" i="1"/>
  <c r="X30" i="1" s="1"/>
  <c r="AO30" i="1" s="1"/>
  <c r="AC30" i="1"/>
  <c r="U31" i="1"/>
  <c r="W31" i="1" s="1"/>
  <c r="V31" i="1"/>
  <c r="X31" i="1" s="1"/>
  <c r="AO31" i="1" s="1"/>
  <c r="U32" i="1"/>
  <c r="W32" i="1" s="1"/>
  <c r="V32" i="1"/>
  <c r="X32" i="1" s="1"/>
  <c r="AC32" i="1"/>
  <c r="AF32" i="1"/>
  <c r="U34" i="1"/>
  <c r="W34" i="1" s="1"/>
  <c r="V34" i="1"/>
  <c r="X34" i="1" s="1"/>
  <c r="AC34" i="1"/>
  <c r="AF34" i="1"/>
  <c r="U35" i="1"/>
  <c r="W35" i="1" s="1"/>
  <c r="V35" i="1"/>
  <c r="X35" i="1" s="1"/>
  <c r="AO35" i="1" s="1"/>
  <c r="AC35" i="1"/>
  <c r="U36" i="1"/>
  <c r="W36" i="1" s="1"/>
  <c r="V36" i="1"/>
  <c r="X36" i="1" s="1"/>
  <c r="AO36" i="1" s="1"/>
  <c r="U37" i="1"/>
  <c r="W37" i="1" s="1"/>
  <c r="V37" i="1"/>
  <c r="X37" i="1" s="1"/>
  <c r="AC37" i="1"/>
  <c r="AF37" i="1"/>
  <c r="U39" i="1"/>
  <c r="W39" i="1" s="1"/>
  <c r="V39" i="1"/>
  <c r="X39" i="1" s="1"/>
  <c r="AC39" i="1"/>
  <c r="AF39" i="1"/>
  <c r="U40" i="1"/>
  <c r="W40" i="1" s="1"/>
  <c r="V40" i="1"/>
  <c r="X40" i="1" s="1"/>
  <c r="AO40" i="1" s="1"/>
  <c r="AC40" i="1"/>
  <c r="U41" i="1"/>
  <c r="W41" i="1" s="1"/>
  <c r="V41" i="1"/>
  <c r="X41" i="1" s="1"/>
  <c r="AO41" i="1" s="1"/>
  <c r="U42" i="1"/>
  <c r="W42" i="1" s="1"/>
  <c r="V42" i="1"/>
  <c r="X42" i="1" s="1"/>
  <c r="AC42" i="1"/>
  <c r="AF42" i="1"/>
  <c r="U44" i="1"/>
  <c r="W44" i="1" s="1"/>
  <c r="V44" i="1"/>
  <c r="X44" i="1" s="1"/>
  <c r="AC44" i="1"/>
  <c r="AF44" i="1"/>
  <c r="U45" i="1"/>
  <c r="W45" i="1" s="1"/>
  <c r="V45" i="1"/>
  <c r="X45" i="1" s="1"/>
  <c r="AO45" i="1" s="1"/>
  <c r="AC45" i="1"/>
  <c r="U46" i="1"/>
  <c r="W46" i="1" s="1"/>
  <c r="V46" i="1"/>
  <c r="X46" i="1" s="1"/>
  <c r="AO46" i="1" s="1"/>
  <c r="U47" i="1"/>
  <c r="W47" i="1" s="1"/>
  <c r="V47" i="1"/>
  <c r="X47" i="1" s="1"/>
  <c r="AC47" i="1"/>
  <c r="AF47" i="1"/>
  <c r="U49" i="1"/>
  <c r="W49" i="1" s="1"/>
  <c r="V49" i="1"/>
  <c r="X49" i="1" s="1"/>
  <c r="AC49" i="1"/>
  <c r="AF49" i="1"/>
  <c r="U50" i="1"/>
  <c r="W50" i="1" s="1"/>
  <c r="V50" i="1"/>
  <c r="X50" i="1" s="1"/>
  <c r="AO50" i="1" s="1"/>
  <c r="AC50" i="1"/>
  <c r="U51" i="1"/>
  <c r="W51" i="1" s="1"/>
  <c r="V51" i="1"/>
  <c r="X51" i="1" s="1"/>
  <c r="AO51" i="1" s="1"/>
  <c r="U52" i="1"/>
  <c r="W52" i="1" s="1"/>
  <c r="V52" i="1"/>
  <c r="X52" i="1" s="1"/>
  <c r="AC52" i="1"/>
  <c r="AF52" i="1"/>
  <c r="U54" i="1"/>
  <c r="W54" i="1" s="1"/>
  <c r="V54" i="1"/>
  <c r="X54" i="1" s="1"/>
  <c r="AC54" i="1"/>
  <c r="AF54" i="1"/>
  <c r="U55" i="1"/>
  <c r="W55" i="1" s="1"/>
  <c r="V55" i="1"/>
  <c r="X55" i="1" s="1"/>
  <c r="AO55" i="1" s="1"/>
  <c r="AC55" i="1"/>
  <c r="U56" i="1"/>
  <c r="W56" i="1" s="1"/>
  <c r="V56" i="1"/>
  <c r="X56" i="1" s="1"/>
  <c r="AO56" i="1" s="1"/>
  <c r="U57" i="1"/>
  <c r="W57" i="1" s="1"/>
  <c r="V57" i="1"/>
  <c r="X57" i="1" s="1"/>
  <c r="AC57" i="1"/>
  <c r="AF57" i="1"/>
  <c r="U72" i="1"/>
  <c r="W72" i="1" s="1"/>
  <c r="AN72" i="1" s="1"/>
  <c r="V72" i="1"/>
  <c r="X72" i="1" s="1"/>
  <c r="AO72" i="1" s="1"/>
  <c r="U73" i="1"/>
  <c r="W73" i="1" s="1"/>
  <c r="AN73" i="1" s="1"/>
  <c r="V73" i="1"/>
  <c r="X73" i="1" s="1"/>
  <c r="AO73" i="1" s="1"/>
  <c r="U74" i="1"/>
  <c r="W74" i="1" s="1"/>
  <c r="V74" i="1"/>
  <c r="X74" i="1" s="1"/>
  <c r="AO74" i="1" s="1"/>
  <c r="U75" i="1"/>
  <c r="W75" i="1" s="1"/>
  <c r="V75" i="1"/>
  <c r="X75" i="1" s="1"/>
  <c r="AO75" i="1" s="1"/>
  <c r="U76" i="1"/>
  <c r="W76" i="1" s="1"/>
  <c r="V76" i="1"/>
  <c r="X76" i="1" s="1"/>
  <c r="AO76" i="1" s="1"/>
  <c r="U77" i="1"/>
  <c r="W77" i="1" s="1"/>
  <c r="AN77" i="1" s="1"/>
  <c r="V77" i="1"/>
  <c r="X77" i="1" s="1"/>
  <c r="U79" i="1"/>
  <c r="W79" i="1" s="1"/>
  <c r="AN79" i="1" s="1"/>
  <c r="V79" i="1"/>
  <c r="X79" i="1" s="1"/>
  <c r="AO79" i="1" s="1"/>
  <c r="U80" i="1"/>
  <c r="W80" i="1" s="1"/>
  <c r="V80" i="1"/>
  <c r="X80" i="1" s="1"/>
  <c r="AO80" i="1" s="1"/>
  <c r="U81" i="1"/>
  <c r="W81" i="1" s="1"/>
  <c r="V81" i="1"/>
  <c r="X81" i="1" s="1"/>
  <c r="AO81" i="1" s="1"/>
  <c r="U82" i="1"/>
  <c r="W82" i="1" s="1"/>
  <c r="AN82" i="1" s="1"/>
  <c r="V82" i="1"/>
  <c r="X82" i="1" s="1"/>
  <c r="AF82" i="1"/>
  <c r="U83" i="1"/>
  <c r="W83" i="1" s="1"/>
  <c r="V83" i="1"/>
  <c r="X83" i="1" s="1"/>
  <c r="U84" i="1"/>
  <c r="W84" i="1" s="1"/>
  <c r="AN84" i="1" s="1"/>
  <c r="V84" i="1"/>
  <c r="X84" i="1" s="1"/>
  <c r="U85" i="1"/>
  <c r="W85" i="1" s="1"/>
  <c r="AN85" i="1" s="1"/>
  <c r="V85" i="1"/>
  <c r="X85" i="1" s="1"/>
  <c r="U86" i="1"/>
  <c r="W86" i="1" s="1"/>
  <c r="AN86" i="1" s="1"/>
  <c r="V86" i="1"/>
  <c r="X86" i="1" s="1"/>
  <c r="U89" i="1"/>
  <c r="W89" i="1" s="1"/>
  <c r="AN89" i="1" s="1"/>
  <c r="V89" i="1"/>
  <c r="X89" i="1" s="1"/>
  <c r="U90" i="1"/>
  <c r="W90" i="1" s="1"/>
  <c r="AN90" i="1" s="1"/>
  <c r="V90" i="1"/>
  <c r="X90" i="1" s="1"/>
  <c r="U91" i="1"/>
  <c r="W91" i="1" s="1"/>
  <c r="AN91" i="1" s="1"/>
  <c r="V91" i="1"/>
  <c r="X91" i="1" s="1"/>
  <c r="U92" i="1"/>
  <c r="W92" i="1" s="1"/>
  <c r="V92" i="1"/>
  <c r="X92" i="1" s="1"/>
  <c r="U95" i="1"/>
  <c r="W95" i="1" s="1"/>
  <c r="V95" i="1"/>
  <c r="X95" i="1" s="1"/>
  <c r="U96" i="1"/>
  <c r="W96" i="1" s="1"/>
  <c r="AN96" i="1" s="1"/>
  <c r="V96" i="1"/>
  <c r="X96" i="1" s="1"/>
  <c r="U98" i="1"/>
  <c r="W98" i="1" s="1"/>
  <c r="V98" i="1"/>
  <c r="X98" i="1" s="1"/>
  <c r="AC98" i="1"/>
  <c r="AF98" i="1"/>
  <c r="U99" i="1"/>
  <c r="W99" i="1" s="1"/>
  <c r="V99" i="1"/>
  <c r="X99" i="1" s="1"/>
  <c r="AF99" i="1"/>
  <c r="U100" i="1"/>
  <c r="W100" i="1" s="1"/>
  <c r="V100" i="1"/>
  <c r="X100" i="1" s="1"/>
  <c r="AF100" i="1"/>
  <c r="U101" i="1"/>
  <c r="W101" i="1" s="1"/>
  <c r="V101" i="1"/>
  <c r="X101" i="1" s="1"/>
  <c r="AF101" i="1"/>
  <c r="U118" i="1"/>
  <c r="W118" i="1" s="1"/>
  <c r="V118" i="1"/>
  <c r="X118" i="1" s="1"/>
  <c r="AC118" i="1"/>
  <c r="AF118" i="1"/>
  <c r="U125" i="1"/>
  <c r="W125" i="1" s="1"/>
  <c r="V125" i="1"/>
  <c r="X125" i="1" s="1"/>
  <c r="AO125" i="1" s="1"/>
  <c r="U128" i="1"/>
  <c r="W128" i="1" s="1"/>
  <c r="AN128" i="1" s="1"/>
  <c r="V128" i="1"/>
  <c r="X128" i="1" s="1"/>
  <c r="U130" i="1"/>
  <c r="W130" i="1" s="1"/>
  <c r="AN130" i="1" s="1"/>
  <c r="V130" i="1"/>
  <c r="X130" i="1" s="1"/>
  <c r="U131" i="1"/>
  <c r="W131" i="1" s="1"/>
  <c r="AN131" i="1" s="1"/>
  <c r="V131" i="1"/>
  <c r="X131" i="1" s="1"/>
  <c r="U132" i="1"/>
  <c r="W132" i="1" s="1"/>
  <c r="AN132" i="1" s="1"/>
  <c r="V132" i="1"/>
  <c r="X132" i="1" s="1"/>
  <c r="U133" i="1"/>
  <c r="W133" i="1" s="1"/>
  <c r="AN133" i="1" s="1"/>
  <c r="V133" i="1"/>
  <c r="X133" i="1" s="1"/>
  <c r="U134" i="1"/>
  <c r="W134" i="1" s="1"/>
  <c r="AN134" i="1" s="1"/>
  <c r="V134" i="1"/>
  <c r="X134" i="1" s="1"/>
  <c r="U135" i="1"/>
  <c r="W135" i="1" s="1"/>
  <c r="AN135" i="1" s="1"/>
  <c r="V135" i="1"/>
  <c r="X135" i="1" s="1"/>
  <c r="U136" i="1"/>
  <c r="W136" i="1" s="1"/>
  <c r="AN136" i="1" s="1"/>
  <c r="V136" i="1"/>
  <c r="X136" i="1" s="1"/>
  <c r="U137" i="1"/>
  <c r="W137" i="1" s="1"/>
  <c r="AN137" i="1" s="1"/>
  <c r="V137" i="1"/>
  <c r="X137" i="1" s="1"/>
  <c r="U138" i="1"/>
  <c r="W138" i="1" s="1"/>
  <c r="AN138" i="1" s="1"/>
  <c r="V138" i="1"/>
  <c r="X138" i="1" s="1"/>
  <c r="U139" i="1"/>
  <c r="W139" i="1" s="1"/>
  <c r="AN139" i="1" s="1"/>
  <c r="V139" i="1"/>
  <c r="X139" i="1" s="1"/>
  <c r="U140" i="1"/>
  <c r="W140" i="1" s="1"/>
  <c r="AN140" i="1" s="1"/>
  <c r="V140" i="1"/>
  <c r="X140" i="1" s="1"/>
  <c r="U141" i="1"/>
  <c r="W141" i="1" s="1"/>
  <c r="AN141" i="1" s="1"/>
  <c r="V141" i="1"/>
  <c r="X141" i="1" s="1"/>
  <c r="U142" i="1"/>
  <c r="W142" i="1" s="1"/>
  <c r="AN142" i="1" s="1"/>
  <c r="V142" i="1"/>
  <c r="X142" i="1" s="1"/>
  <c r="U143" i="1"/>
  <c r="W143" i="1" s="1"/>
  <c r="AN143" i="1" s="1"/>
  <c r="V143" i="1"/>
  <c r="X143" i="1" s="1"/>
  <c r="U144" i="1"/>
  <c r="W144" i="1" s="1"/>
  <c r="AN144" i="1" s="1"/>
  <c r="V144" i="1"/>
  <c r="X144" i="1" s="1"/>
  <c r="U145" i="1"/>
  <c r="W145" i="1" s="1"/>
  <c r="AN145" i="1" s="1"/>
  <c r="V145" i="1"/>
  <c r="X145" i="1" s="1"/>
  <c r="U146" i="1"/>
  <c r="W146" i="1" s="1"/>
  <c r="AN146" i="1" s="1"/>
  <c r="V146" i="1"/>
  <c r="X146" i="1" s="1"/>
  <c r="U147" i="1"/>
  <c r="W147" i="1" s="1"/>
  <c r="AN147" i="1" s="1"/>
  <c r="V147" i="1"/>
  <c r="X147" i="1" s="1"/>
  <c r="U148" i="1"/>
  <c r="W148" i="1" s="1"/>
  <c r="AN148" i="1" s="1"/>
  <c r="V148" i="1"/>
  <c r="X148" i="1" s="1"/>
  <c r="U150" i="1"/>
  <c r="W150" i="1" s="1"/>
  <c r="AN150" i="1" s="1"/>
  <c r="V150" i="1"/>
  <c r="X150" i="1" s="1"/>
  <c r="U153" i="1"/>
  <c r="W153" i="1" s="1"/>
  <c r="V153" i="1"/>
  <c r="U154" i="1"/>
  <c r="W154" i="1" s="1"/>
  <c r="V154" i="1"/>
  <c r="X154" i="1" s="1"/>
  <c r="AO154" i="1" s="1"/>
  <c r="U155" i="1"/>
  <c r="W155" i="1" s="1"/>
  <c r="V155" i="1"/>
  <c r="X155" i="1" s="1"/>
  <c r="AO155" i="1" s="1"/>
  <c r="U156" i="1"/>
  <c r="W156" i="1" s="1"/>
  <c r="V156" i="1"/>
  <c r="X156" i="1" s="1"/>
  <c r="AO156" i="1" s="1"/>
  <c r="U157" i="1"/>
  <c r="W157" i="1" s="1"/>
  <c r="V157" i="1"/>
  <c r="X157" i="1" s="1"/>
  <c r="AO157" i="1" s="1"/>
  <c r="U158" i="1"/>
  <c r="W158" i="1" s="1"/>
  <c r="V158" i="1"/>
  <c r="X158" i="1" s="1"/>
  <c r="AO158" i="1" s="1"/>
  <c r="U159" i="1"/>
  <c r="W159" i="1" s="1"/>
  <c r="V159" i="1"/>
  <c r="X159" i="1" s="1"/>
  <c r="AO159" i="1" s="1"/>
  <c r="U160" i="1"/>
  <c r="W160" i="1" s="1"/>
  <c r="V160" i="1"/>
  <c r="X160" i="1" s="1"/>
  <c r="AO160" i="1" s="1"/>
  <c r="U161" i="1"/>
  <c r="W161" i="1" s="1"/>
  <c r="V161" i="1"/>
  <c r="X161" i="1" s="1"/>
  <c r="AO161" i="1" s="1"/>
  <c r="U162" i="1"/>
  <c r="W162" i="1" s="1"/>
  <c r="V162" i="1"/>
  <c r="X162" i="1" s="1"/>
  <c r="AO162" i="1" s="1"/>
  <c r="U166" i="1"/>
  <c r="W166" i="1" s="1"/>
  <c r="AN166" i="1" s="1"/>
  <c r="V166" i="1"/>
  <c r="X166" i="1" s="1"/>
  <c r="U171" i="1"/>
  <c r="W171" i="1" s="1"/>
  <c r="AN171" i="1" s="1"/>
  <c r="V171" i="1"/>
  <c r="X171" i="1" s="1"/>
  <c r="U173" i="1"/>
  <c r="W173" i="1" s="1"/>
  <c r="AN173" i="1" s="1"/>
  <c r="V173" i="1"/>
  <c r="X173" i="1" s="1"/>
  <c r="U176" i="1"/>
  <c r="W176" i="1" s="1"/>
  <c r="AN176" i="1" s="1"/>
  <c r="V176" i="1"/>
  <c r="X176" i="1" s="1"/>
  <c r="U178" i="1"/>
  <c r="W178" i="1" s="1"/>
  <c r="AN178" i="1" s="1"/>
  <c r="V178" i="1"/>
  <c r="X178" i="1" s="1"/>
  <c r="U181" i="1"/>
  <c r="W181" i="1" s="1"/>
  <c r="AN181" i="1" s="1"/>
  <c r="V181" i="1"/>
  <c r="X181" i="1" s="1"/>
  <c r="U183" i="1"/>
  <c r="W183" i="1" s="1"/>
  <c r="AN183" i="1" s="1"/>
  <c r="V183" i="1"/>
  <c r="X183" i="1" s="1"/>
  <c r="U186" i="1"/>
  <c r="W186" i="1" s="1"/>
  <c r="AN186" i="1" s="1"/>
  <c r="V186" i="1"/>
  <c r="X186" i="1" s="1"/>
  <c r="U188" i="1"/>
  <c r="W188" i="1" s="1"/>
  <c r="AN188" i="1" s="1"/>
  <c r="V188" i="1"/>
  <c r="X188" i="1" s="1"/>
  <c r="U191" i="1"/>
  <c r="W191" i="1" s="1"/>
  <c r="AN191" i="1" s="1"/>
  <c r="V191" i="1"/>
  <c r="X191" i="1" s="1"/>
  <c r="U193" i="1"/>
  <c r="W193" i="1" s="1"/>
  <c r="AN193" i="1" s="1"/>
  <c r="V193" i="1"/>
  <c r="X193" i="1" s="1"/>
  <c r="U196" i="1"/>
  <c r="W196" i="1" s="1"/>
  <c r="AN196" i="1" s="1"/>
  <c r="V196" i="1"/>
  <c r="X196" i="1" s="1"/>
  <c r="U198" i="1"/>
  <c r="W198" i="1" s="1"/>
  <c r="AN198" i="1" s="1"/>
  <c r="V198" i="1"/>
  <c r="X198" i="1" s="1"/>
  <c r="U201" i="1"/>
  <c r="W201" i="1" s="1"/>
  <c r="AN201" i="1" s="1"/>
  <c r="V201" i="1"/>
  <c r="X201" i="1" s="1"/>
  <c r="U203" i="1"/>
  <c r="W203" i="1" s="1"/>
  <c r="AN203" i="1" s="1"/>
  <c r="V203" i="1"/>
  <c r="X203" i="1" s="1"/>
  <c r="U206" i="1"/>
  <c r="W206" i="1" s="1"/>
  <c r="AN206" i="1" s="1"/>
  <c r="V206" i="1"/>
  <c r="X206" i="1" s="1"/>
  <c r="U208" i="1"/>
  <c r="W208" i="1" s="1"/>
  <c r="AN208" i="1" s="1"/>
  <c r="V208" i="1"/>
  <c r="X208" i="1" s="1"/>
  <c r="U211" i="1"/>
  <c r="W211" i="1" s="1"/>
  <c r="AN211" i="1" s="1"/>
  <c r="V211" i="1"/>
  <c r="X211" i="1" s="1"/>
  <c r="U213" i="1"/>
  <c r="W213" i="1" s="1"/>
  <c r="AN213" i="1" s="1"/>
  <c r="V213" i="1"/>
  <c r="X213" i="1" s="1"/>
  <c r="U216" i="1"/>
  <c r="W216" i="1" s="1"/>
  <c r="V216" i="1"/>
  <c r="X216" i="1" s="1"/>
  <c r="U218" i="1"/>
  <c r="W218" i="1" s="1"/>
  <c r="AN218" i="1" s="1"/>
  <c r="V218" i="1"/>
  <c r="X218" i="1" s="1"/>
  <c r="U221" i="1"/>
  <c r="W221" i="1" s="1"/>
  <c r="AN221" i="1" s="1"/>
  <c r="V221" i="1"/>
  <c r="X221" i="1" s="1"/>
  <c r="U223" i="1"/>
  <c r="W223" i="1" s="1"/>
  <c r="AN223" i="1" s="1"/>
  <c r="V223" i="1"/>
  <c r="X223" i="1" s="1"/>
  <c r="U236" i="1"/>
  <c r="W236" i="1" s="1"/>
  <c r="AN236" i="1" s="1"/>
  <c r="V236" i="1"/>
  <c r="X236" i="1" s="1"/>
  <c r="U238" i="1"/>
  <c r="W238" i="1" s="1"/>
  <c r="AN238" i="1" s="1"/>
  <c r="V238" i="1"/>
  <c r="X238" i="1" s="1"/>
  <c r="U241" i="1"/>
  <c r="W241" i="1" s="1"/>
  <c r="AN241" i="1" s="1"/>
  <c r="V241" i="1"/>
  <c r="X241" i="1" s="1"/>
  <c r="U243" i="1"/>
  <c r="W243" i="1" s="1"/>
  <c r="AN243" i="1" s="1"/>
  <c r="V243" i="1"/>
  <c r="X243" i="1" s="1"/>
  <c r="U246" i="1"/>
  <c r="W246" i="1" s="1"/>
  <c r="AN246" i="1" s="1"/>
  <c r="V246" i="1"/>
  <c r="X246" i="1" s="1"/>
  <c r="U248" i="1"/>
  <c r="W248" i="1" s="1"/>
  <c r="AN248" i="1" s="1"/>
  <c r="V248" i="1"/>
  <c r="X248" i="1" s="1"/>
  <c r="U251" i="1"/>
  <c r="W251" i="1" s="1"/>
  <c r="AN251" i="1" s="1"/>
  <c r="V251" i="1"/>
  <c r="X251" i="1" s="1"/>
  <c r="U252" i="1"/>
  <c r="W252" i="1" s="1"/>
  <c r="AN252" i="1" s="1"/>
  <c r="V252" i="1"/>
  <c r="X252" i="1" s="1"/>
  <c r="U253" i="1"/>
  <c r="W253" i="1" s="1"/>
  <c r="AN253" i="1" s="1"/>
  <c r="V253" i="1"/>
  <c r="X253" i="1" s="1"/>
  <c r="U254" i="1"/>
  <c r="W254" i="1" s="1"/>
  <c r="AN254" i="1" s="1"/>
  <c r="V254" i="1"/>
  <c r="X254" i="1" s="1"/>
  <c r="U255" i="1"/>
  <c r="W255" i="1" s="1"/>
  <c r="AN255" i="1" s="1"/>
  <c r="V255" i="1"/>
  <c r="X255" i="1" s="1"/>
  <c r="U256" i="1"/>
  <c r="W256" i="1" s="1"/>
  <c r="V256" i="1"/>
  <c r="X256" i="1" s="1"/>
  <c r="AC256" i="1"/>
  <c r="U257" i="1"/>
  <c r="W257" i="1" s="1"/>
  <c r="AN257" i="1" s="1"/>
  <c r="V257" i="1"/>
  <c r="X257" i="1" s="1"/>
  <c r="AF257" i="1"/>
  <c r="U258" i="1"/>
  <c r="W258" i="1" s="1"/>
  <c r="V258" i="1"/>
  <c r="X258" i="1" s="1"/>
  <c r="AC258" i="1"/>
  <c r="AC263" i="1"/>
  <c r="AF263" i="1"/>
  <c r="AC264" i="1"/>
  <c r="AF264" i="1"/>
  <c r="AF265" i="1"/>
  <c r="AC266" i="1"/>
  <c r="AC271" i="1"/>
  <c r="AF271" i="1"/>
  <c r="AC272" i="1"/>
  <c r="AF272" i="1"/>
  <c r="AC273" i="1"/>
  <c r="AF273" i="1"/>
  <c r="AC279" i="1"/>
  <c r="AF279" i="1"/>
  <c r="AC280" i="1"/>
  <c r="AF280" i="1"/>
  <c r="AC281" i="1"/>
  <c r="AF281" i="1"/>
  <c r="AC287" i="1"/>
  <c r="AF287" i="1"/>
  <c r="AC288" i="1"/>
  <c r="AF288" i="1"/>
  <c r="AC289" i="1"/>
  <c r="AF289" i="1"/>
  <c r="AC295" i="1"/>
  <c r="AF295" i="1"/>
  <c r="AC296" i="1"/>
  <c r="AF296" i="1"/>
  <c r="AC297" i="1"/>
  <c r="AF297" i="1"/>
  <c r="AC303" i="1"/>
  <c r="AF303" i="1"/>
  <c r="AC304" i="1"/>
  <c r="AF304" i="1"/>
  <c r="AC305" i="1"/>
  <c r="AF305" i="1"/>
  <c r="AC311" i="1"/>
  <c r="AF311" i="1"/>
  <c r="AC312" i="1"/>
  <c r="AF312" i="1"/>
  <c r="AC313" i="1"/>
  <c r="AF313" i="1"/>
  <c r="AC319" i="1"/>
  <c r="AF319" i="1"/>
  <c r="AC320" i="1"/>
  <c r="AF320" i="1"/>
  <c r="AC321" i="1"/>
  <c r="U327" i="1"/>
  <c r="W327" i="1" s="1"/>
  <c r="V327" i="1"/>
  <c r="X327" i="1" s="1"/>
  <c r="AC327" i="1"/>
  <c r="AF327" i="1"/>
  <c r="U328" i="1"/>
  <c r="W328" i="1" s="1"/>
  <c r="V328" i="1"/>
  <c r="X328" i="1" s="1"/>
  <c r="AC328" i="1"/>
  <c r="AF328" i="1"/>
  <c r="U329" i="1"/>
  <c r="W329" i="1" s="1"/>
  <c r="V329" i="1"/>
  <c r="X329" i="1" s="1"/>
  <c r="AC329" i="1"/>
  <c r="AF329" i="1"/>
  <c r="U330" i="1"/>
  <c r="W330" i="1" s="1"/>
  <c r="V330" i="1"/>
  <c r="X330" i="1" s="1"/>
  <c r="AC335" i="1"/>
  <c r="AF335" i="1"/>
  <c r="AC336" i="1"/>
  <c r="AF336" i="1"/>
  <c r="AC337" i="1"/>
  <c r="AF337" i="1"/>
  <c r="U343" i="1"/>
  <c r="W343" i="1" s="1"/>
  <c r="V343" i="1"/>
  <c r="X343" i="1" s="1"/>
  <c r="AF343" i="1"/>
  <c r="U344" i="1"/>
  <c r="W344" i="1" s="1"/>
  <c r="V344" i="1"/>
  <c r="X344" i="1" s="1"/>
  <c r="AF344" i="1"/>
  <c r="U345" i="1"/>
  <c r="W345" i="1" s="1"/>
  <c r="V345" i="1"/>
  <c r="X345" i="1" s="1"/>
  <c r="AF345" i="1"/>
  <c r="U346" i="1"/>
  <c r="W346" i="1" s="1"/>
  <c r="V346" i="1"/>
  <c r="X346" i="1" s="1"/>
  <c r="AC375" i="1"/>
  <c r="AF375" i="1"/>
  <c r="AC376" i="1"/>
  <c r="AF376" i="1"/>
  <c r="AC377" i="1"/>
  <c r="AF377" i="1"/>
  <c r="AC383" i="1"/>
  <c r="AF383" i="1"/>
  <c r="AC384" i="1"/>
  <c r="AF384" i="1"/>
  <c r="AC385" i="1"/>
  <c r="AF385" i="1"/>
  <c r="AC391" i="1"/>
  <c r="AF391" i="1"/>
  <c r="AC392" i="1"/>
  <c r="AF392" i="1"/>
  <c r="AC393" i="1"/>
  <c r="AF393" i="1"/>
  <c r="AF401" i="1"/>
  <c r="AF402" i="1"/>
  <c r="U403" i="1"/>
  <c r="W403" i="1" s="1"/>
  <c r="AN403" i="1" s="1"/>
  <c r="V403" i="1"/>
  <c r="X403" i="1" s="1"/>
  <c r="AF403" i="1"/>
  <c r="U404" i="1"/>
  <c r="W404" i="1" s="1"/>
  <c r="AN404" i="1" s="1"/>
  <c r="V404" i="1"/>
  <c r="X404" i="1" s="1"/>
  <c r="AF404" i="1"/>
  <c r="U405" i="1"/>
  <c r="W405" i="1" s="1"/>
  <c r="AN405" i="1" s="1"/>
  <c r="V405" i="1"/>
  <c r="X405" i="1" s="1"/>
  <c r="AF405" i="1"/>
  <c r="AF406" i="1"/>
  <c r="AF409" i="1"/>
  <c r="U415" i="1"/>
  <c r="W415" i="1" s="1"/>
  <c r="V415" i="1"/>
  <c r="X415" i="1" s="1"/>
  <c r="AO415" i="1" s="1"/>
  <c r="AC415" i="1"/>
  <c r="U419" i="1"/>
  <c r="W419" i="1" s="1"/>
  <c r="V419" i="1"/>
  <c r="X419" i="1" s="1"/>
  <c r="U420" i="1"/>
  <c r="W420" i="1" s="1"/>
  <c r="V420" i="1"/>
  <c r="X420" i="1" s="1"/>
  <c r="U421" i="1"/>
  <c r="W421" i="1" s="1"/>
  <c r="V421" i="1"/>
  <c r="AC421" i="1"/>
  <c r="U425" i="1"/>
  <c r="W425" i="1" s="1"/>
  <c r="V425" i="1"/>
  <c r="X425" i="1" s="1"/>
  <c r="AO425" i="1" s="1"/>
  <c r="AC425" i="1"/>
  <c r="U428" i="1"/>
  <c r="W428" i="1" s="1"/>
  <c r="V428" i="1"/>
  <c r="X428" i="1" s="1"/>
  <c r="AO428" i="1" s="1"/>
  <c r="AC428" i="1"/>
  <c r="U429" i="1"/>
  <c r="W429" i="1" s="1"/>
  <c r="V429" i="1"/>
  <c r="X429" i="1" s="1"/>
  <c r="AO429" i="1" s="1"/>
  <c r="AC429" i="1"/>
  <c r="U433" i="1"/>
  <c r="W433" i="1" s="1"/>
  <c r="V433" i="1"/>
  <c r="X433" i="1" s="1"/>
  <c r="AO433" i="1" s="1"/>
  <c r="AC433" i="1"/>
  <c r="AC434" i="1"/>
  <c r="U437" i="1"/>
  <c r="W437" i="1" s="1"/>
  <c r="AN437" i="1" s="1"/>
  <c r="V437" i="1"/>
  <c r="X437" i="1" s="1"/>
  <c r="AF437" i="1"/>
  <c r="AJ257" i="1"/>
  <c r="AJ17" i="1"/>
  <c r="AH19" i="1"/>
  <c r="AJ173" i="1"/>
  <c r="AJ188" i="1"/>
  <c r="AJ187" i="1"/>
  <c r="AJ247" i="1"/>
  <c r="AJ243" i="1"/>
  <c r="AJ242" i="1"/>
  <c r="AJ223" i="1"/>
  <c r="AJ218" i="1"/>
  <c r="AJ217" i="1"/>
  <c r="AJ213" i="1"/>
  <c r="AJ212" i="1"/>
  <c r="AJ208" i="1"/>
  <c r="AJ207" i="1"/>
  <c r="AJ203" i="1"/>
  <c r="AJ202" i="1"/>
  <c r="AJ198" i="1"/>
  <c r="AJ197" i="1"/>
  <c r="AJ193" i="1"/>
  <c r="AJ192" i="1"/>
  <c r="AJ183" i="1"/>
  <c r="AJ182" i="1"/>
  <c r="AJ178" i="1"/>
  <c r="AJ177" i="1"/>
  <c r="AJ172" i="1"/>
  <c r="AJ168" i="1"/>
  <c r="AJ167" i="1"/>
  <c r="AH156" i="1"/>
  <c r="AJ18" i="1"/>
  <c r="AM443" i="1"/>
  <c r="AL443" i="1"/>
  <c r="T443" i="1"/>
  <c r="S443" i="1"/>
  <c r="R443" i="1"/>
  <c r="Q443" i="1"/>
  <c r="P443" i="1"/>
  <c r="O443" i="1"/>
  <c r="N443" i="1"/>
  <c r="M443" i="1"/>
  <c r="L443" i="1"/>
  <c r="J443" i="1"/>
  <c r="I443" i="1"/>
  <c r="H443" i="1"/>
  <c r="G443" i="1"/>
  <c r="F443" i="1"/>
  <c r="E443" i="1"/>
  <c r="AH125" i="1"/>
  <c r="AJ420" i="1"/>
  <c r="AH419" i="1"/>
  <c r="AH335" i="1"/>
  <c r="AH327" i="1"/>
  <c r="AH295" i="1"/>
  <c r="AH279" i="1"/>
  <c r="AH81" i="1"/>
  <c r="AH80" i="1"/>
  <c r="AH76" i="1"/>
  <c r="AH75" i="1"/>
  <c r="AH74" i="1"/>
  <c r="AJ77" i="1"/>
  <c r="AJ14" i="1"/>
  <c r="AJ13" i="1"/>
  <c r="AJ12" i="1"/>
  <c r="AH391" i="1"/>
  <c r="AH383" i="1"/>
  <c r="AH375" i="1"/>
  <c r="AH15" i="1"/>
  <c r="AH101" i="1"/>
  <c r="AH100" i="1"/>
  <c r="AH99" i="1"/>
  <c r="AH98" i="1"/>
  <c r="AH319" i="1"/>
  <c r="AH311" i="1"/>
  <c r="AH303" i="1"/>
  <c r="AH287" i="1"/>
  <c r="AH271" i="1"/>
  <c r="AH263" i="1"/>
  <c r="AJ391" i="1"/>
  <c r="AJ343" i="1"/>
  <c r="AJ248" i="1"/>
  <c r="AJ411" i="1"/>
  <c r="AH216" i="1"/>
  <c r="Q294" i="15"/>
  <c r="L63" i="15"/>
  <c r="K20" i="14"/>
  <c r="L91" i="14" s="1"/>
  <c r="AD428" i="1" s="1"/>
  <c r="K51" i="14"/>
  <c r="L92" i="14" s="1"/>
  <c r="AD429" i="1" s="1"/>
  <c r="L90" i="14"/>
  <c r="AD11" i="1" s="1"/>
  <c r="L93" i="14"/>
  <c r="AD258" i="1" s="1"/>
  <c r="J210" i="19"/>
  <c r="AI419" i="1" s="1"/>
  <c r="L211" i="19"/>
  <c r="AK420" i="1" s="1"/>
  <c r="L216" i="19"/>
  <c r="AK18" i="1" s="1"/>
  <c r="J214" i="19"/>
  <c r="AI80" i="1" s="1"/>
  <c r="L225" i="19"/>
  <c r="AK14" i="1" s="1"/>
  <c r="J224" i="19"/>
  <c r="AI15" i="1" s="1"/>
  <c r="J226" i="19"/>
  <c r="AI76" i="1" s="1"/>
  <c r="J213" i="19"/>
  <c r="AI74" i="1" s="1"/>
  <c r="L227" i="19"/>
  <c r="AK77" i="1" s="1"/>
  <c r="L247" i="19"/>
  <c r="AK90" i="1"/>
  <c r="L248" i="19"/>
  <c r="AK91" i="1"/>
  <c r="L180" i="19"/>
  <c r="L313" i="19" s="1"/>
  <c r="AK132" i="1" s="1"/>
  <c r="J229" i="19"/>
  <c r="AI216" i="1" s="1"/>
  <c r="L231" i="19"/>
  <c r="AK343" i="1" s="1"/>
  <c r="L242" i="19"/>
  <c r="AK86" i="1" s="1"/>
  <c r="L311" i="19"/>
  <c r="AK131" i="1" s="1"/>
  <c r="J233" i="19"/>
  <c r="J240" i="19"/>
  <c r="AI101" i="1" s="1"/>
  <c r="J239" i="19"/>
  <c r="AI100" i="1" s="1"/>
  <c r="J234" i="19"/>
  <c r="AI92" i="1" s="1"/>
  <c r="L125" i="19"/>
  <c r="N125" i="19"/>
  <c r="L215" i="19"/>
  <c r="AK12" i="1" s="1"/>
  <c r="N292" i="15"/>
  <c r="J41" i="15"/>
  <c r="L306" i="19"/>
  <c r="AK257" i="1" s="1"/>
  <c r="J305" i="19"/>
  <c r="AI344" i="1" s="1"/>
  <c r="T90" i="4"/>
  <c r="T26" i="4"/>
  <c r="T29" i="4"/>
  <c r="T32" i="4"/>
  <c r="T37" i="4"/>
  <c r="T45" i="4"/>
  <c r="T48" i="4"/>
  <c r="T51" i="4"/>
  <c r="T58" i="4"/>
  <c r="T57" i="4"/>
  <c r="T50" i="4"/>
  <c r="T31" i="4"/>
  <c r="T86" i="4"/>
  <c r="T88" i="4"/>
  <c r="T79" i="4"/>
  <c r="T68" i="4"/>
  <c r="L77" i="4"/>
  <c r="T71" i="4"/>
  <c r="T74" i="4"/>
  <c r="R77" i="4"/>
  <c r="S77" i="4"/>
  <c r="T73" i="4"/>
  <c r="Q77" i="4"/>
  <c r="P77" i="4"/>
  <c r="O77" i="4"/>
  <c r="M77" i="4"/>
  <c r="L54" i="12"/>
  <c r="L75" i="12"/>
  <c r="J28" i="13"/>
  <c r="K74" i="14"/>
  <c r="K42" i="14"/>
  <c r="O107" i="15"/>
  <c r="L122" i="15" s="1"/>
  <c r="N107" i="15"/>
  <c r="G122" i="15" s="1"/>
  <c r="A294" i="15"/>
  <c r="A293" i="15"/>
  <c r="E259" i="15"/>
  <c r="E258" i="15"/>
  <c r="N103" i="15"/>
  <c r="O99" i="15" s="1"/>
  <c r="G103" i="15"/>
  <c r="H99" i="15" s="1"/>
  <c r="J103" i="15"/>
  <c r="L99" i="15" s="1"/>
  <c r="G143" i="15"/>
  <c r="G145" i="15" s="1"/>
  <c r="O117" i="15"/>
  <c r="N117" i="15"/>
  <c r="N79" i="15"/>
  <c r="H63" i="15"/>
  <c r="H41" i="15"/>
  <c r="O143" i="15"/>
  <c r="O145" i="15" s="1"/>
  <c r="J143" i="15"/>
  <c r="J145" i="15" s="1"/>
  <c r="N143" i="15"/>
  <c r="N145" i="15" s="1"/>
  <c r="L143" i="15"/>
  <c r="L145" i="15" s="1"/>
  <c r="H143" i="15"/>
  <c r="H145" i="15" s="1"/>
  <c r="N63" i="15"/>
  <c r="N41" i="15"/>
  <c r="M260" i="15"/>
  <c r="H198" i="19"/>
  <c r="I198" i="19"/>
  <c r="J198" i="19"/>
  <c r="G198" i="19"/>
  <c r="M20" i="3"/>
  <c r="K131" i="3"/>
  <c r="AD413" i="1" s="1"/>
  <c r="L147" i="2"/>
  <c r="AA153" i="1" s="1"/>
  <c r="F24" i="3"/>
  <c r="F44" i="3" s="1"/>
  <c r="K443" i="1"/>
  <c r="K58" i="24"/>
  <c r="Z32" i="1" s="1"/>
  <c r="M21" i="3"/>
  <c r="H140" i="2"/>
  <c r="M22" i="3"/>
  <c r="X251" i="4"/>
  <c r="O198" i="4" s="1"/>
  <c r="F272" i="15"/>
  <c r="AK133" i="1"/>
  <c r="O281" i="4"/>
  <c r="M150" i="3"/>
  <c r="AK141" i="1"/>
  <c r="AI99" i="1"/>
  <c r="H37" i="2"/>
  <c r="J138" i="2" l="1"/>
  <c r="AN258" i="1"/>
  <c r="T281" i="4"/>
  <c r="AR9" i="1"/>
  <c r="X248" i="4"/>
  <c r="M195" i="4" s="1"/>
  <c r="AD425" i="1" s="1"/>
  <c r="AN425" i="1" s="1"/>
  <c r="AQ425" i="1" s="1"/>
  <c r="L59" i="12"/>
  <c r="Y253" i="4"/>
  <c r="O217" i="4" s="1"/>
  <c r="AG25" i="1" s="1"/>
  <c r="AO25" i="1" s="1"/>
  <c r="R281" i="4"/>
  <c r="AB246" i="1"/>
  <c r="AB443" i="1" s="1"/>
  <c r="AN110" i="1"/>
  <c r="AD111" i="1"/>
  <c r="AN111" i="1" s="1"/>
  <c r="AO110" i="1"/>
  <c r="AG111" i="1"/>
  <c r="AO111" i="1" s="1"/>
  <c r="AS109" i="1"/>
  <c r="AR109" i="1"/>
  <c r="M152" i="3"/>
  <c r="L60" i="12"/>
  <c r="L73" i="14"/>
  <c r="T54" i="4"/>
  <c r="J220" i="19"/>
  <c r="I222" i="19" s="1"/>
  <c r="K164" i="3"/>
  <c r="J268" i="19"/>
  <c r="I303" i="19" s="1"/>
  <c r="Q281" i="4"/>
  <c r="Y256" i="4"/>
  <c r="O220" i="4" s="1"/>
  <c r="AG44" i="1" s="1"/>
  <c r="AO44" i="1" s="1"/>
  <c r="Y257" i="4"/>
  <c r="O221" i="4" s="1"/>
  <c r="AG39" i="1" s="1"/>
  <c r="AO39" i="1" s="1"/>
  <c r="Y259" i="4"/>
  <c r="O223" i="4" s="1"/>
  <c r="AG54" i="1" s="1"/>
  <c r="AO54" i="1" s="1"/>
  <c r="X421" i="1"/>
  <c r="AO421" i="1" s="1"/>
  <c r="X247" i="4"/>
  <c r="M194" i="4" s="1"/>
  <c r="AD57" i="1" s="1"/>
  <c r="AN57" i="1" s="1"/>
  <c r="X242" i="4"/>
  <c r="M189" i="4" s="1"/>
  <c r="AD32" i="1" s="1"/>
  <c r="AN32" i="1" s="1"/>
  <c r="P260" i="4"/>
  <c r="P281" i="4" s="1"/>
  <c r="O282" i="4" s="1"/>
  <c r="I211" i="19"/>
  <c r="T77" i="4"/>
  <c r="W79" i="4" s="1"/>
  <c r="T60" i="4"/>
  <c r="M135" i="4"/>
  <c r="M151" i="4" s="1"/>
  <c r="M183" i="4" s="1"/>
  <c r="V281" i="4"/>
  <c r="O174" i="15"/>
  <c r="AO419" i="1"/>
  <c r="AN422" i="1"/>
  <c r="AQ422" i="1" s="1"/>
  <c r="AO402" i="1"/>
  <c r="AL444" i="1"/>
  <c r="AO129" i="1"/>
  <c r="AR129" i="1" s="1"/>
  <c r="Q444" i="1"/>
  <c r="I231" i="19"/>
  <c r="AK13" i="1"/>
  <c r="AO13" i="1" s="1"/>
  <c r="Y258" i="4"/>
  <c r="O222" i="4" s="1"/>
  <c r="AG49" i="1" s="1"/>
  <c r="AO49" i="1" s="1"/>
  <c r="X245" i="4"/>
  <c r="M192" i="4" s="1"/>
  <c r="AD42" i="1" s="1"/>
  <c r="AN42" i="1" s="1"/>
  <c r="Y255" i="4"/>
  <c r="O219" i="4" s="1"/>
  <c r="AG34" i="1" s="1"/>
  <c r="AO34" i="1" s="1"/>
  <c r="I81" i="24"/>
  <c r="Y118" i="1" s="1"/>
  <c r="AN118" i="1" s="1"/>
  <c r="K82" i="24"/>
  <c r="I444" i="1"/>
  <c r="AO146" i="1"/>
  <c r="AS146" i="1" s="1"/>
  <c r="AO130" i="1"/>
  <c r="AS130" i="1" s="1"/>
  <c r="AN428" i="1"/>
  <c r="AQ428" i="1" s="1"/>
  <c r="G444" i="1"/>
  <c r="S444" i="1"/>
  <c r="AR107" i="1"/>
  <c r="AO303" i="1"/>
  <c r="AO352" i="1"/>
  <c r="S43" i="4"/>
  <c r="AO335" i="1"/>
  <c r="L86" i="3"/>
  <c r="E160" i="3" s="1"/>
  <c r="AO295" i="1"/>
  <c r="AN367" i="1"/>
  <c r="AO386" i="1"/>
  <c r="AO181" i="1"/>
  <c r="AP181" i="1" s="1"/>
  <c r="M164" i="3"/>
  <c r="AG256" i="1"/>
  <c r="AO256" i="1" s="1"/>
  <c r="Y260" i="4"/>
  <c r="O224" i="4" s="1"/>
  <c r="AG257" i="1" s="1"/>
  <c r="AO257" i="1" s="1"/>
  <c r="AO186" i="1"/>
  <c r="AQ186" i="1" s="1"/>
  <c r="AO440" i="1"/>
  <c r="AQ440" i="1" s="1"/>
  <c r="AN83" i="1"/>
  <c r="F221" i="4"/>
  <c r="Q43" i="4"/>
  <c r="Q66" i="4" s="1"/>
  <c r="Q85" i="4" s="1"/>
  <c r="Q111" i="4" s="1"/>
  <c r="D143" i="4" s="1"/>
  <c r="L41" i="14"/>
  <c r="AO133" i="1"/>
  <c r="AR133" i="1" s="1"/>
  <c r="I216" i="19"/>
  <c r="N112" i="14"/>
  <c r="AG258" i="1"/>
  <c r="AO258" i="1" s="1"/>
  <c r="AN265" i="1"/>
  <c r="AN306" i="1"/>
  <c r="M261" i="4"/>
  <c r="Y261" i="4" s="1"/>
  <c r="O225" i="4" s="1"/>
  <c r="AG437" i="1" s="1"/>
  <c r="AO437" i="1" s="1"/>
  <c r="S250" i="4"/>
  <c r="X250" i="4" s="1"/>
  <c r="M197" i="4" s="1"/>
  <c r="AD345" i="1" s="1"/>
  <c r="AN345" i="1" s="1"/>
  <c r="AG83" i="1"/>
  <c r="AO83" i="1" s="1"/>
  <c r="L111" i="12"/>
  <c r="AD411" i="1" s="1"/>
  <c r="AN411" i="1" s="1"/>
  <c r="O295" i="15"/>
  <c r="X272" i="15"/>
  <c r="L237" i="15" s="1"/>
  <c r="AD280" i="1" s="1"/>
  <c r="AN280" i="1" s="1"/>
  <c r="K444" i="1"/>
  <c r="L42" i="13"/>
  <c r="AN429" i="1"/>
  <c r="AP429" i="1" s="1"/>
  <c r="M444" i="1"/>
  <c r="AG93" i="1"/>
  <c r="AO93" i="1" s="1"/>
  <c r="N42" i="13"/>
  <c r="AO57" i="1"/>
  <c r="N200" i="19"/>
  <c r="I227" i="19"/>
  <c r="U281" i="4"/>
  <c r="I306" i="19"/>
  <c r="L198" i="19"/>
  <c r="AN158" i="1"/>
  <c r="AP158" i="1" s="1"/>
  <c r="AI156" i="1"/>
  <c r="AN156" i="1" s="1"/>
  <c r="AP156" i="1" s="1"/>
  <c r="I248" i="19"/>
  <c r="X246" i="4"/>
  <c r="M193" i="4" s="1"/>
  <c r="AD52" i="1" s="1"/>
  <c r="AN52" i="1" s="1"/>
  <c r="X243" i="4"/>
  <c r="M190" i="4" s="1"/>
  <c r="AD37" i="1" s="1"/>
  <c r="AN37" i="1" s="1"/>
  <c r="AD92" i="1"/>
  <c r="AN92" i="1" s="1"/>
  <c r="N105" i="12"/>
  <c r="AG409" i="1" s="1"/>
  <c r="AO409" i="1" s="1"/>
  <c r="AO87" i="1"/>
  <c r="AS87" i="1" s="1"/>
  <c r="C24" i="24"/>
  <c r="C62" i="24" s="1"/>
  <c r="AN413" i="1"/>
  <c r="T93" i="4"/>
  <c r="T35" i="4"/>
  <c r="T39" i="4" s="1"/>
  <c r="O444" i="1"/>
  <c r="AN27" i="1"/>
  <c r="AO368" i="1"/>
  <c r="L112" i="14"/>
  <c r="AK391" i="1"/>
  <c r="AO391" i="1" s="1"/>
  <c r="N111" i="12"/>
  <c r="M82" i="3"/>
  <c r="I83" i="3" s="1"/>
  <c r="K152" i="3"/>
  <c r="M24" i="3"/>
  <c r="L79" i="5"/>
  <c r="AN327" i="1"/>
  <c r="J79" i="5"/>
  <c r="AO254" i="1"/>
  <c r="AP254" i="1" s="1"/>
  <c r="AO252" i="1"/>
  <c r="AP252" i="1" s="1"/>
  <c r="N234" i="2"/>
  <c r="K32" i="24"/>
  <c r="K69" i="24"/>
  <c r="K70" i="24" s="1"/>
  <c r="AN28" i="1"/>
  <c r="AR28" i="1" s="1"/>
  <c r="I70" i="24"/>
  <c r="Y25" i="1"/>
  <c r="AN412" i="1"/>
  <c r="AO18" i="1"/>
  <c r="AO77" i="1"/>
  <c r="AR77" i="1" s="1"/>
  <c r="AO438" i="1"/>
  <c r="AN423" i="1"/>
  <c r="AQ423" i="1" s="1"/>
  <c r="L58" i="12"/>
  <c r="AN419" i="1"/>
  <c r="AN415" i="1"/>
  <c r="AP415" i="1" s="1"/>
  <c r="AO282" i="1"/>
  <c r="AN410" i="1"/>
  <c r="X287" i="15"/>
  <c r="L252" i="15" s="1"/>
  <c r="AD433" i="1" s="1"/>
  <c r="AN433" i="1" s="1"/>
  <c r="X286" i="15"/>
  <c r="L251" i="15" s="1"/>
  <c r="AD392" i="1" s="1"/>
  <c r="AN392" i="1" s="1"/>
  <c r="X285" i="15"/>
  <c r="L250" i="15" s="1"/>
  <c r="AD384" i="1" s="1"/>
  <c r="AN384" i="1" s="1"/>
  <c r="X284" i="15"/>
  <c r="L249" i="15" s="1"/>
  <c r="AD376" i="1" s="1"/>
  <c r="AN376" i="1" s="1"/>
  <c r="X283" i="15"/>
  <c r="L248" i="15" s="1"/>
  <c r="AD370" i="1" s="1"/>
  <c r="AN370" i="1" s="1"/>
  <c r="X282" i="15"/>
  <c r="L247" i="15" s="1"/>
  <c r="AD362" i="1" s="1"/>
  <c r="AN362" i="1" s="1"/>
  <c r="X281" i="15"/>
  <c r="L246" i="15" s="1"/>
  <c r="AD354" i="1" s="1"/>
  <c r="AN354" i="1" s="1"/>
  <c r="X280" i="15"/>
  <c r="L245" i="15" s="1"/>
  <c r="AD346" i="1" s="1"/>
  <c r="AN346" i="1" s="1"/>
  <c r="X277" i="15"/>
  <c r="L242" i="15" s="1"/>
  <c r="AD320" i="1" s="1"/>
  <c r="AN320" i="1" s="1"/>
  <c r="X276" i="15"/>
  <c r="L241" i="15" s="1"/>
  <c r="AD312" i="1" s="1"/>
  <c r="AN312" i="1" s="1"/>
  <c r="X275" i="15"/>
  <c r="L240" i="15" s="1"/>
  <c r="AD304" i="1" s="1"/>
  <c r="AN304" i="1" s="1"/>
  <c r="X274" i="15"/>
  <c r="L239" i="15" s="1"/>
  <c r="AD296" i="1" s="1"/>
  <c r="AN296" i="1" s="1"/>
  <c r="AN313" i="1"/>
  <c r="L234" i="2"/>
  <c r="E444" i="1"/>
  <c r="AO248" i="1"/>
  <c r="AQ248" i="1" s="1"/>
  <c r="AO243" i="1"/>
  <c r="AQ243" i="1" s="1"/>
  <c r="AN361" i="1"/>
  <c r="AO360" i="1"/>
  <c r="AO370" i="1"/>
  <c r="AN368" i="1"/>
  <c r="AN360" i="1"/>
  <c r="AO359" i="1"/>
  <c r="AO362" i="1"/>
  <c r="AO351" i="1"/>
  <c r="AN36" i="1"/>
  <c r="S66" i="4"/>
  <c r="S85" i="4" s="1"/>
  <c r="E194" i="4" s="1"/>
  <c r="F223" i="4"/>
  <c r="C20" i="24"/>
  <c r="C58" i="24" s="1"/>
  <c r="AO134" i="1"/>
  <c r="AR134" i="1" s="1"/>
  <c r="AN74" i="1"/>
  <c r="AO92" i="1"/>
  <c r="C28" i="24"/>
  <c r="C66" i="24" s="1"/>
  <c r="AN46" i="1"/>
  <c r="AO405" i="1"/>
  <c r="AN314" i="1"/>
  <c r="AO272" i="1"/>
  <c r="AO90" i="1"/>
  <c r="AR90" i="1" s="1"/>
  <c r="AO183" i="1"/>
  <c r="AQ183" i="1" s="1"/>
  <c r="AO178" i="1"/>
  <c r="AQ178" i="1" s="1"/>
  <c r="AN279" i="1"/>
  <c r="AO82" i="1"/>
  <c r="AN409" i="1"/>
  <c r="AN386" i="1"/>
  <c r="AN385" i="1"/>
  <c r="AO312" i="1"/>
  <c r="AO384" i="1"/>
  <c r="AN305" i="1"/>
  <c r="AO319" i="1"/>
  <c r="AO375" i="1"/>
  <c r="AO394" i="1"/>
  <c r="AO378" i="1"/>
  <c r="AO314" i="1"/>
  <c r="AO406" i="1"/>
  <c r="AN338" i="1"/>
  <c r="AO320" i="1"/>
  <c r="AN337" i="1"/>
  <c r="AO327" i="1"/>
  <c r="AO403" i="1"/>
  <c r="AN377" i="1"/>
  <c r="AN393" i="1"/>
  <c r="AN322" i="1"/>
  <c r="AN394" i="1"/>
  <c r="AO328" i="1"/>
  <c r="AO376" i="1"/>
  <c r="AN321" i="1"/>
  <c r="AO311" i="1"/>
  <c r="AO338" i="1"/>
  <c r="AO322" i="1"/>
  <c r="AO306" i="1"/>
  <c r="AO383" i="1"/>
  <c r="AO304" i="1"/>
  <c r="AO336" i="1"/>
  <c r="AN359" i="1"/>
  <c r="AN263" i="1"/>
  <c r="AR79" i="1"/>
  <c r="AN256" i="1"/>
  <c r="AO231" i="1"/>
  <c r="AQ231" i="1" s="1"/>
  <c r="AN303" i="1"/>
  <c r="AO227" i="1"/>
  <c r="AQ227" i="1" s="1"/>
  <c r="AO274" i="1"/>
  <c r="C59" i="24"/>
  <c r="AO29" i="1"/>
  <c r="AO287" i="1"/>
  <c r="AO265" i="1"/>
  <c r="AN391" i="1"/>
  <c r="AO94" i="1"/>
  <c r="AN45" i="1"/>
  <c r="AO166" i="1"/>
  <c r="AQ166" i="1" s="1"/>
  <c r="AN30" i="1"/>
  <c r="AO255" i="1"/>
  <c r="AP255" i="1" s="1"/>
  <c r="AO251" i="1"/>
  <c r="AQ251" i="1" s="1"/>
  <c r="AO223" i="1"/>
  <c r="AQ223" i="1" s="1"/>
  <c r="AN159" i="1"/>
  <c r="AP159" i="1" s="1"/>
  <c r="AN55" i="1"/>
  <c r="AO242" i="1"/>
  <c r="AP242" i="1" s="1"/>
  <c r="AN311" i="1"/>
  <c r="AN343" i="1"/>
  <c r="AN352" i="1"/>
  <c r="AO137" i="1"/>
  <c r="AS137" i="1" s="1"/>
  <c r="AO140" i="1"/>
  <c r="AR140" i="1" s="1"/>
  <c r="AO298" i="1"/>
  <c r="AO266" i="1"/>
  <c r="AO238" i="1"/>
  <c r="AP238" i="1" s="1"/>
  <c r="AN351" i="1"/>
  <c r="AO88" i="1"/>
  <c r="AR88" i="1" s="1"/>
  <c r="AO216" i="1"/>
  <c r="AN287" i="1"/>
  <c r="AO206" i="1"/>
  <c r="AP206" i="1" s="1"/>
  <c r="AO17" i="1"/>
  <c r="AN101" i="1"/>
  <c r="AO86" i="1"/>
  <c r="AR86" i="1" s="1"/>
  <c r="AO218" i="1"/>
  <c r="AP218" i="1" s="1"/>
  <c r="AO176" i="1"/>
  <c r="AP176" i="1" s="1"/>
  <c r="AO143" i="1"/>
  <c r="AS143" i="1" s="1"/>
  <c r="AO135" i="1"/>
  <c r="AS135" i="1" s="1"/>
  <c r="AN56" i="1"/>
  <c r="AN50" i="1"/>
  <c r="AN40" i="1"/>
  <c r="AN282" i="1"/>
  <c r="AN383" i="1"/>
  <c r="AO233" i="1"/>
  <c r="AP233" i="1" s="1"/>
  <c r="AO232" i="1"/>
  <c r="AQ232" i="1" s="1"/>
  <c r="C245" i="4"/>
  <c r="Y294" i="15"/>
  <c r="N259" i="15" s="1"/>
  <c r="AG101" i="1" s="1"/>
  <c r="AO101" i="1" s="1"/>
  <c r="T295" i="15"/>
  <c r="Y290" i="15"/>
  <c r="N255" i="15" s="1"/>
  <c r="AG97" i="1" s="1"/>
  <c r="AO97" i="1" s="1"/>
  <c r="Y292" i="15"/>
  <c r="N257" i="15" s="1"/>
  <c r="AG99" i="1" s="1"/>
  <c r="AO99" i="1" s="1"/>
  <c r="Q295" i="15"/>
  <c r="O296" i="15" s="1"/>
  <c r="Y293" i="15"/>
  <c r="N258" i="15" s="1"/>
  <c r="AG100" i="1" s="1"/>
  <c r="AO100" i="1" s="1"/>
  <c r="U295" i="15"/>
  <c r="X289" i="15"/>
  <c r="L254" i="15" s="1"/>
  <c r="AD60" i="1" s="1"/>
  <c r="AN60" i="1" s="1"/>
  <c r="X288" i="15"/>
  <c r="L253" i="15" s="1"/>
  <c r="AD434" i="1" s="1"/>
  <c r="AN434" i="1" s="1"/>
  <c r="X273" i="15"/>
  <c r="X271" i="15"/>
  <c r="L236" i="15" s="1"/>
  <c r="AD272" i="1" s="1"/>
  <c r="AN272" i="1" s="1"/>
  <c r="X270" i="15"/>
  <c r="L235" i="15" s="1"/>
  <c r="AD266" i="1" s="1"/>
  <c r="AN266" i="1" s="1"/>
  <c r="X278" i="15"/>
  <c r="L243" i="15" s="1"/>
  <c r="AD328" i="1" s="1"/>
  <c r="AN328" i="1" s="1"/>
  <c r="R295" i="15"/>
  <c r="AN289" i="1"/>
  <c r="AN216" i="1"/>
  <c r="AO91" i="1"/>
  <c r="AS91" i="1" s="1"/>
  <c r="AO37" i="1"/>
  <c r="AO171" i="1"/>
  <c r="AQ171" i="1" s="1"/>
  <c r="AN75" i="1"/>
  <c r="AO47" i="1"/>
  <c r="AS22" i="1"/>
  <c r="AR8" i="1"/>
  <c r="AO263" i="1"/>
  <c r="AO42" i="1"/>
  <c r="AN160" i="1"/>
  <c r="AQ160" i="1" s="1"/>
  <c r="AO187" i="1"/>
  <c r="AQ187" i="1" s="1"/>
  <c r="AO253" i="1"/>
  <c r="AQ253" i="1" s="1"/>
  <c r="AO226" i="1"/>
  <c r="AP226" i="1" s="1"/>
  <c r="AO280" i="1"/>
  <c r="AO138" i="1"/>
  <c r="AR138" i="1" s="1"/>
  <c r="AO148" i="1"/>
  <c r="AS148" i="1" s="1"/>
  <c r="AO193" i="1"/>
  <c r="AP193" i="1" s="1"/>
  <c r="AO202" i="1"/>
  <c r="AQ202" i="1" s="1"/>
  <c r="AO228" i="1"/>
  <c r="AO236" i="1"/>
  <c r="AQ236" i="1" s="1"/>
  <c r="AN51" i="1"/>
  <c r="AO95" i="1"/>
  <c r="AO192" i="1"/>
  <c r="AP192" i="1" s="1"/>
  <c r="AO198" i="1"/>
  <c r="AQ198" i="1" s="1"/>
  <c r="AO203" i="1"/>
  <c r="AQ203" i="1" s="1"/>
  <c r="AO207" i="1"/>
  <c r="AP207" i="1" s="1"/>
  <c r="AO211" i="1"/>
  <c r="AQ211" i="1" s="1"/>
  <c r="AO222" i="1"/>
  <c r="AQ222" i="1" s="1"/>
  <c r="AO237" i="1"/>
  <c r="AP237" i="1" s="1"/>
  <c r="AN264" i="1"/>
  <c r="AN281" i="1"/>
  <c r="AN297" i="1"/>
  <c r="AN274" i="1"/>
  <c r="AO142" i="1"/>
  <c r="AS142" i="1" s="1"/>
  <c r="AO290" i="1"/>
  <c r="AO85" i="1"/>
  <c r="AR85" i="1" s="1"/>
  <c r="AO89" i="1"/>
  <c r="AR89" i="1" s="1"/>
  <c r="AO330" i="1"/>
  <c r="AO144" i="1"/>
  <c r="AR144" i="1" s="1"/>
  <c r="AO271" i="1"/>
  <c r="AO296" i="1"/>
  <c r="C30" i="24"/>
  <c r="C68" i="24" s="1"/>
  <c r="AO344" i="1"/>
  <c r="AO221" i="1"/>
  <c r="AQ221" i="1" s="1"/>
  <c r="AN81" i="1"/>
  <c r="AO401" i="1"/>
  <c r="AO188" i="1"/>
  <c r="AQ188" i="1" s="1"/>
  <c r="AO213" i="1"/>
  <c r="AQ213" i="1" s="1"/>
  <c r="AO247" i="1"/>
  <c r="AP247" i="1" s="1"/>
  <c r="AN420" i="1"/>
  <c r="AN330" i="1"/>
  <c r="AO241" i="1"/>
  <c r="AN157" i="1"/>
  <c r="AP157" i="1" s="1"/>
  <c r="AN298" i="1"/>
  <c r="AN93" i="1"/>
  <c r="AR22" i="1"/>
  <c r="AN162" i="1"/>
  <c r="AQ162" i="1" s="1"/>
  <c r="AN94" i="1"/>
  <c r="AO191" i="1"/>
  <c r="AN155" i="1"/>
  <c r="AP155" i="1" s="1"/>
  <c r="AO212" i="1"/>
  <c r="AP212" i="1" s="1"/>
  <c r="AN80" i="1"/>
  <c r="AN31" i="1"/>
  <c r="AN41" i="1"/>
  <c r="AN34" i="1"/>
  <c r="AO182" i="1"/>
  <c r="AQ182" i="1" s="1"/>
  <c r="AO197" i="1"/>
  <c r="AQ197" i="1" s="1"/>
  <c r="AO208" i="1"/>
  <c r="AP208" i="1" s="1"/>
  <c r="AO177" i="1"/>
  <c r="AP177" i="1" s="1"/>
  <c r="AN54" i="1"/>
  <c r="K86" i="3"/>
  <c r="E159" i="3" s="1"/>
  <c r="AO14" i="1"/>
  <c r="AN421" i="1"/>
  <c r="AO96" i="1"/>
  <c r="AS96" i="1" s="1"/>
  <c r="AN35" i="1"/>
  <c r="AN378" i="1"/>
  <c r="AO392" i="1"/>
  <c r="F222" i="4"/>
  <c r="C242" i="4"/>
  <c r="AO173" i="1"/>
  <c r="AQ173" i="1" s="1"/>
  <c r="AN26" i="1"/>
  <c r="AO354" i="1"/>
  <c r="C246" i="4"/>
  <c r="F218" i="4"/>
  <c r="AN344" i="1"/>
  <c r="AO217" i="1"/>
  <c r="AN335" i="1"/>
  <c r="M44" i="4"/>
  <c r="M67" i="4" s="1"/>
  <c r="M85" i="4" s="1"/>
  <c r="M112" i="4" s="1"/>
  <c r="D140" i="4" s="1"/>
  <c r="C63" i="24"/>
  <c r="AS108" i="1"/>
  <c r="AR108" i="1"/>
  <c r="AR21" i="1"/>
  <c r="AR16" i="1"/>
  <c r="AS79" i="1"/>
  <c r="C247" i="4"/>
  <c r="AN424" i="1"/>
  <c r="AS8" i="1"/>
  <c r="AN100" i="1"/>
  <c r="AN49" i="1"/>
  <c r="AO264" i="1"/>
  <c r="AO167" i="1"/>
  <c r="AQ167" i="1" s="1"/>
  <c r="AO367" i="1"/>
  <c r="AR72" i="1"/>
  <c r="AR73" i="1"/>
  <c r="AS73" i="1"/>
  <c r="W443" i="1"/>
  <c r="AN99" i="1"/>
  <c r="AO145" i="1"/>
  <c r="AR145" i="1" s="1"/>
  <c r="AO420" i="1"/>
  <c r="AO141" i="1"/>
  <c r="AR141" i="1" s="1"/>
  <c r="AO139" i="1"/>
  <c r="AS139" i="1" s="1"/>
  <c r="AO84" i="1"/>
  <c r="AS84" i="1" s="1"/>
  <c r="AN76" i="1"/>
  <c r="AS16" i="1"/>
  <c r="AN15" i="1"/>
  <c r="AS15" i="1" s="1"/>
  <c r="AN11" i="1"/>
  <c r="AN29" i="1"/>
  <c r="AO168" i="1"/>
  <c r="AQ168" i="1" s="1"/>
  <c r="AN161" i="1"/>
  <c r="AQ161" i="1" s="1"/>
  <c r="AO131" i="1"/>
  <c r="AR131" i="1" s="1"/>
  <c r="AO52" i="1"/>
  <c r="C255" i="4"/>
  <c r="AO12" i="1"/>
  <c r="AN39" i="1"/>
  <c r="AO343" i="1"/>
  <c r="AN95" i="1"/>
  <c r="AN319" i="1"/>
  <c r="U443" i="1"/>
  <c r="AS21" i="1"/>
  <c r="AS72" i="1"/>
  <c r="V443" i="1"/>
  <c r="AO196" i="1"/>
  <c r="AR20" i="1"/>
  <c r="AS20" i="1"/>
  <c r="AO172" i="1"/>
  <c r="AO346" i="1"/>
  <c r="AN295" i="1"/>
  <c r="C257" i="4"/>
  <c r="AO147" i="1"/>
  <c r="AR147" i="1" s="1"/>
  <c r="AO132" i="1"/>
  <c r="AR132" i="1" s="1"/>
  <c r="AO136" i="1"/>
  <c r="AR136" i="1" s="1"/>
  <c r="AN47" i="1"/>
  <c r="AO201" i="1"/>
  <c r="AN154" i="1"/>
  <c r="AN44" i="1"/>
  <c r="AN290" i="1"/>
  <c r="O43" i="4"/>
  <c r="O66" i="4" s="1"/>
  <c r="O85" i="4" s="1"/>
  <c r="E190" i="4" s="1"/>
  <c r="AO279" i="1"/>
  <c r="AN271" i="1"/>
  <c r="F219" i="4"/>
  <c r="J63" i="15"/>
  <c r="G291" i="15" s="1"/>
  <c r="Y291" i="15" s="1"/>
  <c r="N256" i="15" s="1"/>
  <c r="AG98" i="1" s="1"/>
  <c r="AO98" i="1" s="1"/>
  <c r="AN375" i="1"/>
  <c r="Y279" i="15"/>
  <c r="N244" i="15" s="1"/>
  <c r="AG337" i="1" s="1"/>
  <c r="AO337" i="1" s="1"/>
  <c r="Y286" i="15"/>
  <c r="N251" i="15" s="1"/>
  <c r="AG393" i="1" s="1"/>
  <c r="AO393" i="1" s="1"/>
  <c r="Y285" i="15"/>
  <c r="N250" i="15" s="1"/>
  <c r="AG385" i="1" s="1"/>
  <c r="AO385" i="1" s="1"/>
  <c r="Y284" i="15"/>
  <c r="N249" i="15" s="1"/>
  <c r="AG377" i="1" s="1"/>
  <c r="AO377" i="1" s="1"/>
  <c r="Y283" i="15"/>
  <c r="N248" i="15" s="1"/>
  <c r="AG369" i="1" s="1"/>
  <c r="AO369" i="1" s="1"/>
  <c r="Y282" i="15"/>
  <c r="N247" i="15" s="1"/>
  <c r="AG361" i="1" s="1"/>
  <c r="AO361" i="1" s="1"/>
  <c r="Y281" i="15"/>
  <c r="N246" i="15" s="1"/>
  <c r="AG353" i="1" s="1"/>
  <c r="AO353" i="1" s="1"/>
  <c r="Y280" i="15"/>
  <c r="N245" i="15" s="1"/>
  <c r="AG345" i="1" s="1"/>
  <c r="AO345" i="1" s="1"/>
  <c r="Y277" i="15"/>
  <c r="N242" i="15" s="1"/>
  <c r="AG321" i="1" s="1"/>
  <c r="AO321" i="1" s="1"/>
  <c r="Y275" i="15"/>
  <c r="N240" i="15" s="1"/>
  <c r="AG305" i="1" s="1"/>
  <c r="AO305" i="1" s="1"/>
  <c r="Y273" i="15"/>
  <c r="N238" i="15" s="1"/>
  <c r="AG289" i="1" s="1"/>
  <c r="AO289" i="1" s="1"/>
  <c r="Y272" i="15"/>
  <c r="N237" i="15" s="1"/>
  <c r="AG281" i="1" s="1"/>
  <c r="AO281" i="1" s="1"/>
  <c r="Y271" i="15"/>
  <c r="N236" i="15" s="1"/>
  <c r="AG273" i="1" s="1"/>
  <c r="AO273" i="1" s="1"/>
  <c r="X279" i="15"/>
  <c r="L244" i="15" s="1"/>
  <c r="AD336" i="1" s="1"/>
  <c r="AN336" i="1" s="1"/>
  <c r="Y278" i="15"/>
  <c r="N243" i="15" s="1"/>
  <c r="AG329" i="1" s="1"/>
  <c r="AO329" i="1" s="1"/>
  <c r="L295" i="15"/>
  <c r="AN329" i="1"/>
  <c r="AO288" i="1"/>
  <c r="AN273" i="1"/>
  <c r="L238" i="15"/>
  <c r="AD288" i="1" s="1"/>
  <c r="AN288" i="1" s="1"/>
  <c r="AN97" i="1"/>
  <c r="N239" i="15"/>
  <c r="AG297" i="1" s="1"/>
  <c r="AO297" i="1" s="1"/>
  <c r="J295" i="15"/>
  <c r="F295" i="15"/>
  <c r="L41" i="15"/>
  <c r="H291" i="15" s="1"/>
  <c r="X291" i="15" s="1"/>
  <c r="AO32" i="1"/>
  <c r="N241" i="15"/>
  <c r="AG426" i="1"/>
  <c r="AO426" i="1" s="1"/>
  <c r="AA443" i="1"/>
  <c r="AN153" i="1"/>
  <c r="AO128" i="1"/>
  <c r="AS107" i="1"/>
  <c r="AG404" i="1"/>
  <c r="AO404" i="1" s="1"/>
  <c r="N295" i="15"/>
  <c r="K24" i="3"/>
  <c r="G36" i="5"/>
  <c r="I47" i="5" s="1"/>
  <c r="AN353" i="1"/>
  <c r="AN369" i="1"/>
  <c r="AN435" i="1"/>
  <c r="K128" i="3"/>
  <c r="M128" i="3"/>
  <c r="F57" i="3"/>
  <c r="H55" i="3" s="1"/>
  <c r="X153" i="1"/>
  <c r="P43" i="4"/>
  <c r="P66" i="4" s="1"/>
  <c r="P85" i="4" s="1"/>
  <c r="C244" i="4"/>
  <c r="F220" i="4"/>
  <c r="C258" i="4"/>
  <c r="R66" i="4"/>
  <c r="R85" i="4" s="1"/>
  <c r="L44" i="4"/>
  <c r="L67" i="4" s="1"/>
  <c r="L85" i="4" s="1"/>
  <c r="L112" i="4" s="1"/>
  <c r="D139" i="4" s="1"/>
  <c r="L113" i="12" l="1"/>
  <c r="L61" i="12"/>
  <c r="N54" i="12" s="1"/>
  <c r="AO246" i="1"/>
  <c r="AQ246" i="1" s="1"/>
  <c r="AP419" i="1"/>
  <c r="I146" i="4"/>
  <c r="Q282" i="4"/>
  <c r="AS110" i="1"/>
  <c r="AR111" i="1"/>
  <c r="AP422" i="1"/>
  <c r="AS111" i="1"/>
  <c r="AR110" i="1"/>
  <c r="AP401" i="1"/>
  <c r="AI19" i="1"/>
  <c r="AN19" i="1" s="1"/>
  <c r="AR19" i="1" s="1"/>
  <c r="AQ421" i="1"/>
  <c r="U282" i="4"/>
  <c r="AR146" i="1"/>
  <c r="AQ159" i="1"/>
  <c r="AS129" i="1"/>
  <c r="AR130" i="1"/>
  <c r="AQ158" i="1"/>
  <c r="S281" i="4"/>
  <c r="S282" i="4" s="1"/>
  <c r="Y443" i="1"/>
  <c r="I82" i="24"/>
  <c r="H82" i="24" s="1"/>
  <c r="AP186" i="1"/>
  <c r="AR135" i="1"/>
  <c r="AS86" i="1"/>
  <c r="AP160" i="1"/>
  <c r="AP428" i="1"/>
  <c r="AP248" i="1"/>
  <c r="AS77" i="1"/>
  <c r="AS134" i="1"/>
  <c r="AQ193" i="1"/>
  <c r="AP232" i="1"/>
  <c r="AQ216" i="1"/>
  <c r="E192" i="4"/>
  <c r="AP213" i="1"/>
  <c r="AS145" i="1"/>
  <c r="AS28" i="1"/>
  <c r="AP198" i="1"/>
  <c r="AP197" i="1"/>
  <c r="AQ181" i="1"/>
  <c r="AS133" i="1"/>
  <c r="AP227" i="1"/>
  <c r="AP178" i="1"/>
  <c r="AP440" i="1"/>
  <c r="AS90" i="1"/>
  <c r="AQ252" i="1"/>
  <c r="AR80" i="1"/>
  <c r="AS57" i="1"/>
  <c r="S111" i="4"/>
  <c r="D145" i="4" s="1"/>
  <c r="AN25" i="1"/>
  <c r="AR25" i="1" s="1"/>
  <c r="AP423" i="1"/>
  <c r="AQ429" i="1"/>
  <c r="AP409" i="1"/>
  <c r="AQ401" i="1"/>
  <c r="AR74" i="1"/>
  <c r="AP211" i="1"/>
  <c r="AQ226" i="1"/>
  <c r="AP405" i="1"/>
  <c r="AS82" i="1"/>
  <c r="AS93" i="1"/>
  <c r="AR93" i="1"/>
  <c r="AR82" i="1"/>
  <c r="X281" i="4"/>
  <c r="AS17" i="1"/>
  <c r="AP183" i="1"/>
  <c r="M227" i="4"/>
  <c r="AQ409" i="1"/>
  <c r="AQ405" i="1"/>
  <c r="M281" i="4"/>
  <c r="L282" i="4" s="1"/>
  <c r="O227" i="4"/>
  <c r="Y281" i="4"/>
  <c r="AR57" i="1"/>
  <c r="AR87" i="1"/>
  <c r="AQ156" i="1"/>
  <c r="AQ254" i="1"/>
  <c r="AQ258" i="1"/>
  <c r="AP258" i="1"/>
  <c r="AS85" i="1"/>
  <c r="G295" i="15"/>
  <c r="F296" i="15" s="1"/>
  <c r="AG411" i="1"/>
  <c r="AO411" i="1" s="1"/>
  <c r="N113" i="12"/>
  <c r="AQ415" i="1"/>
  <c r="AQ212" i="1"/>
  <c r="AR47" i="1"/>
  <c r="Z118" i="1"/>
  <c r="H70" i="24"/>
  <c r="AQ157" i="1"/>
  <c r="AP243" i="1"/>
  <c r="AQ218" i="1"/>
  <c r="AQ238" i="1"/>
  <c r="AQ247" i="1"/>
  <c r="AQ256" i="1"/>
  <c r="AP425" i="1"/>
  <c r="AQ206" i="1"/>
  <c r="AQ419" i="1"/>
  <c r="AS138" i="1"/>
  <c r="AP202" i="1"/>
  <c r="AP222" i="1"/>
  <c r="AQ255" i="1"/>
  <c r="AP231" i="1"/>
  <c r="AS37" i="1"/>
  <c r="AP187" i="1"/>
  <c r="AS92" i="1"/>
  <c r="L296" i="15"/>
  <c r="AS42" i="1"/>
  <c r="AS141" i="1"/>
  <c r="AQ233" i="1"/>
  <c r="AR148" i="1"/>
  <c r="AQ176" i="1"/>
  <c r="AP203" i="1"/>
  <c r="AR17" i="1"/>
  <c r="AS140" i="1"/>
  <c r="AR137" i="1"/>
  <c r="AS89" i="1"/>
  <c r="AP171" i="1"/>
  <c r="AQ237" i="1"/>
  <c r="AS144" i="1"/>
  <c r="AS80" i="1"/>
  <c r="AP251" i="1"/>
  <c r="AR34" i="1"/>
  <c r="AQ207" i="1"/>
  <c r="AP223" i="1"/>
  <c r="AQ242" i="1"/>
  <c r="AP166" i="1"/>
  <c r="AP167" i="1"/>
  <c r="AP161" i="1"/>
  <c r="AP221" i="1"/>
  <c r="AR42" i="1"/>
  <c r="AS94" i="1"/>
  <c r="AP256" i="1"/>
  <c r="AS34" i="1"/>
  <c r="AR29" i="1"/>
  <c r="AR91" i="1"/>
  <c r="AR143" i="1"/>
  <c r="AR92" i="1"/>
  <c r="AS97" i="1"/>
  <c r="AP162" i="1"/>
  <c r="AQ155" i="1"/>
  <c r="AS88" i="1"/>
  <c r="AR94" i="1"/>
  <c r="AQ192" i="1"/>
  <c r="AP188" i="1"/>
  <c r="AP236" i="1"/>
  <c r="AP182" i="1"/>
  <c r="AS132" i="1"/>
  <c r="AS54" i="1"/>
  <c r="AR99" i="1"/>
  <c r="AR101" i="1"/>
  <c r="AS101" i="1"/>
  <c r="E189" i="4"/>
  <c r="AP253" i="1"/>
  <c r="AR12" i="1"/>
  <c r="AR142" i="1"/>
  <c r="AS95" i="1"/>
  <c r="AP216" i="1"/>
  <c r="AP228" i="1"/>
  <c r="AQ228" i="1"/>
  <c r="AP241" i="1"/>
  <c r="AQ241" i="1"/>
  <c r="AS47" i="1"/>
  <c r="AP421" i="1"/>
  <c r="AR54" i="1"/>
  <c r="AQ208" i="1"/>
  <c r="AS52" i="1"/>
  <c r="AP173" i="1"/>
  <c r="AR37" i="1"/>
  <c r="AR96" i="1"/>
  <c r="AQ177" i="1"/>
  <c r="AQ191" i="1"/>
  <c r="AP191" i="1"/>
  <c r="AA444" i="1"/>
  <c r="AS29" i="1"/>
  <c r="AR44" i="1"/>
  <c r="AR97" i="1"/>
  <c r="AP217" i="1"/>
  <c r="AQ217" i="1"/>
  <c r="AS12" i="1"/>
  <c r="AR39" i="1"/>
  <c r="AS136" i="1"/>
  <c r="AS147" i="1"/>
  <c r="AS44" i="1"/>
  <c r="AR100" i="1"/>
  <c r="AR15" i="1"/>
  <c r="AR95" i="1"/>
  <c r="AQ424" i="1"/>
  <c r="AP424" i="1"/>
  <c r="AR52" i="1"/>
  <c r="AP168" i="1"/>
  <c r="AS74" i="1"/>
  <c r="AS39" i="1"/>
  <c r="O111" i="4"/>
  <c r="D141" i="4" s="1"/>
  <c r="AR139" i="1"/>
  <c r="AQ420" i="1"/>
  <c r="AP420" i="1"/>
  <c r="AS100" i="1"/>
  <c r="AR84" i="1"/>
  <c r="AS131" i="1"/>
  <c r="AR11" i="1"/>
  <c r="AS11" i="1"/>
  <c r="AS9" i="1"/>
  <c r="AS99" i="1"/>
  <c r="AQ154" i="1"/>
  <c r="AP154" i="1"/>
  <c r="AQ196" i="1"/>
  <c r="AP196" i="1"/>
  <c r="U444" i="1"/>
  <c r="AQ201" i="1"/>
  <c r="AP201" i="1"/>
  <c r="AP172" i="1"/>
  <c r="AQ172" i="1"/>
  <c r="Y295" i="15"/>
  <c r="L256" i="15"/>
  <c r="AD98" i="1" s="1"/>
  <c r="AN98" i="1" s="1"/>
  <c r="AR98" i="1" s="1"/>
  <c r="H295" i="15"/>
  <c r="H296" i="15" s="1"/>
  <c r="E193" i="4"/>
  <c r="R111" i="4"/>
  <c r="D144" i="4" s="1"/>
  <c r="E191" i="4"/>
  <c r="P111" i="4"/>
  <c r="D142" i="4" s="1"/>
  <c r="AQ403" i="1"/>
  <c r="AP403" i="1"/>
  <c r="AG313" i="1"/>
  <c r="AO313" i="1" s="1"/>
  <c r="N260" i="15"/>
  <c r="AR32" i="1"/>
  <c r="AS32" i="1"/>
  <c r="X443" i="1"/>
  <c r="AO153" i="1"/>
  <c r="AP153" i="1" s="1"/>
  <c r="AP434" i="1"/>
  <c r="AQ434" i="1"/>
  <c r="AR128" i="1"/>
  <c r="AS128" i="1"/>
  <c r="AP437" i="1"/>
  <c r="AQ437" i="1"/>
  <c r="AS49" i="1"/>
  <c r="AR49" i="1"/>
  <c r="AQ433" i="1"/>
  <c r="AP433" i="1"/>
  <c r="AP426" i="1"/>
  <c r="AQ426" i="1"/>
  <c r="AP246" i="1" l="1"/>
  <c r="Z443" i="1"/>
  <c r="Y444" i="1" s="1"/>
  <c r="AO118" i="1"/>
  <c r="L114" i="12"/>
  <c r="AS19" i="1"/>
  <c r="X282" i="4"/>
  <c r="AS25" i="1"/>
  <c r="AQ153" i="1"/>
  <c r="L260" i="15"/>
  <c r="L261" i="15" s="1"/>
  <c r="AP411" i="1"/>
  <c r="AQ411" i="1"/>
  <c r="AS98" i="1"/>
  <c r="X295" i="15"/>
  <c r="X296" i="15" s="1"/>
  <c r="W444" i="1"/>
  <c r="W449" i="1"/>
  <c r="E152" i="25"/>
  <c r="E156" i="25"/>
  <c r="G156" i="25" l="1"/>
  <c r="H156" i="25"/>
  <c r="H152" i="25"/>
  <c r="G152" i="25"/>
  <c r="E147" i="25"/>
  <c r="E150" i="25"/>
  <c r="C115" i="25" l="1"/>
  <c r="AD112" i="1" s="1"/>
  <c r="AN112" i="1" s="1"/>
  <c r="D115" i="25"/>
  <c r="AG112" i="1" s="1"/>
  <c r="H150" i="25"/>
  <c r="G150" i="25"/>
  <c r="H147" i="25"/>
  <c r="G147" i="25"/>
  <c r="C110" i="25" s="1"/>
  <c r="AD62" i="1" s="1"/>
  <c r="E128" i="25"/>
  <c r="E148" i="25"/>
  <c r="AO112" i="1" l="1"/>
  <c r="AS112" i="1" s="1"/>
  <c r="AN62" i="1"/>
  <c r="C113" i="25"/>
  <c r="D113" i="25"/>
  <c r="AO60" i="1"/>
  <c r="AS60" i="1" s="1"/>
  <c r="D110" i="25"/>
  <c r="AG62" i="1" s="1"/>
  <c r="AO62" i="1" s="1"/>
  <c r="G148" i="25"/>
  <c r="H148" i="25"/>
  <c r="G128" i="25"/>
  <c r="H128" i="25"/>
  <c r="E144" i="25"/>
  <c r="E135" i="25"/>
  <c r="E145" i="25"/>
  <c r="E136" i="25"/>
  <c r="E133" i="25"/>
  <c r="E143" i="25"/>
  <c r="E134" i="25"/>
  <c r="E141" i="25"/>
  <c r="E130" i="25"/>
  <c r="E132" i="25"/>
  <c r="E138" i="25"/>
  <c r="E140" i="25"/>
  <c r="E146" i="25"/>
  <c r="E139" i="25"/>
  <c r="E131" i="25"/>
  <c r="E137" i="25"/>
  <c r="E142" i="25"/>
  <c r="AR112" i="1" l="1"/>
  <c r="AN63" i="1"/>
  <c r="AD61" i="1"/>
  <c r="AO63" i="1"/>
  <c r="AG61" i="1"/>
  <c r="AO61" i="1" s="1"/>
  <c r="AS62" i="1"/>
  <c r="AR62" i="1"/>
  <c r="C111" i="25"/>
  <c r="AR60" i="1"/>
  <c r="D111" i="25"/>
  <c r="AG64" i="1" s="1"/>
  <c r="AO64" i="1" s="1"/>
  <c r="D157" i="25"/>
  <c r="C91" i="25"/>
  <c r="AD119" i="1" s="1"/>
  <c r="AN119" i="1" s="1"/>
  <c r="AR118" i="1" s="1"/>
  <c r="H131" i="25"/>
  <c r="G131" i="25"/>
  <c r="G138" i="25"/>
  <c r="H138" i="25"/>
  <c r="G134" i="25"/>
  <c r="H134" i="25"/>
  <c r="H145" i="25"/>
  <c r="G145" i="25"/>
  <c r="D91" i="25"/>
  <c r="AG119" i="1" s="1"/>
  <c r="AO119" i="1" s="1"/>
  <c r="AS118" i="1" s="1"/>
  <c r="H139" i="25"/>
  <c r="G139" i="25"/>
  <c r="G132" i="25"/>
  <c r="H132" i="25"/>
  <c r="H143" i="25"/>
  <c r="G143" i="25"/>
  <c r="H135" i="25"/>
  <c r="G135" i="25"/>
  <c r="H142" i="25"/>
  <c r="G142" i="25"/>
  <c r="H146" i="25"/>
  <c r="G146" i="25"/>
  <c r="C157" i="25"/>
  <c r="H133" i="25"/>
  <c r="G133" i="25"/>
  <c r="G144" i="25"/>
  <c r="H144" i="25"/>
  <c r="H137" i="25"/>
  <c r="G137" i="25"/>
  <c r="G140" i="25"/>
  <c r="H140" i="25"/>
  <c r="H141" i="25"/>
  <c r="G141" i="25"/>
  <c r="H136" i="25"/>
  <c r="G136" i="25"/>
  <c r="AS63" i="1" l="1"/>
  <c r="AN61" i="1"/>
  <c r="AS61" i="1" s="1"/>
  <c r="AD64" i="1"/>
  <c r="AN64" i="1" s="1"/>
  <c r="AR63" i="1"/>
  <c r="C104" i="25"/>
  <c r="AD355" i="1" s="1"/>
  <c r="AN355" i="1" s="1"/>
  <c r="C96" i="25"/>
  <c r="AD291" i="1" s="1"/>
  <c r="AN291" i="1" s="1"/>
  <c r="AP287" i="1" s="1"/>
  <c r="D98" i="25"/>
  <c r="AG307" i="1" s="1"/>
  <c r="AO307" i="1" s="1"/>
  <c r="C95" i="25"/>
  <c r="AD283" i="1" s="1"/>
  <c r="AN283" i="1" s="1"/>
  <c r="C108" i="25"/>
  <c r="AD387" i="1" s="1"/>
  <c r="AN387" i="1" s="1"/>
  <c r="D101" i="25"/>
  <c r="AG331" i="1" s="1"/>
  <c r="AO331" i="1" s="1"/>
  <c r="D104" i="25"/>
  <c r="AG355" i="1" s="1"/>
  <c r="AO355" i="1" s="1"/>
  <c r="D100" i="25"/>
  <c r="AG323" i="1" s="1"/>
  <c r="AO323" i="1" s="1"/>
  <c r="D96" i="25"/>
  <c r="AG291" i="1" s="1"/>
  <c r="AO291" i="1" s="1"/>
  <c r="C105" i="25"/>
  <c r="AD363" i="1" s="1"/>
  <c r="AN363" i="1" s="1"/>
  <c r="C106" i="25"/>
  <c r="AD371" i="1" s="1"/>
  <c r="AN371" i="1" s="1"/>
  <c r="C102" i="25"/>
  <c r="AD339" i="1" s="1"/>
  <c r="AN339" i="1" s="1"/>
  <c r="D108" i="25"/>
  <c r="AG387" i="1" s="1"/>
  <c r="AO387" i="1" s="1"/>
  <c r="C101" i="25"/>
  <c r="AD331" i="1" s="1"/>
  <c r="AN331" i="1" s="1"/>
  <c r="AP327" i="1" s="1"/>
  <c r="C100" i="25"/>
  <c r="AD323" i="1" s="1"/>
  <c r="AN323" i="1" s="1"/>
  <c r="D109" i="25"/>
  <c r="AG395" i="1" s="1"/>
  <c r="AO395" i="1" s="1"/>
  <c r="C99" i="25"/>
  <c r="AD315" i="1" s="1"/>
  <c r="AN315" i="1" s="1"/>
  <c r="D103" i="25"/>
  <c r="AG347" i="1" s="1"/>
  <c r="AO347" i="1" s="1"/>
  <c r="D107" i="25"/>
  <c r="AG379" i="1" s="1"/>
  <c r="AO379" i="1" s="1"/>
  <c r="D105" i="25"/>
  <c r="AG363" i="1" s="1"/>
  <c r="AO363" i="1" s="1"/>
  <c r="D106" i="25"/>
  <c r="AG371" i="1" s="1"/>
  <c r="AO371" i="1" s="1"/>
  <c r="D102" i="25"/>
  <c r="AG339" i="1" s="1"/>
  <c r="AO339" i="1" s="1"/>
  <c r="D97" i="25"/>
  <c r="AG299" i="1" s="1"/>
  <c r="AO299" i="1" s="1"/>
  <c r="C94" i="25"/>
  <c r="AD275" i="1" s="1"/>
  <c r="AN275" i="1" s="1"/>
  <c r="D99" i="25"/>
  <c r="AG315" i="1" s="1"/>
  <c r="AO315" i="1" s="1"/>
  <c r="C103" i="25"/>
  <c r="AD347" i="1" s="1"/>
  <c r="AN347" i="1" s="1"/>
  <c r="AP343" i="1" s="1"/>
  <c r="C107" i="25"/>
  <c r="AD379" i="1" s="1"/>
  <c r="AN379" i="1" s="1"/>
  <c r="C109" i="25"/>
  <c r="AD395" i="1" s="1"/>
  <c r="AN395" i="1" s="1"/>
  <c r="C98" i="25"/>
  <c r="AD307" i="1" s="1"/>
  <c r="AN307" i="1" s="1"/>
  <c r="D95" i="25"/>
  <c r="AG283" i="1" s="1"/>
  <c r="AO283" i="1" s="1"/>
  <c r="C97" i="25"/>
  <c r="AD299" i="1" s="1"/>
  <c r="AN299" i="1" s="1"/>
  <c r="D94" i="25"/>
  <c r="AG275" i="1" s="1"/>
  <c r="AO275" i="1" s="1"/>
  <c r="E157" i="25"/>
  <c r="H130" i="25" s="1"/>
  <c r="D93" i="25" s="1"/>
  <c r="AG267" i="1" s="1"/>
  <c r="AP295" i="1" l="1"/>
  <c r="AP359" i="1"/>
  <c r="AP375" i="1"/>
  <c r="AP351" i="1"/>
  <c r="AP303" i="1"/>
  <c r="AP383" i="1"/>
  <c r="AP311" i="1"/>
  <c r="AP271" i="1"/>
  <c r="AP319" i="1"/>
  <c r="AP391" i="1"/>
  <c r="AP335" i="1"/>
  <c r="AP279" i="1"/>
  <c r="AP367" i="1"/>
  <c r="AR61" i="1"/>
  <c r="AR64" i="1"/>
  <c r="AS64" i="1"/>
  <c r="AQ343" i="1"/>
  <c r="AQ327" i="1"/>
  <c r="AQ359" i="1"/>
  <c r="AQ287" i="1"/>
  <c r="AQ303" i="1"/>
  <c r="AQ311" i="1"/>
  <c r="AQ383" i="1"/>
  <c r="AQ351" i="1"/>
  <c r="AQ391" i="1"/>
  <c r="AQ271" i="1"/>
  <c r="AQ335" i="1"/>
  <c r="AQ279" i="1"/>
  <c r="AQ295" i="1"/>
  <c r="AQ375" i="1"/>
  <c r="AQ319" i="1"/>
  <c r="AQ367" i="1"/>
  <c r="G130" i="25"/>
  <c r="C92" i="25"/>
  <c r="H129" i="25"/>
  <c r="D92" i="25" s="1"/>
  <c r="AG102" i="1" s="1"/>
  <c r="AO267" i="1"/>
  <c r="AD102" i="1" l="1"/>
  <c r="AN102" i="1" s="1"/>
  <c r="AN23" i="1"/>
  <c r="C93" i="25"/>
  <c r="AD267" i="1" s="1"/>
  <c r="AN267" i="1" s="1"/>
  <c r="AP263" i="1" s="1"/>
  <c r="G157" i="25"/>
  <c r="H157" i="25"/>
  <c r="D120" i="25"/>
  <c r="C120" i="25" l="1"/>
  <c r="AQ263" i="1"/>
  <c r="AQ443" i="1" s="1"/>
  <c r="AP443" i="1"/>
  <c r="AD443" i="1"/>
  <c r="AR23" i="1"/>
  <c r="AS23" i="1"/>
  <c r="AO102" i="1"/>
  <c r="AG443" i="1"/>
  <c r="AD444" i="1" l="1"/>
  <c r="AQ445" i="1"/>
  <c r="AR124" i="1" s="1"/>
  <c r="AP445" i="1"/>
  <c r="AS102" i="1"/>
  <c r="AR102" i="1"/>
  <c r="AQ447" i="1" l="1"/>
  <c r="AS124" i="1"/>
  <c r="AP447" i="1"/>
  <c r="J308" i="19" l="1"/>
  <c r="AI125" i="1" s="1"/>
  <c r="AP448" i="1"/>
  <c r="J332" i="19" l="1"/>
  <c r="AN125" i="1"/>
  <c r="AR125" i="1" s="1"/>
  <c r="N202" i="19"/>
  <c r="L331" i="19" s="1"/>
  <c r="AK150" i="1" s="1"/>
  <c r="AO150" i="1" s="1"/>
  <c r="AO443" i="1" s="1"/>
  <c r="AI443" i="1"/>
  <c r="L332" i="19" l="1"/>
  <c r="AK443" i="1"/>
  <c r="AI444" i="1" s="1"/>
  <c r="AR150" i="1"/>
  <c r="AS150" i="1"/>
  <c r="AS125" i="1"/>
  <c r="AN443" i="1"/>
  <c r="AS443" i="1" l="1"/>
  <c r="AN444" i="1"/>
  <c r="AR443" i="1"/>
  <c r="AR444" i="1" l="1"/>
</calcChain>
</file>

<file path=xl/comments1.xml><?xml version="1.0" encoding="utf-8"?>
<comments xmlns="http://schemas.openxmlformats.org/spreadsheetml/2006/main">
  <authors>
    <author>LGC</author>
  </authors>
  <commentList>
    <comment ref="C79" authorId="0" shapeId="0">
      <text>
        <r>
          <rPr>
            <b/>
            <sz val="8"/>
            <color indexed="81"/>
            <rFont val="Tahoma"/>
            <family val="2"/>
          </rPr>
          <t>LGC:</t>
        </r>
        <r>
          <rPr>
            <sz val="8"/>
            <color indexed="81"/>
            <rFont val="Tahoma"/>
            <family val="2"/>
          </rPr>
          <t xml:space="preserve">
Previously treated as the prepaid portion of deferred revenue. Reported as unearned revenue in both modified and full accrual.</t>
        </r>
      </text>
    </comment>
    <comment ref="C107" authorId="0" shapeId="0">
      <text>
        <r>
          <rPr>
            <b/>
            <sz val="8"/>
            <color indexed="81"/>
            <rFont val="Tahoma"/>
            <family val="2"/>
          </rPr>
          <t>LGC:</t>
        </r>
        <r>
          <rPr>
            <sz val="8"/>
            <color indexed="81"/>
            <rFont val="Tahoma"/>
            <family val="2"/>
          </rPr>
          <t xml:space="preserve">
Previously treated as the prepaid portion of deferred revenue. Reported as unearned revenue in both modified and full accrual.</t>
        </r>
      </text>
    </comment>
    <comment ref="C161" authorId="0" shapeId="0">
      <text>
        <r>
          <rPr>
            <b/>
            <sz val="8"/>
            <color indexed="81"/>
            <rFont val="Tahoma"/>
            <family val="2"/>
          </rPr>
          <t>LGC:</t>
        </r>
        <r>
          <rPr>
            <sz val="8"/>
            <color indexed="81"/>
            <rFont val="Tahoma"/>
            <family val="2"/>
          </rPr>
          <t xml:space="preserve">
Significant items, subject to management control, that meet one of the criteria of 1)unusual in nature, or 2) infrequent in occurrence - not reasonably expected to recur in the foreseeable future.</t>
        </r>
      </text>
    </comment>
    <comment ref="C162" authorId="0" shapeId="0">
      <text>
        <r>
          <rPr>
            <b/>
            <sz val="8"/>
            <color indexed="81"/>
            <rFont val="Tahoma"/>
            <family val="2"/>
          </rPr>
          <t>LGC:</t>
        </r>
        <r>
          <rPr>
            <sz val="8"/>
            <color indexed="81"/>
            <rFont val="Tahoma"/>
            <family val="2"/>
          </rPr>
          <t xml:space="preserve">
Significant events that must be both unusual in nature and infrequent in occurrence</t>
        </r>
      </text>
    </comment>
  </commentList>
</comments>
</file>

<file path=xl/comments2.xml><?xml version="1.0" encoding="utf-8"?>
<comments xmlns="http://schemas.openxmlformats.org/spreadsheetml/2006/main">
  <authors>
    <author>LGC</author>
  </authors>
  <commentList>
    <comment ref="C34" authorId="0" shapeId="0">
      <text>
        <r>
          <rPr>
            <b/>
            <sz val="8"/>
            <color indexed="81"/>
            <rFont val="Tahoma"/>
            <family val="2"/>
          </rPr>
          <t>LGC:</t>
        </r>
        <r>
          <rPr>
            <sz val="8"/>
            <color indexed="81"/>
            <rFont val="Tahoma"/>
            <family val="2"/>
          </rPr>
          <t xml:space="preserve">
Significant items, subject to management control, that meet one of the criteria of 1)unusual in nature, or 2) infrequent in occurrence - not reasonably expected to recur in the foreseeable future.)</t>
        </r>
      </text>
    </comment>
    <comment ref="C35" authorId="0" shapeId="0">
      <text>
        <r>
          <rPr>
            <b/>
            <sz val="8"/>
            <color indexed="81"/>
            <rFont val="Tahoma"/>
            <family val="2"/>
          </rPr>
          <t>LGC:</t>
        </r>
        <r>
          <rPr>
            <sz val="8"/>
            <color indexed="81"/>
            <rFont val="Tahoma"/>
            <family val="2"/>
          </rPr>
          <t xml:space="preserve">
Significant events that must be both unusual in nature and infrequent in occurrence</t>
        </r>
      </text>
    </comment>
    <comment ref="C137" authorId="0" shapeId="0">
      <text>
        <r>
          <rPr>
            <b/>
            <sz val="8"/>
            <color indexed="81"/>
            <rFont val="Tahoma"/>
            <family val="2"/>
          </rPr>
          <t>LGC:</t>
        </r>
        <r>
          <rPr>
            <sz val="8"/>
            <color indexed="81"/>
            <rFont val="Tahoma"/>
            <family val="2"/>
          </rPr>
          <t xml:space="preserve">
Significant items, subject to management control, that meet one of the criteria of 1)unusual in nature, or 2) infrequent in occurrence - not reasonably expected to recur in the foreseeable future.)</t>
        </r>
      </text>
    </comment>
    <comment ref="C138" authorId="0" shapeId="0">
      <text>
        <r>
          <rPr>
            <b/>
            <sz val="8"/>
            <color indexed="81"/>
            <rFont val="Tahoma"/>
            <family val="2"/>
          </rPr>
          <t>LGC:</t>
        </r>
        <r>
          <rPr>
            <sz val="8"/>
            <color indexed="81"/>
            <rFont val="Tahoma"/>
            <family val="2"/>
          </rPr>
          <t xml:space="preserve">
Significant events that must be both unusual in nature and infrequent in occurrence</t>
        </r>
      </text>
    </comment>
    <comment ref="B154" authorId="0" shapeId="0">
      <text>
        <r>
          <rPr>
            <b/>
            <sz val="8"/>
            <color indexed="81"/>
            <rFont val="Tahoma"/>
            <family val="2"/>
          </rPr>
          <t>LGC:</t>
        </r>
        <r>
          <rPr>
            <sz val="8"/>
            <color indexed="81"/>
            <rFont val="Tahoma"/>
            <family val="2"/>
          </rPr>
          <t xml:space="preserve">
Significant items, subject to management control, that meet one of the criteria of 1)unusual in nature, or 2) infrequent in occurrence - not reasonably expected to recur in the foreseeable future.)</t>
        </r>
      </text>
    </comment>
    <comment ref="B155" authorId="0" shapeId="0">
      <text>
        <r>
          <rPr>
            <b/>
            <sz val="8"/>
            <color indexed="81"/>
            <rFont val="Tahoma"/>
            <family val="2"/>
          </rPr>
          <t>LGC:</t>
        </r>
        <r>
          <rPr>
            <sz val="8"/>
            <color indexed="81"/>
            <rFont val="Tahoma"/>
            <family val="2"/>
          </rPr>
          <t xml:space="preserve">
Significant events that must be both unusual in nature and infrequent in occurrence</t>
        </r>
      </text>
    </comment>
  </commentList>
</comments>
</file>

<file path=xl/comments3.xml><?xml version="1.0" encoding="utf-8"?>
<comments xmlns="http://schemas.openxmlformats.org/spreadsheetml/2006/main">
  <authors>
    <author>LGC0206</author>
  </authors>
  <commentList>
    <comment ref="C90" authorId="0" shapeId="0">
      <text>
        <r>
          <rPr>
            <b/>
            <sz val="8"/>
            <color indexed="81"/>
            <rFont val="Tahoma"/>
            <family val="2"/>
          </rPr>
          <t>LGC:</t>
        </r>
        <r>
          <rPr>
            <sz val="8"/>
            <color indexed="81"/>
            <rFont val="Tahoma"/>
            <family val="2"/>
          </rPr>
          <t xml:space="preserve">
A special item is a "material" transaction that is either unusual in nature, or infrequent in occurrence, and subject to management's control.</t>
        </r>
      </text>
    </comment>
  </commentList>
</comments>
</file>

<file path=xl/comments4.xml><?xml version="1.0" encoding="utf-8"?>
<comments xmlns="http://schemas.openxmlformats.org/spreadsheetml/2006/main">
  <authors>
    <author>LGC</author>
  </authors>
  <commentList>
    <comment ref="D37" authorId="0" shapeId="0">
      <text>
        <r>
          <rPr>
            <b/>
            <sz val="8"/>
            <color indexed="81"/>
            <rFont val="Tahoma"/>
            <family val="2"/>
          </rPr>
          <t>LGC:</t>
        </r>
        <r>
          <rPr>
            <sz val="8"/>
            <color indexed="81"/>
            <rFont val="Tahoma"/>
            <family val="2"/>
          </rPr>
          <t xml:space="preserve">
Assume that this was recorded as an 
other financing source since it is a special item
</t>
        </r>
      </text>
    </comment>
  </commentList>
</comments>
</file>

<file path=xl/comments5.xml><?xml version="1.0" encoding="utf-8"?>
<comments xmlns="http://schemas.openxmlformats.org/spreadsheetml/2006/main">
  <authors>
    <author>LGC</author>
  </authors>
  <commentList>
    <comment ref="B46" authorId="0" shapeId="0">
      <text>
        <r>
          <rPr>
            <b/>
            <sz val="8"/>
            <color indexed="81"/>
            <rFont val="Tahoma"/>
            <family val="2"/>
          </rPr>
          <t>LGC:</t>
        </r>
        <r>
          <rPr>
            <sz val="8"/>
            <color indexed="81"/>
            <rFont val="Tahoma"/>
            <family val="2"/>
          </rPr>
          <t xml:space="preserve">
Recognizing an expenditure at the time of purchase.
</t>
        </r>
      </text>
    </comment>
  </commentList>
</comments>
</file>

<file path=xl/comments6.xml><?xml version="1.0" encoding="utf-8"?>
<comments xmlns="http://schemas.openxmlformats.org/spreadsheetml/2006/main">
  <authors>
    <author>Preeta Nayak</author>
  </authors>
  <commentList>
    <comment ref="B207" authorId="0" shapeId="0">
      <text>
        <r>
          <rPr>
            <b/>
            <sz val="9"/>
            <color indexed="81"/>
            <rFont val="Tahoma"/>
            <family val="2"/>
          </rPr>
          <t>Preeta Nayak:</t>
        </r>
        <r>
          <rPr>
            <sz val="9"/>
            <color indexed="81"/>
            <rFont val="Tahoma"/>
            <family val="2"/>
          </rPr>
          <t xml:space="preserve">
unit joined in March of 2017
</t>
        </r>
      </text>
    </comment>
  </commentList>
</comments>
</file>

<file path=xl/sharedStrings.xml><?xml version="1.0" encoding="utf-8"?>
<sst xmlns="http://schemas.openxmlformats.org/spreadsheetml/2006/main" count="5964" uniqueCount="1673">
  <si>
    <r>
      <t xml:space="preserve">What was the amount of the net OPEB obligation at the beginning of the year for the Governmental Funds' portion?  </t>
    </r>
    <r>
      <rPr>
        <sz val="8"/>
        <color indexed="10"/>
        <rFont val="Arial"/>
        <family val="2"/>
      </rPr>
      <t>(Beginning balances for the Governmental Funds were recorded on the Beginning Capital Assets &amp; LTD tab.)</t>
    </r>
  </si>
  <si>
    <t xml:space="preserve">What was the amount of the net OPEB obligation at the ending of the year for the Governmental Funds' portion?  </t>
  </si>
  <si>
    <t>Change in OPEB obligation during the year</t>
  </si>
  <si>
    <t>Bonds and notes payable</t>
  </si>
  <si>
    <t>Other postemployment benefits *</t>
  </si>
  <si>
    <t>*  Please note that this OPEB line is only</t>
  </si>
  <si>
    <t>relevant if your LEA offers additional benefits</t>
  </si>
  <si>
    <t>to the Healthcare Benefits required by</t>
  </si>
  <si>
    <t>State law.</t>
  </si>
  <si>
    <t xml:space="preserve">Indicate to which functions the change in OPEB for the governmental funds apply. The sum of the amounts below must equal the amount in the corresponding step above. </t>
  </si>
  <si>
    <t>Expenses need to be accrued for those liabilities incurred during the period which are not normally paid with current available resources. This includes items such as compensated absences, claims and judgments (including workers' compensation claims), other long-term liabilities, or postemployment benefits other than the State Healthcare benefit required by State law.</t>
  </si>
  <si>
    <t>For other postemployment benefits (not including the State Healthcare benefits required under State law), the change in the net OPEB liability will need to be recorded to charge the expense to the corresponding function.</t>
  </si>
  <si>
    <r>
      <t xml:space="preserve">What is the adjustment for Additional Other Postemployment Benefits (other than the Healthcare Benefits required under State law) offered for the Total Governmental Funds portion? </t>
    </r>
    <r>
      <rPr>
        <b/>
        <sz val="10"/>
        <color indexed="10"/>
        <rFont val="Arial"/>
        <family val="2"/>
      </rPr>
      <t xml:space="preserve"> [Only applies to a few LEAs!  Refer to Memorandum #2010-1 for journal entry overview.]</t>
    </r>
  </si>
  <si>
    <t>The staff has tried to anticipate the most likely scenarios for governments in North Carolina . However, it is impossible for us to anticipate every unique situation that exists in our local governments. If you need assistance with your particular data, please call and we will make every attempt to help you enter the data into the workbook. However, some instances will exist for which the workbook will not make the necessary calculation. The "manual entry" columns on the summary worksheet are there for this purpose. The user can calculate the necessary entry and post it in this column to the appropriate accounts.</t>
  </si>
  <si>
    <t>Reclassifications and</t>
  </si>
  <si>
    <t>Eliminations</t>
  </si>
  <si>
    <r>
      <t xml:space="preserve">Special item </t>
    </r>
    <r>
      <rPr>
        <sz val="8"/>
        <color indexed="10"/>
        <rFont val="Arial"/>
        <family val="2"/>
      </rPr>
      <t>- fund statements</t>
    </r>
  </si>
  <si>
    <r>
      <t xml:space="preserve">Extraordinary item </t>
    </r>
    <r>
      <rPr>
        <sz val="8"/>
        <color indexed="10"/>
        <rFont val="Arial"/>
        <family val="2"/>
      </rPr>
      <t xml:space="preserve"> - fund statements</t>
    </r>
  </si>
  <si>
    <t>Govt-wide</t>
  </si>
  <si>
    <t>Unrestricted</t>
  </si>
  <si>
    <t>7.</t>
  </si>
  <si>
    <t xml:space="preserve">Any expenditures during the year on completed projects at year end should be recorded in the appropriate category rather than in construction in progress. </t>
  </si>
  <si>
    <r>
      <t xml:space="preserve">Classify current portion of long-term liabilities.   </t>
    </r>
    <r>
      <rPr>
        <b/>
        <sz val="8"/>
        <color indexed="10"/>
        <rFont val="Arial"/>
        <family val="2"/>
      </rPr>
      <t>(Leave the cell blank if account does not apply or classification has been handled previously.)</t>
    </r>
  </si>
  <si>
    <t>presentation</t>
  </si>
  <si>
    <t>Other long-term liability #1</t>
  </si>
  <si>
    <t>Other long-term liability #2</t>
  </si>
  <si>
    <t>Total restricted assets</t>
  </si>
  <si>
    <t>Non-programmed charges(8000)</t>
  </si>
  <si>
    <r>
      <t xml:space="preserve">and the category of infrastructure (according to the phased implementation rules of GASB 34). The amounts recorded should be the beginning balances for the year. </t>
    </r>
    <r>
      <rPr>
        <b/>
        <sz val="10"/>
        <rFont val="Arial"/>
        <family val="2"/>
      </rPr>
      <t>Current year activity will be recorded in a later step.</t>
    </r>
  </si>
  <si>
    <t xml:space="preserve">Revenues are reclassified from the summary levels in the fund statements to the classification required for the Statement of Activities in Worksheet A.2. </t>
  </si>
  <si>
    <t>OFS - Transfer In</t>
  </si>
  <si>
    <t>Enter the face amount of newly issued debt for all governmental funds by the categories below.</t>
  </si>
  <si>
    <t>Investment income</t>
  </si>
  <si>
    <r>
      <t xml:space="preserve">Entry for Conversion worksheet to record changes in assets.  (Entry </t>
    </r>
    <r>
      <rPr>
        <b/>
        <sz val="10"/>
        <rFont val="Times New Roman"/>
        <family val="1"/>
      </rPr>
      <t>G.1</t>
    </r>
    <r>
      <rPr>
        <b/>
        <sz val="10"/>
        <rFont val="Arial"/>
        <family val="2"/>
      </rPr>
      <t>)</t>
    </r>
  </si>
  <si>
    <t xml:space="preserve">Dr </t>
  </si>
  <si>
    <t>Subtotal Non-Major</t>
  </si>
  <si>
    <t>Governmental Funds</t>
  </si>
  <si>
    <t>Fund Equity - Beginning</t>
  </si>
  <si>
    <t>Expenditures as reported in the Capital Outlay Fund Statements:</t>
  </si>
  <si>
    <r>
      <t>Debt service (interest + principal)</t>
    </r>
    <r>
      <rPr>
        <sz val="8"/>
        <rFont val="Arial"/>
        <family val="2"/>
      </rPr>
      <t xml:space="preserve"> </t>
    </r>
    <r>
      <rPr>
        <b/>
        <sz val="8"/>
        <color indexed="10"/>
        <rFont val="Arial"/>
        <family val="2"/>
      </rPr>
      <t>as reported on the fund statements</t>
    </r>
  </si>
  <si>
    <r>
      <t xml:space="preserve">Any investment earnings that must be reclassified to program revenue will be adjusted in worksheet </t>
    </r>
    <r>
      <rPr>
        <sz val="11"/>
        <rFont val="Times New Roman"/>
        <family val="1"/>
      </rPr>
      <t>I</t>
    </r>
    <r>
      <rPr>
        <sz val="10"/>
        <rFont val="Arial"/>
        <family val="2"/>
      </rPr>
      <t>.</t>
    </r>
  </si>
  <si>
    <t xml:space="preserve">Accrued investment earnings should be recorded under the full accrual basis of accounting. Accrued investment earnings at the beginning of the year were actually earned in the prior year; they must be reversed and beginning fund balance must be credited. Accrued investment earnings at year end are earned in this reporting period and although not yet received are recorded as revenue in the current year. </t>
  </si>
  <si>
    <r>
      <t xml:space="preserve">Method 1 - </t>
    </r>
    <r>
      <rPr>
        <u/>
        <sz val="10"/>
        <color indexed="10"/>
        <rFont val="Arial"/>
        <family val="2"/>
      </rPr>
      <t>know</t>
    </r>
    <r>
      <rPr>
        <sz val="10"/>
        <color indexed="10"/>
        <rFont val="Arial"/>
        <family val="2"/>
      </rPr>
      <t xml:space="preserve"> current year amounts earned</t>
    </r>
  </si>
  <si>
    <r>
      <t>Method 2 -</t>
    </r>
    <r>
      <rPr>
        <u/>
        <sz val="10"/>
        <color indexed="10"/>
        <rFont val="Arial"/>
        <family val="2"/>
      </rPr>
      <t xml:space="preserve"> know</t>
    </r>
    <r>
      <rPr>
        <sz val="10"/>
        <color indexed="10"/>
        <rFont val="Arial"/>
        <family val="2"/>
      </rPr>
      <t xml:space="preserve"> current year amounts used</t>
    </r>
  </si>
  <si>
    <t>Work Section for Conversion entry H</t>
  </si>
  <si>
    <t>Indicate to which function the new claims and judgments listed in step 2 apply. The sum of the amounts below must equal the amount in the corresponding step above. Indicate to which function the payment was charged in step 3. Indicate to which function any adjustments noted in step 4 should be recorded. Indicate any amounts that should be reported as special or extraordinary items.</t>
  </si>
  <si>
    <r>
      <t xml:space="preserve">Indicate the amount of </t>
    </r>
    <r>
      <rPr>
        <u/>
        <sz val="10"/>
        <rFont val="Arial"/>
        <family val="2"/>
      </rPr>
      <t>payments</t>
    </r>
    <r>
      <rPr>
        <sz val="10"/>
        <rFont val="Arial"/>
        <family val="2"/>
      </rPr>
      <t xml:space="preserve"> made on other long-term liabilities.</t>
    </r>
  </si>
  <si>
    <r>
      <t xml:space="preserve">Ending balance for other long-term liabilities for the current year. - </t>
    </r>
    <r>
      <rPr>
        <sz val="8"/>
        <color indexed="10"/>
        <rFont val="Arial"/>
        <family val="2"/>
      </rPr>
      <t>calculated</t>
    </r>
  </si>
  <si>
    <t>Indicate to which function the new "other liabilities" listed in step 2 apply. The sum of the amounts below must equal the amount in the corresponding step above. Indicate to which function the payment was charged in step 3. Indicate to which function any adjustments noted in step 4 should be recorded. Indicate any amounts that should be reported as special or extraordinary items.</t>
  </si>
  <si>
    <t>p</t>
  </si>
  <si>
    <t>q</t>
  </si>
  <si>
    <t>r</t>
  </si>
  <si>
    <t>s</t>
  </si>
  <si>
    <t>Modified Accrual Revenue Class</t>
  </si>
  <si>
    <t>Regular Instructional Programs (5100)</t>
  </si>
  <si>
    <t>Non-programmed charges (8000)</t>
  </si>
  <si>
    <t xml:space="preserve">Closes out inter-activity </t>
  </si>
  <si>
    <t>balance account</t>
  </si>
  <si>
    <t>accounts to internal</t>
  </si>
  <si>
    <t>The journal entry for the conversion worksheet, to reclassify these expenditures as capital assets, will be automatically created.</t>
  </si>
  <si>
    <t>a.</t>
  </si>
  <si>
    <t xml:space="preserve">What is the original cost at the beginning of the year for an asset sold during current year? </t>
  </si>
  <si>
    <t>b.</t>
  </si>
  <si>
    <t xml:space="preserve">What are net capital assets (capital assets less accumulated depreciation.) </t>
  </si>
  <si>
    <t>Sales that qualify as a "special item" for statement presentation:*</t>
  </si>
  <si>
    <t>Retiring, scrapping or donating Capital assets:</t>
  </si>
  <si>
    <r>
      <t xml:space="preserve">Retiring, scrapping and donating capital assets (with no proceeds): </t>
    </r>
    <r>
      <rPr>
        <b/>
        <sz val="12"/>
        <rFont val="Arial"/>
        <family val="2"/>
      </rPr>
      <t xml:space="preserve"> </t>
    </r>
    <r>
      <rPr>
        <b/>
        <sz val="12"/>
        <rFont val="Wingdings 2"/>
        <family val="1"/>
        <charset val="2"/>
      </rPr>
      <t>j</t>
    </r>
    <r>
      <rPr>
        <b/>
        <sz val="10"/>
        <rFont val="Arial"/>
        <family val="2"/>
      </rPr>
      <t xml:space="preserve">   </t>
    </r>
  </si>
  <si>
    <t xml:space="preserve">j  </t>
  </si>
  <si>
    <t>Manual Entries</t>
  </si>
  <si>
    <t>Claims and judgments - payable current</t>
  </si>
  <si>
    <t>What is the amount of claims payable that will be due and payable within one year?</t>
  </si>
  <si>
    <t xml:space="preserve">Regular instructional (5100) </t>
  </si>
  <si>
    <t>Capital grants and contributions</t>
  </si>
  <si>
    <t>The journal entry will reverse the original entry in the trial balance and credit an entry by function and revenue category. It is posted only to the conversion worksheet, not to the general ledger or accounting system.</t>
  </si>
  <si>
    <t>Category 2 projects (9200)</t>
  </si>
  <si>
    <t>Category 3 projects (9300)</t>
  </si>
  <si>
    <t>Category 1 projects (9100)</t>
  </si>
  <si>
    <t>Net change for the year</t>
  </si>
  <si>
    <t>Net Change amount</t>
  </si>
  <si>
    <t>Net Change Amount</t>
  </si>
  <si>
    <t>What was the amount of the Reserve for Prepaid Expenses at the end of the prior year?</t>
  </si>
  <si>
    <t>This amount will be classified as a "transfer in" for the governmental activities column. It will be a reconciling item on the fund statements.</t>
  </si>
  <si>
    <t>Retiring/scrapping or donating assets is a matter of removing those amounts from the capital asset accounts including removing the relative accumulated depreciation. Enter amounts by asset class in section C below.</t>
  </si>
  <si>
    <r>
      <t xml:space="preserve">Indicate amount of material loss calculated in Entry D, cell O120. </t>
    </r>
    <r>
      <rPr>
        <sz val="8"/>
        <color indexed="10"/>
        <rFont val="Arial"/>
        <family val="2"/>
      </rPr>
      <t>(Enter loss amount as a positive number.)</t>
    </r>
  </si>
  <si>
    <t>As a material loss, amount in cell O120 must be negative and must be a material amount.</t>
  </si>
  <si>
    <r>
      <t xml:space="preserve">Unrestricted:  </t>
    </r>
    <r>
      <rPr>
        <sz val="9"/>
        <color indexed="10"/>
        <rFont val="Arial"/>
        <family val="2"/>
      </rPr>
      <t>Computed based on the remaining figure after subtracting restricted assets and capital assets less related debt.</t>
    </r>
  </si>
  <si>
    <r>
      <t xml:space="preserve">From the financial records, indicate the appropriate program or general revenue classification to which the revenue should be reclassified.
</t>
    </r>
    <r>
      <rPr>
        <b/>
        <sz val="10"/>
        <color indexed="10"/>
        <rFont val="Arial"/>
        <family val="2"/>
      </rPr>
      <t>The total of Section B must agree to the total of Section A above.</t>
    </r>
  </si>
  <si>
    <t>See Memo # 973 for the proper classification of revenue sources to operating, capital, charges for service, or general revenue.</t>
  </si>
  <si>
    <t>Examine the trial balance and the LEA Revenue Allocation worksheet sorting revenues by function and by source code to determine which revenue items need to be reclassified.  The LEA Revenue Allocation worksheet to assist you with this entry is available at the Treasurer's website.</t>
  </si>
  <si>
    <t>Complete section A below indicating the amount of revenue in all governmental funds by the revenue category used in the fund statements. Note that items that are classified as special or extraordinary at the fund level may not always be classified as such when viewed at the government-wide level. Investment earnings at the fund level will not be reclassified. The amounts entered in Section A will be reversed in the entry created in Section C.</t>
  </si>
  <si>
    <t>Face</t>
  </si>
  <si>
    <r>
      <t xml:space="preserve">OFS - Sale of assets </t>
    </r>
    <r>
      <rPr>
        <sz val="8"/>
        <color indexed="10"/>
        <rFont val="Arial"/>
        <family val="2"/>
      </rPr>
      <t>- other financing source</t>
    </r>
  </si>
  <si>
    <t>Debt Issues and Other Debt Related Transactions</t>
  </si>
  <si>
    <r>
      <t xml:space="preserve">* Special item - Unusual in nature (possessing a high degree of abnormality and clearly unrelated to ordinary or typical activity) </t>
    </r>
    <r>
      <rPr>
        <i/>
        <u/>
        <sz val="10"/>
        <rFont val="Arial"/>
        <family val="2"/>
      </rPr>
      <t>and</t>
    </r>
    <r>
      <rPr>
        <i/>
        <sz val="10"/>
        <rFont val="Arial"/>
        <family val="2"/>
      </rPr>
      <t xml:space="preserve"> infrequent in occurrence </t>
    </r>
    <r>
      <rPr>
        <i/>
        <u/>
        <sz val="10"/>
        <rFont val="Arial"/>
        <family val="2"/>
      </rPr>
      <t>and</t>
    </r>
    <r>
      <rPr>
        <i/>
        <sz val="10"/>
        <rFont val="Arial"/>
        <family val="2"/>
      </rPr>
      <t xml:space="preserve"> subject to management control</t>
    </r>
  </si>
  <si>
    <t>Adjust Debt Service Expenditures Under Modified Accrual to Full Accrual</t>
  </si>
  <si>
    <t>Used*</t>
  </si>
  <si>
    <t>Earned*</t>
  </si>
  <si>
    <t>XXXXXXXXXX</t>
  </si>
  <si>
    <t>Guaranteed energy savings contracts</t>
  </si>
  <si>
    <r>
      <t xml:space="preserve">What is the net book value of any assets </t>
    </r>
    <r>
      <rPr>
        <b/>
        <sz val="10"/>
        <rFont val="Arial"/>
        <family val="2"/>
      </rPr>
      <t>donated from or transferred in</t>
    </r>
    <r>
      <rPr>
        <sz val="10"/>
        <rFont val="Arial"/>
        <family val="2"/>
      </rPr>
      <t xml:space="preserve"> from the Enterprise Funds that are included in the amounts in step a.</t>
    </r>
  </si>
  <si>
    <r>
      <t xml:space="preserve">Compensated absences earned during the current period must be reported as an expense under full accrual accounting. This may be a number that is not easily determined. Typically, you will know the beginning and ending balances and either the leave earned during the current year (Method 1) or the leave used during the current year (Method 2).  Choose </t>
    </r>
    <r>
      <rPr>
        <u/>
        <sz val="10"/>
        <rFont val="Arial"/>
        <family val="2"/>
      </rPr>
      <t>ONE</t>
    </r>
    <r>
      <rPr>
        <sz val="10"/>
        <rFont val="Arial"/>
        <family val="2"/>
      </rPr>
      <t xml:space="preserve"> of the tables below in Section A. Enter the data in the yellow fields. The cells in blue with the red caption will be calculated. The information must be entered by function in order to calculate functional expense for the current year and prior years. </t>
    </r>
    <r>
      <rPr>
        <sz val="10"/>
        <rFont val="Arial"/>
        <family val="2"/>
      </rPr>
      <t>This data will provide the information to create the entry to record current year expense and  the entry to eliminate expenditures related to prior years.</t>
    </r>
    <r>
      <rPr>
        <i/>
        <sz val="10"/>
        <rFont val="Arial"/>
        <family val="2"/>
      </rPr>
      <t xml:space="preserve"> </t>
    </r>
    <r>
      <rPr>
        <b/>
        <sz val="10"/>
        <color indexed="10"/>
        <rFont val="Arial"/>
        <family val="2"/>
      </rPr>
      <t>(Choose only one method; if data is entered into both tables the resulting entry will be overstated.)</t>
    </r>
    <r>
      <rPr>
        <i/>
        <sz val="10"/>
        <color indexed="10"/>
        <rFont val="Arial"/>
        <family val="2"/>
      </rPr>
      <t xml:space="preserve"> </t>
    </r>
  </si>
  <si>
    <t xml:space="preserve">What was the amount of new debt issued by category for all governmental funds?  </t>
  </si>
  <si>
    <t xml:space="preserve">OFS - </t>
  </si>
  <si>
    <t xml:space="preserve">2. </t>
  </si>
  <si>
    <t>Accrued interest receivable</t>
  </si>
  <si>
    <t>What are the adjustments to expenses and liabilities for claims and judgments(including workers compensation payments) ?</t>
  </si>
  <si>
    <r>
      <t xml:space="preserve">What was the balance at the end of the </t>
    </r>
    <r>
      <rPr>
        <u/>
        <sz val="10"/>
        <rFont val="Arial"/>
        <family val="2"/>
      </rPr>
      <t>prior year</t>
    </r>
    <r>
      <rPr>
        <sz val="10"/>
        <rFont val="Arial"/>
        <family val="2"/>
      </rPr>
      <t xml:space="preserve"> for other long-term liabilities?</t>
    </r>
  </si>
  <si>
    <r>
      <t xml:space="preserve">What was the amount of </t>
    </r>
    <r>
      <rPr>
        <u/>
        <sz val="10"/>
        <rFont val="Arial"/>
        <family val="2"/>
      </rPr>
      <t>new liabilities</t>
    </r>
    <r>
      <rPr>
        <sz val="10"/>
        <rFont val="Arial"/>
        <family val="2"/>
      </rPr>
      <t xml:space="preserve"> incurred during this current year?</t>
    </r>
  </si>
  <si>
    <t>What is the amount of indirect cost paid to the Local Current Expense Fund from the School Food Service and the Child Care Fund?</t>
  </si>
  <si>
    <t>I.</t>
  </si>
  <si>
    <t>Restricted for capital projects</t>
  </si>
  <si>
    <t xml:space="preserve">        Government-wide Statement</t>
  </si>
  <si>
    <t>Preliminary judgment made on which funds are major and which are non-major before conversion worksheet is done. Reconfirmed if any adjusting entries are made.</t>
  </si>
  <si>
    <t xml:space="preserve">State Public School </t>
  </si>
  <si>
    <t xml:space="preserve">Journal entry for conversion worksheet to reclassify revenue to functional categories: </t>
  </si>
  <si>
    <t>Lease purchase/Installment purchases</t>
  </si>
  <si>
    <t>Lease purchases/Installment purchases</t>
  </si>
  <si>
    <t xml:space="preserve">Lease purchases/Installment purchases </t>
  </si>
  <si>
    <t xml:space="preserve">What is the amount of lease purchases/installment purchases payable that will be due and payable within one year? </t>
  </si>
  <si>
    <t>Special pop. support &amp; develop services (6200)</t>
  </si>
  <si>
    <t>Operational support services(6500)</t>
  </si>
  <si>
    <t>charge for service</t>
  </si>
  <si>
    <t>(This loss will be netted against the program cost for Operational Support Services. ---  See Q.131 Implementation Guide 1.)</t>
  </si>
  <si>
    <t>Claims and judgments payable - current</t>
  </si>
  <si>
    <t>Lease purchases/Installment purchases - current</t>
  </si>
  <si>
    <t>Restricted for Technology support services (6400)</t>
  </si>
  <si>
    <t>OFS-  Insurance recovery</t>
  </si>
  <si>
    <t>What is (or was) the restoration cost ? (Amount would have been included in the capital outlay entry - Tab C - if spent in the same fiscal year.)</t>
  </si>
  <si>
    <r>
      <t xml:space="preserve">Sales of assets are assumed to generate gains which post to miscellaneous revenue. If losses result the number will be negative. Losses should be posted to the Operational Support Services function and will be reclassified </t>
    </r>
    <r>
      <rPr>
        <i/>
        <u/>
        <sz val="10"/>
        <rFont val="Arial"/>
        <family val="2"/>
      </rPr>
      <t>if material</t>
    </r>
    <r>
      <rPr>
        <i/>
        <sz val="10"/>
        <rFont val="Arial"/>
        <family val="2"/>
      </rPr>
      <t xml:space="preserve"> during the final stages in tab </t>
    </r>
    <r>
      <rPr>
        <i/>
        <sz val="11"/>
        <rFont val="Times New Roman"/>
        <family val="1"/>
      </rPr>
      <t>I</t>
    </r>
    <r>
      <rPr>
        <i/>
        <sz val="10"/>
        <rFont val="Arial"/>
        <family val="2"/>
      </rPr>
      <t>. Eliminations-Consolidations.</t>
    </r>
  </si>
  <si>
    <t>Claims &amp; Judgments</t>
  </si>
  <si>
    <t>A.1</t>
  </si>
  <si>
    <t>A.2</t>
  </si>
  <si>
    <t>D.1</t>
  </si>
  <si>
    <t>Special item - revenue</t>
  </si>
  <si>
    <r>
      <t xml:space="preserve">Inventory </t>
    </r>
    <r>
      <rPr>
        <sz val="10"/>
        <rFont val="Arial"/>
        <family val="2"/>
      </rPr>
      <t>- if recorded at the fund level using the purchases method</t>
    </r>
  </si>
  <si>
    <t>Compensated absences - current</t>
  </si>
  <si>
    <t>Capital related</t>
  </si>
  <si>
    <t>Operating</t>
  </si>
  <si>
    <t>Indicate the appropriate asset class for the depreciation amount computed in section A above.</t>
  </si>
  <si>
    <t xml:space="preserve">As previously stated, revenues that result in the ownership of a fixed asset are classified as capital. If no capital asset results, the revenue should be classified as operating. </t>
  </si>
  <si>
    <t>Investment earnings</t>
  </si>
  <si>
    <t>j</t>
  </si>
  <si>
    <t>k</t>
  </si>
  <si>
    <t>l</t>
  </si>
  <si>
    <t>H.1</t>
  </si>
  <si>
    <t>Accum. Depreciation - Vehicles &amp; Mot. Equipment</t>
  </si>
  <si>
    <t xml:space="preserve">Guaranteed energy savings contract </t>
  </si>
  <si>
    <t>Loans and notes payable</t>
  </si>
  <si>
    <r>
      <t xml:space="preserve">Reclassify inter-activity receivables and payables to internal balances.  </t>
    </r>
    <r>
      <rPr>
        <b/>
        <sz val="10"/>
        <color indexed="10"/>
        <rFont val="Arial"/>
        <family val="2"/>
      </rPr>
      <t>Note: Due to/from Fiduciary funds are not included here.  If they have not been separately classified at the fund level then complete Section D below.</t>
    </r>
  </si>
  <si>
    <t>Reclassify receivables and payables to the fiduciary funds.</t>
  </si>
  <si>
    <t>Leave this section blank if a separate account entitled Due to/from fiduciary funds has been used at the fund level.</t>
  </si>
  <si>
    <r>
      <t>State revenues…………………….……...</t>
    </r>
    <r>
      <rPr>
        <sz val="8"/>
        <color indexed="10"/>
        <rFont val="Arial"/>
        <family val="2"/>
      </rPr>
      <t>(General)</t>
    </r>
  </si>
  <si>
    <t>For other long term liabilities, the incremental changes will need to be recorded to charge the expense to the corresponding function.</t>
  </si>
  <si>
    <t>Entries must balance.</t>
  </si>
  <si>
    <r>
      <t>Reclassification, elimination and consolidation entries are in worksheet</t>
    </r>
    <r>
      <rPr>
        <sz val="11"/>
        <rFont val="Times New Roman"/>
        <family val="1"/>
      </rPr>
      <t xml:space="preserve"> I</t>
    </r>
    <r>
      <rPr>
        <sz val="10"/>
        <rFont val="Arial"/>
        <family val="2"/>
      </rPr>
      <t>.</t>
    </r>
  </si>
  <si>
    <t>Total revenues to be reclassified</t>
  </si>
  <si>
    <t>Not Capitalized</t>
  </si>
  <si>
    <t xml:space="preserve"> Capitalized</t>
  </si>
  <si>
    <t>Total Capital Outlay Fund Expenditures</t>
  </si>
  <si>
    <r>
      <t>Prepaid expenses  -</t>
    </r>
    <r>
      <rPr>
        <sz val="10"/>
        <rFont val="Arial"/>
        <family val="2"/>
      </rPr>
      <t xml:space="preserve"> if recorded at the fund level using the purchases method</t>
    </r>
  </si>
  <si>
    <t>Miscellaneous revenue</t>
  </si>
  <si>
    <t>F.1</t>
  </si>
  <si>
    <t>G.1</t>
  </si>
  <si>
    <t xml:space="preserve">Adjustments to Other Liability and Expense Accounts </t>
  </si>
  <si>
    <t xml:space="preserve">     Subtotal</t>
  </si>
  <si>
    <t>Reclassify any interest expense or investment income that should be related to a specific program.</t>
  </si>
  <si>
    <t>Based on the computation in 5.b above. Enter the gain or loss against the proper accounts below:</t>
  </si>
  <si>
    <r>
      <t xml:space="preserve">If there is a </t>
    </r>
    <r>
      <rPr>
        <b/>
        <sz val="10"/>
        <rFont val="Arial"/>
        <family val="2"/>
      </rPr>
      <t>net gain</t>
    </r>
    <r>
      <rPr>
        <sz val="10"/>
        <rFont val="Arial"/>
        <family val="2"/>
      </rPr>
      <t xml:space="preserve">, is it an extraordinary gain or miscellaneous revenue? </t>
    </r>
    <r>
      <rPr>
        <b/>
        <sz val="10"/>
        <color indexed="10"/>
        <rFont val="Arial"/>
        <family val="2"/>
      </rPr>
      <t>Can only be one, not both</t>
    </r>
    <r>
      <rPr>
        <sz val="10"/>
        <rFont val="Arial"/>
        <family val="2"/>
      </rPr>
      <t>.</t>
    </r>
  </si>
  <si>
    <t>Extraordinary gain</t>
  </si>
  <si>
    <r>
      <t xml:space="preserve">If there is a </t>
    </r>
    <r>
      <rPr>
        <b/>
        <sz val="10"/>
        <rFont val="Arial"/>
        <family val="2"/>
      </rPr>
      <t>net loss</t>
    </r>
    <r>
      <rPr>
        <sz val="10"/>
        <rFont val="Arial"/>
        <family val="2"/>
      </rPr>
      <t xml:space="preserve">, is it an extraordinary loss or a program expense? (GASB definition for extraordinary loss can be found in the authoritative literature.) </t>
    </r>
    <r>
      <rPr>
        <b/>
        <sz val="10"/>
        <color indexed="10"/>
        <rFont val="Arial"/>
        <family val="2"/>
      </rPr>
      <t>Enter amount as negative number.</t>
    </r>
  </si>
  <si>
    <t>Extraordinary loss</t>
  </si>
  <si>
    <t xml:space="preserve">Total for 6a and 6b above </t>
  </si>
  <si>
    <t>Entry D</t>
  </si>
  <si>
    <t>OFS - Insurance recovery</t>
  </si>
  <si>
    <t>Extraordinary gain/ioss</t>
  </si>
  <si>
    <r>
      <t xml:space="preserve">What is the amount of compensated balances payable that will be due and payable within one year?  </t>
    </r>
    <r>
      <rPr>
        <sz val="8"/>
        <color indexed="10"/>
        <rFont val="Arial"/>
        <family val="2"/>
      </rPr>
      <t>(Use of the FIFO assumption will be based on average leave taken over the years. Typically, use of the LIFO method will not have a current portion.)</t>
    </r>
  </si>
  <si>
    <r>
      <t xml:space="preserve">From the fixed asset system or other financial records, determine the amount of capital assets in the following categories that must be added to the government-wide statements: </t>
    </r>
    <r>
      <rPr>
        <b/>
        <sz val="10"/>
        <color indexed="10"/>
        <rFont val="Arial"/>
        <family val="2"/>
      </rPr>
      <t>(Beginning balance for the year)</t>
    </r>
  </si>
  <si>
    <r>
      <t xml:space="preserve">From the debt records or other financial records, determine the amount of long-term debt in the following categories that must be added to the government-wide statements:  </t>
    </r>
    <r>
      <rPr>
        <b/>
        <sz val="10"/>
        <color indexed="10"/>
        <rFont val="Arial"/>
        <family val="2"/>
      </rPr>
      <t>(Beginning balance for the year.)</t>
    </r>
  </si>
  <si>
    <t>Journal entry for conversion worksheet to capitalize capital outlay expenditures [Entry C.1], and to allocate non-capitalized items from the Capital Outlay Fund to other functions/programs [Entry C.2]</t>
  </si>
  <si>
    <t>Entry B</t>
  </si>
  <si>
    <t>Entry C</t>
  </si>
  <si>
    <t>Totals</t>
  </si>
  <si>
    <t>6.</t>
  </si>
  <si>
    <t>Entry A.1</t>
  </si>
  <si>
    <t>Entry A.2</t>
  </si>
  <si>
    <t>Loss on disposal of assets</t>
  </si>
  <si>
    <t xml:space="preserve">Debit </t>
  </si>
  <si>
    <t xml:space="preserve">Miscellaneous general revenue </t>
  </si>
  <si>
    <t>Assets</t>
  </si>
  <si>
    <t>Liabilities</t>
  </si>
  <si>
    <t xml:space="preserve">Conversion entries to convert from modified accrual to full accrual are generated from the worksheets B through J. </t>
  </si>
  <si>
    <t>Consolidation, Elimination and Reclassification Entries</t>
  </si>
  <si>
    <t>OFS - Transfers in</t>
  </si>
  <si>
    <t>OFU - Transfers out</t>
  </si>
  <si>
    <t>What is the amount of "Advances to other funds" due to the governmental funds from the enterprise funds (receivable)?</t>
  </si>
  <si>
    <t>What is the amount of "Advances from other funds" due to the enterprise funds from the governmental funds (payable) ?</t>
  </si>
  <si>
    <t>Expenditures from Other Funds to be capitalized:</t>
  </si>
  <si>
    <t>Category 1</t>
  </si>
  <si>
    <t>Category 2</t>
  </si>
  <si>
    <t>Category 3</t>
  </si>
  <si>
    <t>Unrestricted State grants - capital</t>
  </si>
  <si>
    <t>Miscellaneous - interest earnings</t>
  </si>
  <si>
    <t>Miscellaneous  - other</t>
  </si>
  <si>
    <t>Unrestricted County appropriations - operating</t>
  </si>
  <si>
    <t>Unrestricted State grants - operating</t>
  </si>
  <si>
    <t>Miscellaneous - other</t>
  </si>
  <si>
    <t>Operating grants &amp; contributions</t>
  </si>
  <si>
    <t>Capital grants &amp; contributions</t>
  </si>
  <si>
    <t>Notes:</t>
  </si>
  <si>
    <t>Sample workbooks are available for Carolina County, City of Dogwood, and Carolina Board of Education. Refer to the proper workbook for your particular unit type. Please note that in some cases immaterial amounts have been used to demonstrate a transaction in the three examples above.  For your statements, determine materiality by the proper criteria and please do not be mislead by the small amounts in our examples.</t>
  </si>
  <si>
    <t>Specific Instructions:</t>
  </si>
  <si>
    <t>Beginning Capital Assets and Long-Term Debt</t>
  </si>
  <si>
    <t>Capital Assets &amp; Long-term Debt accounts are those previously carried in the General Fixed Asset Account Group (GFAAG) and the General Long Term Debt Account Group (GLTDAG) plus the respective accumulated depreciation</t>
  </si>
  <si>
    <t>Other long-term debt liabilities - What are adjustments to expenses and liabilities?</t>
  </si>
  <si>
    <r>
      <t xml:space="preserve">What was the amount of </t>
    </r>
    <r>
      <rPr>
        <u/>
        <sz val="10"/>
        <rFont val="Arial"/>
        <family val="2"/>
      </rPr>
      <t>new claims</t>
    </r>
    <r>
      <rPr>
        <sz val="10"/>
        <rFont val="Arial"/>
        <family val="2"/>
      </rPr>
      <t xml:space="preserve"> incurred during this current year?</t>
    </r>
  </si>
  <si>
    <t>Adjustments</t>
  </si>
  <si>
    <t>General revenues</t>
  </si>
  <si>
    <t>Unrestricted Federal grants</t>
  </si>
  <si>
    <t>Note 5: Conversion and annual accruals</t>
  </si>
  <si>
    <t>Other sales of assets that do not qualify as special items:</t>
  </si>
  <si>
    <r>
      <t xml:space="preserve">Depreciation: </t>
    </r>
    <r>
      <rPr>
        <sz val="10"/>
        <rFont val="Arial"/>
        <family val="2"/>
      </rPr>
      <t>records depreciation expense for all asset classes by program/function and records unallocated amounts.</t>
    </r>
  </si>
  <si>
    <t>Reclassify any material losses on the disposal of assets.</t>
  </si>
  <si>
    <t>Complete explanations and instructions are presented on each of the worksheets following the 'Conversion Worksheet.' A brief synopsis is presented below.</t>
  </si>
  <si>
    <r>
      <t>Instructions:</t>
    </r>
    <r>
      <rPr>
        <sz val="10"/>
        <rFont val="Arial"/>
        <family val="2"/>
      </rPr>
      <t xml:space="preserve"> synopsis and general guidelines for use of the workbook. </t>
    </r>
  </si>
  <si>
    <r>
      <t xml:space="preserve">Beginning Capital Assets &amp; LTD: </t>
    </r>
    <r>
      <rPr>
        <sz val="10"/>
        <rFont val="Arial"/>
        <family val="2"/>
      </rPr>
      <t>records the beginning balances for capital assets, their corresponding accumulated depreciation accounts and long-term liabilities. These accounts would have been recorded in the General Fixed Asset Account Group and the General Long-term Debt Account Group under the old model of reporting. The offset to the entry is to fund balance.</t>
    </r>
  </si>
  <si>
    <r>
      <t xml:space="preserve">Conversion Worksheet: </t>
    </r>
    <r>
      <rPr>
        <sz val="10"/>
        <rFont val="Arial"/>
        <family val="2"/>
      </rPr>
      <t xml:space="preserve">includes trial balances for all governmental funds, columns for prior year capital assets and long-term debt balances, and columns for posting the various reclassification, conversion, elimination and consolidation entries resulting in the final numbers for governmental-type activities for the statements. </t>
    </r>
  </si>
  <si>
    <r>
      <t xml:space="preserve">Revenue by Function : </t>
    </r>
    <r>
      <rPr>
        <sz val="10"/>
        <rFont val="Arial"/>
        <family val="2"/>
      </rPr>
      <t>allocates revenue to the proper government-wide financial statement categories (Charges for Services, Operating Grants and contributions, and Capital grants and contributions) and their respective programs/functions for presentation on the Statement of Activities.</t>
    </r>
  </si>
  <si>
    <r>
      <t xml:space="preserve">Capital Asset Disposal: </t>
    </r>
    <r>
      <rPr>
        <sz val="10"/>
        <rFont val="Arial"/>
        <family val="2"/>
      </rPr>
      <t>addresses disposals of capital asset entries - sales, trades, retirements, impairments, etc. and generates the correct entry to asset classes, programs/functions, and revenue or expenditure accounts.</t>
    </r>
  </si>
  <si>
    <t>Lease Purchase/Installment purchases</t>
  </si>
  <si>
    <t>Special Populations Programs (5200)</t>
  </si>
  <si>
    <t>Alternative Programs and Services (5300)</t>
  </si>
  <si>
    <t>School Leadership Services (5400)</t>
  </si>
  <si>
    <t>Co-Curricular Services (5500)</t>
  </si>
  <si>
    <t>School Based Support Services (5800)</t>
  </si>
  <si>
    <t>Support and Redevelopment Services (6100)</t>
  </si>
  <si>
    <t>Special Population Support &amp; Development Services (6200)</t>
  </si>
  <si>
    <t>Alternative Programs &amp; Services Support &amp; Develop. Services (6300)</t>
  </si>
  <si>
    <t>Technology support services (6400)</t>
  </si>
  <si>
    <t>Operational support services (6500)</t>
  </si>
  <si>
    <t>Financial &amp; HR Services (6600)</t>
  </si>
  <si>
    <t>Policy, Leadership &amp; Public Relations Services (6900)</t>
  </si>
  <si>
    <t>Ancillary Services (7000)</t>
  </si>
  <si>
    <t>Non-programmed Charges (8000)</t>
  </si>
  <si>
    <t>Accountablity Services (6700)</t>
  </si>
  <si>
    <t>System-wide Pupil Support Services (6800)</t>
  </si>
  <si>
    <t xml:space="preserve">Special populations (5200) </t>
  </si>
  <si>
    <t>Alternative Programs (5300)</t>
  </si>
  <si>
    <t xml:space="preserve">School Leadership (5400) </t>
  </si>
  <si>
    <t>Co-Curricular (5500)</t>
  </si>
  <si>
    <t>School-Based support (5800)</t>
  </si>
  <si>
    <t>Support &amp; development (6100)</t>
  </si>
  <si>
    <t>Special Pop. Sup. &amp; Dev. (6200)</t>
  </si>
  <si>
    <t xml:space="preserve">Alternative prog. &amp; services (6300) </t>
  </si>
  <si>
    <t>Technology support (6400)</t>
  </si>
  <si>
    <t>Operational support (6500)</t>
  </si>
  <si>
    <t>Financial &amp; HR (6600)</t>
  </si>
  <si>
    <t>Policy, Leadership &amp; PR (6900)</t>
  </si>
  <si>
    <t>Ancillary services (7000)</t>
  </si>
  <si>
    <t>Accountablity (6700)</t>
  </si>
  <si>
    <t>System-wide pupil support (6800)</t>
  </si>
  <si>
    <t>The data provided in sections A and B will provide the information to create the proper entry for the conversion worksheet.</t>
  </si>
  <si>
    <t>Identify the proper asset class to which the depreciation should be recorded in section B below. The total amount must equal the total expense in Section A.</t>
  </si>
  <si>
    <t>Indicate the annual depreciation expense by program/function:</t>
  </si>
  <si>
    <t>Regular instructional services (5100)</t>
  </si>
  <si>
    <t>Special populations services (5200)</t>
  </si>
  <si>
    <t>Alternative programs and services (5300)</t>
  </si>
  <si>
    <t>School leadership services (5400)</t>
  </si>
  <si>
    <t>Co-curricular services (5500)</t>
  </si>
  <si>
    <t>School-based support services (5800)</t>
  </si>
  <si>
    <t>Support and development services (6100)</t>
  </si>
  <si>
    <t>Alternative programs &amp; services support &amp; develop. ser. (6300)</t>
  </si>
  <si>
    <t>Financial &amp; HR services (6600)</t>
  </si>
  <si>
    <t>Policy, leadership and public relations services (6900)</t>
  </si>
  <si>
    <t>Accountablilty services (6700)</t>
  </si>
  <si>
    <t>System-wide pupil support services (6800)</t>
  </si>
  <si>
    <r>
      <t xml:space="preserve">Were there any </t>
    </r>
    <r>
      <rPr>
        <u/>
        <sz val="10"/>
        <rFont val="Arial"/>
        <family val="2"/>
      </rPr>
      <t>adjustments</t>
    </r>
    <r>
      <rPr>
        <sz val="10"/>
        <rFont val="Arial"/>
        <family val="2"/>
      </rPr>
      <t xml:space="preserve"> in the current year for prior year claims?  
</t>
    </r>
    <r>
      <rPr>
        <sz val="8"/>
        <color indexed="10"/>
        <rFont val="Arial"/>
        <family val="2"/>
      </rPr>
      <t>Please enter reductions as negative amounts and increases as positive amounts.</t>
    </r>
  </si>
  <si>
    <r>
      <t xml:space="preserve">Were there any </t>
    </r>
    <r>
      <rPr>
        <u/>
        <sz val="10"/>
        <rFont val="Arial"/>
        <family val="2"/>
      </rPr>
      <t>adjustments</t>
    </r>
    <r>
      <rPr>
        <sz val="10"/>
        <rFont val="Arial"/>
        <family val="2"/>
      </rPr>
      <t xml:space="preserve"> to these account balances during the year? </t>
    </r>
    <r>
      <rPr>
        <sz val="8"/>
        <color indexed="10"/>
        <rFont val="Arial"/>
        <family val="2"/>
      </rPr>
      <t xml:space="preserve"> Please enter reductions as negative amounts and increases as positive amounts.</t>
    </r>
  </si>
  <si>
    <r>
      <t xml:space="preserve">Indicate the amount of </t>
    </r>
    <r>
      <rPr>
        <u/>
        <sz val="10"/>
        <rFont val="Arial"/>
        <family val="2"/>
      </rPr>
      <t>payments</t>
    </r>
    <r>
      <rPr>
        <sz val="10"/>
        <rFont val="Arial"/>
        <family val="2"/>
      </rPr>
      <t xml:space="preserve"> made on claims &amp; judgments during current year.</t>
    </r>
  </si>
  <si>
    <r>
      <t xml:space="preserve">Ending balance for claims &amp; judgments for the current year. </t>
    </r>
    <r>
      <rPr>
        <sz val="8"/>
        <color indexed="10"/>
        <rFont val="Arial"/>
        <family val="2"/>
      </rPr>
      <t>- calculated</t>
    </r>
  </si>
  <si>
    <t>B.1</t>
  </si>
  <si>
    <t>I.2</t>
  </si>
  <si>
    <t>I.3</t>
  </si>
  <si>
    <t>I.4</t>
  </si>
  <si>
    <t>I.5</t>
  </si>
  <si>
    <t>I.6</t>
  </si>
  <si>
    <t>I.7</t>
  </si>
  <si>
    <t>I.8</t>
  </si>
  <si>
    <t>I.9</t>
  </si>
  <si>
    <t>C.1</t>
  </si>
  <si>
    <t>C.2</t>
  </si>
  <si>
    <r>
      <t>Note</t>
    </r>
    <r>
      <rPr>
        <sz val="10"/>
        <rFont val="Arial"/>
        <family val="2"/>
      </rPr>
      <t xml:space="preserve">: </t>
    </r>
    <r>
      <rPr>
        <i/>
        <sz val="10"/>
        <rFont val="Arial"/>
        <family val="2"/>
      </rPr>
      <t>If the composite method is used for computing depreciation and useful life, no gain or loss should be recognized. The proceeds received upon the asset's removal reduces the amount that would have been charged to accumulated depreciation. For the case where the composite method is used, adjust accumulated depreciation such that gain/loss computes as zero ($0).</t>
    </r>
  </si>
  <si>
    <t>Total of principal payments</t>
  </si>
  <si>
    <t xml:space="preserve">Review all governmental funds for sales of assets. For those items that meet the definition of a special item* enter the amounts by asset class for each question in section A.1. Typically there would not be more than one sale that qualified under the definition of special item. Enter the amounts under the proper asset class.  Two "Other Asset" categories have been added for units that may maintain assets in different categories.  If used, column labels should be consistent between worksheets and the trial balance.   </t>
  </si>
  <si>
    <t xml:space="preserve">Trade-ins of equipment or vehicles should also be recorded and treated similarly to sales of assets. Any expenditure made as part of the trade-in transaction was recorded with the capital outlay entry. Now we must remove the old asset from the capital asset accounts and adjust the true cost of the newly acquired asset.  Enter the amounts by asset class in section B of the worksheet below.  For question d, please enter the net book value of the old asset in the cell for the asset class of the new asset, e.g. if a vehicle is traded for another vehicle then the amount would be placed in the field for the same asset class "vehicles"; however, if a vehicle is traded for equipment, place the amount in the asset class of the new asset "equipment". Trading across asset classes will be rare but the worksheet should accommodate the entry. </t>
  </si>
  <si>
    <t>Category 1 projects (old 9100)</t>
  </si>
  <si>
    <t>Category 2 projects (old 9200)</t>
  </si>
  <si>
    <t>Category 3 projects (old 9300)</t>
  </si>
  <si>
    <t>Real property and buildings (Category 1), (old 9100)</t>
  </si>
  <si>
    <t>Furniture and equipment (Category 2), (old 9200)</t>
  </si>
  <si>
    <t>Buses and motor vehicles (Category 3), (old 9300)</t>
  </si>
  <si>
    <t>Restoration expenditures or insurance recovery may occur in another fiscal year. In that case, the impairment loss is recorded in the year of the loss and the recovery would be recorded as as a gain (miscellaneous revenue or extrarodinary gain) depending on the magnitude of the amount.</t>
  </si>
  <si>
    <t>Assets physically damaged during the year from accidents or natural causes which have been or are planned to be restored:</t>
  </si>
  <si>
    <t xml:space="preserve">What is the original cost at the beginning of the year for assets physically damaged during current year? </t>
  </si>
  <si>
    <t>What is the accumulated depreciation at the beginning of the year for the assets damaged in a. above?</t>
  </si>
  <si>
    <t>What is the depreciation expense for the current year up to the
 date of the damage for the assets above?</t>
  </si>
  <si>
    <t>Net book value of capital assets damaged</t>
  </si>
  <si>
    <r>
      <t>Revenues must be reclassified for presentation on the Statement of Activities to report</t>
    </r>
    <r>
      <rPr>
        <sz val="10"/>
        <rFont val="Arial"/>
        <family val="2"/>
      </rPr>
      <t xml:space="preserve"> revenues either by function (program) or as general revenue</t>
    </r>
    <r>
      <rPr>
        <sz val="10"/>
        <rFont val="Arial"/>
        <family val="2"/>
      </rPr>
      <t xml:space="preserve">. Most of the appropriations from the county will be classified as general revenue. Most of the revenues in the State Public School Fund and Federal Grants Fund will be classified as program specific revenues. The program revenues will be grouped into three categories; charges for services, operating grants and contributions, and capital grants and contributions. In order for grants or contributions to be classified as capital in nature, the </t>
    </r>
    <r>
      <rPr>
        <u/>
        <sz val="10"/>
        <rFont val="Arial"/>
        <family val="2"/>
      </rPr>
      <t>unit must own the asset</t>
    </r>
    <r>
      <rPr>
        <sz val="10"/>
        <rFont val="Arial"/>
        <family val="2"/>
      </rPr>
      <t xml:space="preserve">. Grants that can be considered </t>
    </r>
    <r>
      <rPr>
        <b/>
        <sz val="10"/>
        <rFont val="Arial"/>
        <family val="2"/>
      </rPr>
      <t>either</t>
    </r>
    <r>
      <rPr>
        <sz val="10"/>
        <rFont val="Arial"/>
        <family val="2"/>
      </rPr>
      <t xml:space="preserve"> operating or capital are classified as operating grants. </t>
    </r>
  </si>
  <si>
    <t xml:space="preserve">Identify assets by function and calculate the annual depreciation in section A below. For those items that are shared and no clear allocation method is available, place those figures into the unallocated depreciation line. </t>
  </si>
  <si>
    <t>What is the depreciation expense for the current year up to the date of trade-in for the asset above?</t>
  </si>
  <si>
    <t>Vehicles and Mot. Equip</t>
  </si>
  <si>
    <t>Entry for conversion worksheet to record additions to outstanding debt and all refunding activity.   [Entry F.1]</t>
  </si>
  <si>
    <t>Debt service - interest expense</t>
  </si>
  <si>
    <r>
      <t xml:space="preserve">What is the amount of "Due from other funds" due to the governmental funds from the enterprise funds </t>
    </r>
    <r>
      <rPr>
        <sz val="9"/>
        <rFont val="Arial"/>
        <family val="2"/>
      </rPr>
      <t>(receivable)</t>
    </r>
    <r>
      <rPr>
        <sz val="10"/>
        <rFont val="Arial"/>
        <family val="2"/>
      </rPr>
      <t>?</t>
    </r>
  </si>
  <si>
    <t>Asset classes and accumulated depreciation:</t>
  </si>
  <si>
    <t>Total capital assets to be reclassified</t>
  </si>
  <si>
    <t>Journal entry for conversion worksheet to add capital assets and long-term debt to government-wide statements:</t>
  </si>
  <si>
    <r>
      <t xml:space="preserve">Fund Equity - </t>
    </r>
    <r>
      <rPr>
        <b/>
        <sz val="10"/>
        <rFont val="Arial"/>
        <family val="2"/>
      </rPr>
      <t>Beginning</t>
    </r>
  </si>
  <si>
    <t>Note 4: Entry from</t>
  </si>
  <si>
    <t>Indicate proceeds of sales as reported in fund financial statements</t>
  </si>
  <si>
    <t>What is the depreciation expense for the current year up to the date of sale for the assets above?</t>
  </si>
  <si>
    <t>C.3</t>
  </si>
  <si>
    <t>- current</t>
  </si>
  <si>
    <t>Final Entry to Conversion Worksheet for sales, disposals and donations to the unit of capital assets:   [Entry D.1 ]</t>
  </si>
  <si>
    <t>Adjust Capital Asset Disposal Entries to Full Accrual</t>
  </si>
  <si>
    <t>Debt service - interest</t>
  </si>
  <si>
    <t>Interest</t>
  </si>
  <si>
    <t>E.3</t>
  </si>
  <si>
    <t>Change in accrued interest under full accrual</t>
  </si>
  <si>
    <t>Review the various governmental funds and identify debt service expenditures that should be recorded as a reduction to a liability as principal is paid down. Enter information in Section B below.</t>
  </si>
  <si>
    <t xml:space="preserve">Determine the amount of accrued interest at the beginning of the fiscal year and as of the end of the year.  </t>
  </si>
  <si>
    <t xml:space="preserve">4. </t>
  </si>
  <si>
    <t>E.4</t>
  </si>
  <si>
    <r>
      <t xml:space="preserve">Compensated Absences - What are current and prior year expenses under full accrual? </t>
    </r>
    <r>
      <rPr>
        <b/>
        <sz val="10"/>
        <color indexed="10"/>
        <rFont val="Arial"/>
        <family val="2"/>
      </rPr>
      <t xml:space="preserve">(Choose Method 1 </t>
    </r>
    <r>
      <rPr>
        <b/>
        <u/>
        <sz val="10"/>
        <color indexed="10"/>
        <rFont val="Arial"/>
        <family val="2"/>
      </rPr>
      <t>or</t>
    </r>
    <r>
      <rPr>
        <b/>
        <sz val="10"/>
        <color indexed="10"/>
        <rFont val="Arial"/>
        <family val="2"/>
      </rPr>
      <t xml:space="preserve">  2)</t>
    </r>
  </si>
  <si>
    <t>A.</t>
  </si>
  <si>
    <t>B.</t>
  </si>
  <si>
    <t>4.</t>
  </si>
  <si>
    <t>5.</t>
  </si>
  <si>
    <t xml:space="preserve">Unearned revenue  </t>
  </si>
  <si>
    <t>Accum. Depreciation - Buildings</t>
  </si>
  <si>
    <t>Recording Depreciation Expense</t>
  </si>
  <si>
    <r>
      <t xml:space="preserve">Special item  </t>
    </r>
    <r>
      <rPr>
        <i/>
        <sz val="10"/>
        <rFont val="Arial"/>
        <family val="2"/>
      </rPr>
      <t>(revenue)</t>
    </r>
  </si>
  <si>
    <t>Accrued interest payable</t>
  </si>
  <si>
    <t>Beginning fund balance</t>
  </si>
  <si>
    <t>Interest expense</t>
  </si>
  <si>
    <t>operating grants &amp; contributions</t>
  </si>
  <si>
    <t>capital grants &amp; contributions</t>
  </si>
  <si>
    <t xml:space="preserve">Restricted for </t>
  </si>
  <si>
    <t>Vehicles &amp; Motorized Equipment</t>
  </si>
  <si>
    <t>Special Item</t>
  </si>
  <si>
    <t>Description</t>
  </si>
  <si>
    <t>Balance Sheet Accounts</t>
  </si>
  <si>
    <t xml:space="preserve"> </t>
  </si>
  <si>
    <t>Cash</t>
  </si>
  <si>
    <t>Restricted cash</t>
  </si>
  <si>
    <t>Due from other funds</t>
  </si>
  <si>
    <t>Due from other governments</t>
  </si>
  <si>
    <t>Inventories</t>
  </si>
  <si>
    <t>Prepaid items</t>
  </si>
  <si>
    <t>Due to other funds</t>
  </si>
  <si>
    <t>Liabilities payable from restricted assets</t>
  </si>
  <si>
    <t>Compensated absences payable</t>
  </si>
  <si>
    <t>Operating Accounts - Revenues</t>
  </si>
  <si>
    <t>Charges for Services</t>
  </si>
  <si>
    <t>Operating Grants &amp; Contributions</t>
  </si>
  <si>
    <t>Capital Grants &amp; Contributions</t>
  </si>
  <si>
    <t>Debt Service</t>
  </si>
  <si>
    <t>Principal retirement</t>
  </si>
  <si>
    <t>Interest and fees</t>
  </si>
  <si>
    <t>Major Funds</t>
  </si>
  <si>
    <r>
      <t xml:space="preserve">For those items sold that qualify as a regular sale of assets, enter the amounts by asset class for each question in section A.2. Under modified accrual the receipts from the sale would be classified as other financing sources - proceeds from sale of assets. Under full accrual, however we must calculate the gain or loss on the sale. The entry created adjusts the capital asset accounts, reverses the other financing source entry and records the resulting gain (or loss.) This entry assumes a gain; if a loss is material, it must be reclassified in Worksheet </t>
    </r>
    <r>
      <rPr>
        <sz val="10"/>
        <rFont val="Times New Roman"/>
        <family val="1"/>
      </rPr>
      <t>I</t>
    </r>
    <r>
      <rPr>
        <sz val="10"/>
        <rFont val="Arial"/>
        <family val="2"/>
      </rPr>
      <t>.</t>
    </r>
  </si>
  <si>
    <t>Debt service - principal as reported in the fund statements - all governmental funds:</t>
  </si>
  <si>
    <r>
      <t xml:space="preserve">Enter the amount of principal paid as debt service in </t>
    </r>
    <r>
      <rPr>
        <u/>
        <sz val="10"/>
        <rFont val="Arial"/>
        <family val="2"/>
      </rPr>
      <t>all governmental funds</t>
    </r>
    <r>
      <rPr>
        <sz val="10"/>
        <rFont val="Arial"/>
        <family val="2"/>
      </rPr>
      <t xml:space="preserve"> for the debt categories below?</t>
    </r>
  </si>
  <si>
    <t>Principal</t>
  </si>
  <si>
    <t>What was the amount of Reserve for inventory at the end of the prior year?</t>
  </si>
  <si>
    <t>Change in Reserve for inventory</t>
  </si>
  <si>
    <t>Final Entry for Conversion Worksheet   [Entry I.1 through I.9]</t>
  </si>
  <si>
    <t>Entry for Conversion worksheet to record depreciation expense.       [Entry B.1]</t>
  </si>
  <si>
    <t>Special population support &amp; develop. services (6200)</t>
  </si>
  <si>
    <t>Special population support and development services (6200)</t>
  </si>
  <si>
    <t>Special pop. support &amp; develop. ser. (6200)</t>
  </si>
  <si>
    <t>Alternative prog. &amp; ser. sup &amp; dev. ser. (6300)</t>
  </si>
  <si>
    <t>Policy, leadership &amp; PR services (6900)</t>
  </si>
  <si>
    <t>What is the amount of interfund receivables and payables between governmental funds in the "advances to/from" account?  This is the amount only between governmental funds. Do not include any advances between governmental and enterprise funds.</t>
  </si>
  <si>
    <t>What is the amount of indirect cost paid to the Local Current Expense Fund from the Federal Grants Fund?</t>
  </si>
  <si>
    <t xml:space="preserve">What is the amount of guaranteed energy savings contracts payable that will be due and payable within one year? </t>
  </si>
  <si>
    <t>Deferred</t>
  </si>
  <si>
    <t>Fund balance in the Individual Schools Fund, after any adjustments to full accrual (accrued interest, etc.)</t>
  </si>
  <si>
    <t>Review the governmental funds for expenditures made during the year for claims &amp; judgments (including workers' compensation claims). Enter the payment amounts in section B.1 below. Also, determine additions to claims &amp; judgments (including workers' compensation claims) from management. Enter the amounts of the new liability by function in section B.2.</t>
  </si>
  <si>
    <t>Other financing sources (uses)</t>
  </si>
  <si>
    <t>Special item</t>
  </si>
  <si>
    <t>Extraordinary item</t>
  </si>
  <si>
    <t>I.1</t>
  </si>
  <si>
    <t>Fund balance</t>
  </si>
  <si>
    <t>State revenues</t>
  </si>
  <si>
    <t>County revenues</t>
  </si>
  <si>
    <t>U.S. Government</t>
  </si>
  <si>
    <t>Annual depreciation expense by program/function:</t>
  </si>
  <si>
    <t>Annual depreciation expense by asset class:</t>
  </si>
  <si>
    <t>Please note that depreciation must be posted to the unit's permanent accounts in order to correctly reflect next year's beginning balances.  Depreciation expense will not affect the governmental fund statements but the annual amount will increment the accumulated depreciation figure for each asset class and should be recorded in the fixed asset system or the records where the capital assets are posted.</t>
  </si>
  <si>
    <t>What is the amount of interfund receivables and payables between governmental funds in the "due to/from account"?  This is the amount only between governmental funds. Do not include any due to/due froms between governmental and enterprise funds.</t>
  </si>
  <si>
    <r>
      <t xml:space="preserve">Cash </t>
    </r>
    <r>
      <rPr>
        <sz val="10"/>
        <rFont val="Arial"/>
        <family val="2"/>
      </rPr>
      <t>and Investments</t>
    </r>
  </si>
  <si>
    <t>This workbook is set up in a series of worksheets that address the various entries required to convert from modified to full accrual. Some entries must be initially recorded, some are simple reclassifications, and others are allocations to programs or functions. The workbook is based on the premise of answering a series of questions for those areas where modified and full accrual differ in their treatment of a transaction. The answers to these questions will generate accounting entries which are automatically mapped or linked to the conversion worksheet. Many entries are recorded only in this conversion worksheet and are not to be recorded in the general ledger but some effect permanent accounts like capital assets, depreciation, and liabilities. These entries must be posted to the unit's ledger accounts in order to properly reflect the beginning balances for the next year. In each case, the specific instructions to the individual worksheets indicate whether an entry to the permanent accounts is required.</t>
  </si>
  <si>
    <t>Other Fund #1</t>
  </si>
  <si>
    <r>
      <t>Specific Instructions</t>
    </r>
    <r>
      <rPr>
        <sz val="10"/>
        <rFont val="Arial"/>
        <family val="2"/>
      </rPr>
      <t xml:space="preserve"> - </t>
    </r>
    <r>
      <rPr>
        <sz val="9"/>
        <rFont val="Arial"/>
        <family val="2"/>
      </rPr>
      <t>continued</t>
    </r>
  </si>
  <si>
    <t>Workbook Contents:</t>
  </si>
  <si>
    <t>Individual Schools</t>
  </si>
  <si>
    <t>Federal Grants Fund</t>
  </si>
  <si>
    <t>Accounts payable and accrued liabilities</t>
  </si>
  <si>
    <t>Accrued salaries and wages payable</t>
  </si>
  <si>
    <r>
      <t>U.S. Government………………...</t>
    </r>
    <r>
      <rPr>
        <sz val="10"/>
        <color indexed="10"/>
        <rFont val="Arial"/>
        <family val="2"/>
      </rPr>
      <t>(</t>
    </r>
    <r>
      <rPr>
        <sz val="8"/>
        <color indexed="10"/>
        <rFont val="Arial"/>
        <family val="2"/>
      </rPr>
      <t>Typically general)</t>
    </r>
  </si>
  <si>
    <r>
      <t>County revenues………………………….</t>
    </r>
    <r>
      <rPr>
        <sz val="8"/>
        <color indexed="10"/>
        <rFont val="Arial"/>
        <family val="2"/>
      </rPr>
      <t>(General)</t>
    </r>
  </si>
  <si>
    <t>Assets held for resale</t>
  </si>
  <si>
    <t xml:space="preserve">Review the governmental funds for additions to the various debt categories which would have been recorded as an other financing source - debt proceeds. Enter information in Section A below. </t>
  </si>
  <si>
    <t>Any debt service payments, guaranteed energy savings contracts, or capital leases that have been reported in other purpose codes on the fund statements should be reclassified to debt service for the government-wide statements.  Any amounts reported in 9000 series purpose codes in the fund statements should have been reclassified to debt service by Worksheet C, Entry 2.</t>
  </si>
  <si>
    <t>Review the various governmental funds and identify capital outlay expense that should be capitalized and recorded as capital assets. For expenditures from the Capital Outlay Fund it will be necessary to also indicate the expenditures that are not being capitalized.  These expenditures must be allocated to other program/functions or to debt service because capital outlay functions are not programs.  Accumulate these expenditures by program/function for entry to Section A.1 and A.2 below.  Capitalized expenditures from Section A must equal capitalized assets by type in Section B.  Uncapitalized expenditures from the capital outlay fund in Section A.1 must equal the allocation to functions/programs in Section C. Debt service expenditures will be reclassified in Worksheet E. They are included here to create totals that tie to your fund statements.</t>
  </si>
  <si>
    <t>Donations of assets and transfers in from an Enterprise fund are typically not recorded in the fund statements; however, this data would have been picked up previously in the capital asset note under additions. For reporting on the government-wide statements, the donations must be reported as revenue and as an increase to the specific asset account. The revenue amount will be reflected in "miscellaneous general revenues" for assets other than school buses. The revenue from the donation of school buses will be reflected as capital grant revenue for purpose code 6500 (Operational Support Services)  The transfer in of capital assets from an Enterprise Fund must be reported as transfers. Enter these amounts in section D.</t>
  </si>
  <si>
    <t>Other transactions affecting capital assets must also be adjusted from their treatment under modified accrual to full accrual for the government-wide financial statements. This covers the  disposal of assets such as the sales and trade-ins or the scrapping of fully depreciated assets.  Please be aware that in addition to posting to the conversion worksheets, capital assets activity eventually must be added to the unit's permanent accounts for recording capital assets in order to have proper beginning balances for next year's statements.  (Capital assets acquired through leases should have been recorded in the capital outlay worksheet; the debt side of the entry will be made later.)</t>
  </si>
  <si>
    <r>
      <t>Operational support services (6500)…….</t>
    </r>
    <r>
      <rPr>
        <sz val="8"/>
        <color indexed="10"/>
        <rFont val="Arial"/>
        <family val="2"/>
      </rPr>
      <t>loss on disposal</t>
    </r>
  </si>
  <si>
    <r>
      <t>Operational Support Services (6500) [</t>
    </r>
    <r>
      <rPr>
        <i/>
        <sz val="8"/>
        <rFont val="Arial"/>
        <family val="2"/>
      </rPr>
      <t>Loss on disposal</t>
    </r>
    <r>
      <rPr>
        <sz val="10"/>
        <rFont val="Arial"/>
        <family val="2"/>
      </rPr>
      <t>]</t>
    </r>
  </si>
  <si>
    <t>Extraordinary gain/loss</t>
  </si>
  <si>
    <t>Computer equipment</t>
  </si>
  <si>
    <t>This amount is the sum of all capital asset accounts less the sum of all the related accumulated depreciation accounts. Use the account balances in Columns AR and AS from the Conversion worksheet.</t>
  </si>
  <si>
    <t>In most cases, this will be the sum of the capital leases, installment purchase and guaranteed energy contracts for the schools. Pull the total of these debt accounts from the sum of the liability accounts in column AS. (Only include the school's debt, of which the School holds title.)</t>
  </si>
  <si>
    <t>Other postemployment benefits</t>
  </si>
  <si>
    <t>Q</t>
  </si>
  <si>
    <r>
      <t xml:space="preserve">How should the 'Not Capitlized' expenditures from Section A.1  be categorized?  Expenditures from Category 1 projects and Category 3 projects that are </t>
    </r>
    <r>
      <rPr>
        <b/>
        <u/>
        <sz val="10"/>
        <rFont val="Arial"/>
        <family val="2"/>
      </rPr>
      <t>not capitalized</t>
    </r>
    <r>
      <rPr>
        <b/>
        <sz val="10"/>
        <rFont val="Arial"/>
        <family val="2"/>
      </rPr>
      <t xml:space="preserve"> will be charged to Operational Support Services (6500) or debt service.  Category 2 project expenditures that can be identified with a specific functional program will be charged to that function/program or to debt service.  Any expenditures for debt service, including guaranteed savings contracts or capital leases payable, should be reclassified to either debt service - principle or debt service - interest,</t>
    </r>
    <r>
      <rPr>
        <b/>
        <sz val="10"/>
        <color indexed="10"/>
        <rFont val="Arial"/>
        <family val="2"/>
      </rPr>
      <t xml:space="preserve"> </t>
    </r>
    <r>
      <rPr>
        <b/>
        <u/>
        <sz val="10"/>
        <color indexed="10"/>
        <rFont val="Arial"/>
        <family val="2"/>
      </rPr>
      <t>if not already reported as debt service in Section A.1 above</t>
    </r>
    <r>
      <rPr>
        <b/>
        <sz val="10"/>
        <color indexed="10"/>
        <rFont val="Arial"/>
        <family val="2"/>
      </rPr>
      <t>.</t>
    </r>
    <r>
      <rPr>
        <b/>
        <sz val="10"/>
        <rFont val="Arial"/>
        <family val="2"/>
      </rPr>
      <t xml:space="preserve">  Those that cannot be identified with a specific functional program are considered replacement or maintenance of assets and should be charged to Operational Support Services (6500).    </t>
    </r>
  </si>
  <si>
    <t>Category 1 projects (old 9100, real property)</t>
  </si>
  <si>
    <t>Category 2 projects (old 9200, furnishings and equipment)</t>
  </si>
  <si>
    <t>Category 3 projects (old 9300, vehicles)</t>
  </si>
  <si>
    <t>Eliminate the "doubling up effect" that may occur with inter-function activities when expenditures have been recorded twice.</t>
  </si>
  <si>
    <t>Due from fiduciary funds</t>
  </si>
  <si>
    <t>Due to fiduciary funds</t>
  </si>
  <si>
    <r>
      <t xml:space="preserve">Compute and record asset impairment loss or gain per GASB Statement 42 for physical damage:   </t>
    </r>
    <r>
      <rPr>
        <b/>
        <sz val="10"/>
        <color indexed="10"/>
        <rFont val="Arial"/>
        <family val="2"/>
      </rPr>
      <t>(Asset must have been restored or be planned for restoration otherwise asset is written off.)</t>
    </r>
  </si>
  <si>
    <t>Debt service under the modified accrual basis of accounting is treated as an expenditure. For the full accrual basis of accounting used on the government-wide statements, these debt service expenditures must be adjusted to report the reduction in the principal balance for the permanent liability accounts. Debt service that was not considered material in the fund statements and recorded in programs/functions rather than as debt service is assumed to be immaterial for the government-wide statements and may be reported in those programs/functions.  However, the principal portion of the payment must be reclassified as a reduction in debt outstanding and the expenditures from the program/function or debt service reduced. Also, the accrued interest outstanding at the end of the year must be recorded.  Adjustments to record accrued interest will adjust interest expense from the modified to full accrual basis.  The accrued interest for each debt issue must be broken down by the program/function or debt service expense against which the interest expense is recorded so the appropriate expense is adjusted.</t>
  </si>
  <si>
    <t xml:space="preserve">What was the principal - interest activity for debt over the year? (Not necessary for debt paid on a monthly basis) </t>
  </si>
  <si>
    <t>Debt service - principal reclassified from Entry C.2</t>
  </si>
  <si>
    <r>
      <t xml:space="preserve">Debt service - principal reclassified from Entry E.1 </t>
    </r>
    <r>
      <rPr>
        <sz val="8"/>
        <color indexed="10"/>
        <rFont val="Arial"/>
        <family val="2"/>
      </rPr>
      <t>(Section A above)</t>
    </r>
  </si>
  <si>
    <t>This amount should agree to debt service - principal payments on the fund statements, plus any amounts, reclassified by entries C.2 and E.1.  After posting this entry, the balance of the debt service - principal line should be zero.</t>
  </si>
  <si>
    <r>
      <t xml:space="preserve">Please note that the full amount of the installment purchase proceeds for replacement buses under the new SunTrust Equipment Finance and Leasing Corporation agreement should be recorded in the year of issuance since the debt is in the name of the LEA. The worksheet has been designed assuming that the full amount of the debt proceeds has been recorded as an other financing source. </t>
    </r>
    <r>
      <rPr>
        <b/>
        <sz val="10"/>
        <rFont val="Arial"/>
        <family val="2"/>
      </rPr>
      <t>If this has not been done, please adjust the capital outlay fund to show an expenditure for the bus and other financing source for the full amount of the debt.</t>
    </r>
    <r>
      <rPr>
        <sz val="10"/>
        <rFont val="Arial"/>
        <family val="2"/>
      </rPr>
      <t xml:space="preserve"> </t>
    </r>
    <r>
      <rPr>
        <i/>
        <sz val="10"/>
        <rFont val="Arial"/>
        <family val="2"/>
      </rPr>
      <t>Carolina County BOE illustrated financial statements demonstrate this transaction.</t>
    </r>
  </si>
  <si>
    <t>Alternative programs &amp; services sup &amp; dev. ser. (6300)</t>
  </si>
  <si>
    <t>What is the accumulated depreciation at the beginning of the year for the asset sold in a. above?</t>
  </si>
  <si>
    <t>c.</t>
  </si>
  <si>
    <r>
      <t xml:space="preserve">What was the balance at the end of the </t>
    </r>
    <r>
      <rPr>
        <u/>
        <sz val="10"/>
        <rFont val="Arial"/>
        <family val="2"/>
      </rPr>
      <t>prior year</t>
    </r>
    <r>
      <rPr>
        <sz val="10"/>
        <rFont val="Arial"/>
        <family val="2"/>
      </rPr>
      <t xml:space="preserve"> for claims and judgments?</t>
    </r>
  </si>
  <si>
    <r>
      <t>Of any assets donated in step a. above, what is the net book value (</t>
    </r>
    <r>
      <rPr>
        <i/>
        <sz val="10"/>
        <rFont val="Arial"/>
        <family val="2"/>
      </rPr>
      <t>cost less total accum. deprec. for all asset classes</t>
    </r>
    <r>
      <rPr>
        <sz val="10"/>
        <rFont val="Arial"/>
        <family val="2"/>
      </rPr>
      <t xml:space="preserve">) of any assets </t>
    </r>
    <r>
      <rPr>
        <b/>
        <sz val="10"/>
        <rFont val="Arial"/>
        <family val="2"/>
      </rPr>
      <t>donated to</t>
    </r>
    <r>
      <rPr>
        <sz val="10"/>
        <rFont val="Arial"/>
        <family val="2"/>
      </rPr>
      <t xml:space="preserve"> the Enterprise Funds.</t>
    </r>
  </si>
  <si>
    <t>What is the depreciation expense for the current year up to the
 date of disposal for the assets in step a. above?</t>
  </si>
  <si>
    <t>This amount will be classified as a "transfer out" for the governmental activities column. It should also be included as a reconciling item to the fund statements.</t>
  </si>
  <si>
    <t>OFU - Transfer Out</t>
  </si>
  <si>
    <r>
      <t xml:space="preserve">Miscellaneous general revenue </t>
    </r>
    <r>
      <rPr>
        <i/>
        <sz val="10"/>
        <color indexed="10"/>
        <rFont val="Arial"/>
        <family val="2"/>
      </rPr>
      <t>[gain (loss) on sale]</t>
    </r>
    <r>
      <rPr>
        <sz val="12"/>
        <rFont val="Wingdings 2"/>
        <family val="1"/>
        <charset val="2"/>
      </rPr>
      <t xml:space="preserve"> k</t>
    </r>
  </si>
  <si>
    <t xml:space="preserve">Miscellaneous revenue  </t>
  </si>
  <si>
    <r>
      <t xml:space="preserve">Special Item - gain (loss) on sale of asset </t>
    </r>
    <r>
      <rPr>
        <sz val="12"/>
        <rFont val="Wingdings 2"/>
        <family val="1"/>
        <charset val="2"/>
      </rPr>
      <t>l</t>
    </r>
  </si>
  <si>
    <t>Adjustments for Capital Outlay Expenditures and Donation of Capital Assets</t>
  </si>
  <si>
    <t>Non-major Governmental Funds</t>
  </si>
  <si>
    <t xml:space="preserve">Total </t>
  </si>
  <si>
    <t>Dr</t>
  </si>
  <si>
    <t>Cr</t>
  </si>
  <si>
    <t>Ref</t>
  </si>
  <si>
    <t>Conversion Entries</t>
  </si>
  <si>
    <t>Total</t>
  </si>
  <si>
    <t>Statement of</t>
  </si>
  <si>
    <t>Activities</t>
  </si>
  <si>
    <t>Investment Earnings</t>
  </si>
  <si>
    <t xml:space="preserve">What is the original cost at the beginning of the year for assets traded, retired, scrapped or donated during current year? </t>
  </si>
  <si>
    <t>What is the accumulated depreciation at the beginning of the year for the assets disposed of in a. above?</t>
  </si>
  <si>
    <t xml:space="preserve">Special item </t>
  </si>
  <si>
    <r>
      <t xml:space="preserve">Extraordinary item </t>
    </r>
    <r>
      <rPr>
        <sz val="8"/>
        <color indexed="10"/>
        <rFont val="Arial"/>
        <family val="2"/>
      </rPr>
      <t xml:space="preserve"> </t>
    </r>
  </si>
  <si>
    <t xml:space="preserve"> Payments</t>
  </si>
  <si>
    <t>New claims</t>
  </si>
  <si>
    <t>The work section of this worksheet following section D compiles the data for the final entries in section D. The work section is not defined in the initial print range but provides the components of the final entry. Print ranges can be modified if necessary.</t>
  </si>
  <si>
    <t>This will come from your internal records. (Only include unexpended proceeds reported in the financial statements of the school.)</t>
  </si>
  <si>
    <r>
      <t xml:space="preserve">From the Capital Outlay Fund, identify the following amounts for </t>
    </r>
    <r>
      <rPr>
        <u/>
        <sz val="10"/>
        <rFont val="Arial"/>
        <family val="2"/>
      </rPr>
      <t>grants or county funds</t>
    </r>
    <r>
      <rPr>
        <sz val="10"/>
        <rFont val="Arial"/>
        <family val="2"/>
      </rPr>
      <t xml:space="preserve"> that are </t>
    </r>
  </si>
  <si>
    <r>
      <t xml:space="preserve">  restricted to capital projects. </t>
    </r>
    <r>
      <rPr>
        <sz val="9"/>
        <color indexed="10"/>
        <rFont val="Arial"/>
        <family val="2"/>
      </rPr>
      <t>This data should be available on the fund balance sheet.</t>
    </r>
  </si>
  <si>
    <r>
      <t xml:space="preserve">The first worksheet is the "summary" sheet titled </t>
    </r>
    <r>
      <rPr>
        <b/>
        <sz val="10"/>
        <rFont val="Arial"/>
        <family val="2"/>
      </rPr>
      <t>"Conversion Worksheet."</t>
    </r>
    <r>
      <rPr>
        <sz val="10"/>
        <rFont val="Arial"/>
        <family val="2"/>
      </rPr>
      <t xml:space="preserve"> This is a trial balance to which all the other sheets will post. It is also the sheet where you will begin your data entry. The far most left columns are the trial balance columns. Please enter your adjusted pre-closing trial balance numbers here. We have assumed that you have prepared your fund statements at this point and that the trial balance is adjusted to reflect any changes that are needed to be made at the fund level. </t>
    </r>
  </si>
  <si>
    <r>
      <t xml:space="preserve">Capital Outlay &amp; Donations: </t>
    </r>
    <r>
      <rPr>
        <sz val="10"/>
        <rFont val="Arial"/>
        <family val="2"/>
      </rPr>
      <t>converts capital outlay expenditures for items above the capitalization threshold to the proper asset class and reduces respective program/function expenditures. Records donations of capital assets and recognizes revenue.</t>
    </r>
  </si>
  <si>
    <r>
      <t xml:space="preserve">What is the fair value of the </t>
    </r>
    <r>
      <rPr>
        <u/>
        <sz val="10"/>
        <rFont val="Arial"/>
        <family val="2"/>
      </rPr>
      <t>assets</t>
    </r>
    <r>
      <rPr>
        <sz val="10"/>
        <rFont val="Arial"/>
        <family val="2"/>
      </rPr>
      <t xml:space="preserve"> donated to the LEA?  Enter the amounts in the appropriate asset class excluding replacement school buses financed via state appropriations. </t>
    </r>
  </si>
  <si>
    <r>
      <t xml:space="preserve">Entry for conversion worksheet to record reductions in outstanding debt and interest expense and liability. </t>
    </r>
    <r>
      <rPr>
        <b/>
        <sz val="8"/>
        <rFont val="Arial"/>
        <family val="2"/>
      </rPr>
      <t>[Entry E.1, E.2, E.3 &amp; E.4]</t>
    </r>
  </si>
  <si>
    <t>What was the amount of debt service paid by each function/program?</t>
  </si>
  <si>
    <t>Long-term debt accounts:</t>
  </si>
  <si>
    <t>Transfers that occur during the year between governmental funds and between governmental and enterprise funds must be eliminated or reclassified. Those transfers from and to governmental funds must be eliminated so that only those transfers to/from enterprise funds remain. Transfers to/from discretely presented component units should now be reported as revenue and expenditures in the appropriate governmental fund and will not need reclassification (this would be unusual for  boards of education). After these adjustments, the remaining transfers should be those to business-type activities or fiduciary funds.</t>
  </si>
  <si>
    <t>The balances remaining after eliminating the activity between governmental funds should be the activity between governmental and business-type activities. These amounts will now be reclassified as "internal balances."</t>
  </si>
  <si>
    <t>Special pop. support &amp; develop. services (6200)</t>
  </si>
  <si>
    <t>Alternative prog. &amp; services sup &amp; dev. ser. (6300)</t>
  </si>
  <si>
    <t>Policy, leadership and PR services (6900)</t>
  </si>
  <si>
    <t>Restricted for Regular instructional services (5100)</t>
  </si>
  <si>
    <t>Restricted for Special populations services (5200)</t>
  </si>
  <si>
    <t>Restricted for Alternative programs and services (5300)</t>
  </si>
  <si>
    <t>Restricted for School leadership services (5400)</t>
  </si>
  <si>
    <t>Restricted for Co-curricular services (5500)</t>
  </si>
  <si>
    <t>Restricted for School-based support services (5800)</t>
  </si>
  <si>
    <t>Restricted for Support and development services (6100)</t>
  </si>
  <si>
    <t>Restricted for Alternative programs &amp; services support &amp; develop. ser. (6300)</t>
  </si>
  <si>
    <t>Restricted for Operational support services (6500)</t>
  </si>
  <si>
    <t>Restricted for Financial &amp; HR services (6600)</t>
  </si>
  <si>
    <t>Restricted for Accountablilty services (6700)</t>
  </si>
  <si>
    <t>Restricted for System-wide pupil support services (6800)</t>
  </si>
  <si>
    <t>Restricted for Ancillary services (7000)</t>
  </si>
  <si>
    <t>Other revenue source #1</t>
  </si>
  <si>
    <t>Other revenue source #2</t>
  </si>
  <si>
    <t>Regular Instructional Services (5100)</t>
  </si>
  <si>
    <t>Special Populations Services (5200)</t>
  </si>
  <si>
    <t>School-Based Support Services (5800)</t>
  </si>
  <si>
    <t>Support and Development Services (6100)</t>
  </si>
  <si>
    <t>Special Population Support and Development Services (6200)</t>
  </si>
  <si>
    <t>Technology Support Services (6400)</t>
  </si>
  <si>
    <t>Operational Support Services (6500)</t>
  </si>
  <si>
    <t>Financial and Human Resource Services (6600)</t>
  </si>
  <si>
    <t>Policy, Leadership and Public Relations Services (6900)</t>
  </si>
  <si>
    <t>Accountability Services (6700)</t>
  </si>
  <si>
    <t>System-Wide Pupil Relations Services (6800)</t>
  </si>
  <si>
    <t>Special Population Support and Development Services  (6200)</t>
  </si>
  <si>
    <t>Alternative Programs and Services Support and Development Services (6300)</t>
  </si>
  <si>
    <t>System-Wide Pupil Support Services (6800)</t>
  </si>
  <si>
    <t>Worksheet A</t>
  </si>
  <si>
    <t xml:space="preserve">Eliminate interfund balances for receivables and payables between governmental funds. </t>
  </si>
  <si>
    <t>Please be aware that in addition to posting to the conversion worksheets, capital assets and depreciation must be added to the unit's permanent accounts for recording capital assets in order to have proper beginning balances for next year's statements.</t>
  </si>
  <si>
    <t>Revenue Reclassification by Function</t>
  </si>
  <si>
    <t>C.</t>
  </si>
  <si>
    <t xml:space="preserve">3. </t>
  </si>
  <si>
    <t>D.</t>
  </si>
  <si>
    <t>Land</t>
  </si>
  <si>
    <t>Buildings</t>
  </si>
  <si>
    <t>Trade-in of capital assets.</t>
  </si>
  <si>
    <t>N/A</t>
  </si>
  <si>
    <t>E.</t>
  </si>
  <si>
    <t>Construction in progress</t>
  </si>
  <si>
    <t>The journal entry for the conversion worksheet to reverse these expenditures and reduce the appropriate liability accounts will be automatically created.</t>
  </si>
  <si>
    <r>
      <t xml:space="preserve">What was accrued interest at the </t>
    </r>
    <r>
      <rPr>
        <u/>
        <sz val="10"/>
        <rFont val="Arial"/>
        <family val="2"/>
      </rPr>
      <t>beginning of the year</t>
    </r>
    <r>
      <rPr>
        <sz val="10"/>
        <rFont val="Arial"/>
        <family val="2"/>
      </rPr>
      <t xml:space="preserve"> under full accrual?</t>
    </r>
  </si>
  <si>
    <r>
      <t xml:space="preserve">What was the accrued interest at the </t>
    </r>
    <r>
      <rPr>
        <u/>
        <sz val="10"/>
        <rFont val="Arial"/>
        <family val="2"/>
      </rPr>
      <t>end of the year</t>
    </r>
    <r>
      <rPr>
        <sz val="10"/>
        <rFont val="Arial"/>
        <family val="2"/>
      </rPr>
      <t xml:space="preserve"> under full accrual?</t>
    </r>
  </si>
  <si>
    <t>XXXXXXXXX</t>
  </si>
  <si>
    <t>Fund Total</t>
  </si>
  <si>
    <r>
      <t xml:space="preserve">   Total expenditures to be capitalized - </t>
    </r>
    <r>
      <rPr>
        <sz val="8"/>
        <color indexed="10"/>
        <rFont val="Arial"/>
        <family val="2"/>
      </rPr>
      <t>All Govt Funds</t>
    </r>
  </si>
  <si>
    <t xml:space="preserve">Treatment of certain asset accounts between the modified and full accrual basis will be different.  Prepaid expenses and inventory may be accounted for under either the consumption or the purchases method under the modified accrual basis of accounting, but only the consumption method is allowed under full accrual. If the consumption method was used in the fund statements, no entry is required, but if the purchases method was used an adjustment must be made. If inventories or prepaid expenses are not recorded at the fund level because they are not material, they are assumed not to be material to the government-wide statements and no further actions are required.  Also, accrued investment earnings is not recorded under the modified accrual basis of accounting but will be under the full accrual basis.  </t>
  </si>
  <si>
    <t>The user should download a blank workbook appropriate for his/her unit of government and save it permanently on a local computer. It would be best to then make another copy for the current year's data. If for whatever reason the current file becomes corrupted, the user should reload the blank copy from their local computer (or download another from the web) and begin again. For maximum protection, users should save their work frequently as they enter data.</t>
  </si>
  <si>
    <r>
      <t xml:space="preserve">Most of the workbook is protected to prevent accidental changes in formulas and the mapping of cells.  The </t>
    </r>
    <r>
      <rPr>
        <b/>
        <sz val="10"/>
        <rFont val="Arial"/>
        <family val="2"/>
      </rPr>
      <t xml:space="preserve">password </t>
    </r>
    <r>
      <rPr>
        <sz val="10"/>
        <rFont val="Arial"/>
        <family val="2"/>
      </rPr>
      <t>to unlock the workbook is</t>
    </r>
    <r>
      <rPr>
        <b/>
        <sz val="10"/>
        <rFont val="Arial"/>
        <family val="2"/>
      </rPr>
      <t xml:space="preserve"> gasb34</t>
    </r>
    <r>
      <rPr>
        <sz val="10"/>
        <rFont val="Arial"/>
        <family val="2"/>
      </rPr>
      <t xml:space="preserve"> (must be entered in lower case, no spaces).  Only users with advanced Excel skills should attempt to change the workbook by releasing the protection.</t>
    </r>
  </si>
  <si>
    <t>If proceeds received then treat transaction as a sale and enter in section A. above</t>
  </si>
  <si>
    <t>Donations of capital assets received by the unit:</t>
  </si>
  <si>
    <t>Capital assets received by the unit as donations:</t>
  </si>
  <si>
    <t>d.</t>
  </si>
  <si>
    <t>Building</t>
  </si>
  <si>
    <t>Miscellaneous Revenue</t>
  </si>
  <si>
    <t>Other financing source - sale of assets</t>
  </si>
  <si>
    <t>Net book value of capital assets sold</t>
  </si>
  <si>
    <t>Gain / loss qualifying as special item</t>
  </si>
  <si>
    <t>Gain / loss on sale of assets</t>
  </si>
  <si>
    <t>Other</t>
  </si>
  <si>
    <t>Trade-in of Capital assets:</t>
  </si>
  <si>
    <t xml:space="preserve">What is the original cost at the beginning of the year for assets sold during current year? </t>
  </si>
  <si>
    <t>Any debt service payments, guaranteed energy savings contract, or capital leases that have been reported in other purpose codes on the governmental fund statements, including the Local Current Expense Fund,  should be reclassified to debt service for the government-wide statements.  Any amounts reported in 9000 series purpose codes in the fund statements should have been reclassified to debt service by Worksheet C, Entry 2.</t>
  </si>
  <si>
    <t>What was the amount of debt service - principal paid by category of debt for all governmental funds?</t>
  </si>
  <si>
    <t>Debt service - principal</t>
  </si>
  <si>
    <r>
      <t xml:space="preserve">Answer either a. or b. </t>
    </r>
    <r>
      <rPr>
        <sz val="10"/>
        <rFont val="Arial"/>
        <family val="2"/>
      </rPr>
      <t>below,</t>
    </r>
    <r>
      <rPr>
        <sz val="10"/>
        <color indexed="10"/>
        <rFont val="Arial"/>
        <family val="2"/>
      </rPr>
      <t xml:space="preserve"> </t>
    </r>
    <r>
      <rPr>
        <b/>
        <sz val="10"/>
        <color indexed="10"/>
        <rFont val="Arial"/>
        <family val="2"/>
      </rPr>
      <t>but not both</t>
    </r>
    <r>
      <rPr>
        <sz val="10"/>
        <rFont val="Arial"/>
        <family val="2"/>
      </rPr>
      <t xml:space="preserve"> - (either the replacement cost method or the deflation factor method is used to calculate loss.)</t>
    </r>
  </si>
  <si>
    <t>What is the replacement cost for a new asset of the type damaged in 1a. Above?</t>
  </si>
  <si>
    <t>Restoration cost ratio</t>
  </si>
  <si>
    <t>based on replacement cost</t>
  </si>
  <si>
    <t xml:space="preserve">either or </t>
  </si>
  <si>
    <t>What is the appropriate deflation factor to use if replacement cost is not known?</t>
  </si>
  <si>
    <t>Deflated restoration cost</t>
  </si>
  <si>
    <t>based on deflation factor</t>
  </si>
  <si>
    <t>Impairment Loss Calculation</t>
  </si>
  <si>
    <t>3a. Replacement cost method</t>
  </si>
  <si>
    <t xml:space="preserve"> 3.b  Deflator method</t>
  </si>
  <si>
    <t>Indicate to which asset class the loss in 3a or 3b should be credited. Should be same class as that indicated in 1 above.</t>
  </si>
  <si>
    <t>Indicate insurance recovery amount if received in this fiscal year?</t>
  </si>
  <si>
    <t>Other financing source - insurance recovery</t>
  </si>
  <si>
    <t>Net Gain / loss on insurance recovery</t>
  </si>
  <si>
    <t>Restricted for Individual Schools</t>
  </si>
  <si>
    <t>Restricted for Non-programmed charges (8000)</t>
  </si>
  <si>
    <t>Total restricted assets for grants</t>
  </si>
  <si>
    <t>Contributions and donations</t>
  </si>
  <si>
    <r>
      <t xml:space="preserve">Special item </t>
    </r>
    <r>
      <rPr>
        <sz val="8"/>
        <color indexed="10"/>
        <rFont val="Arial"/>
        <family val="2"/>
      </rPr>
      <t>- government-wide statements</t>
    </r>
  </si>
  <si>
    <r>
      <t xml:space="preserve">Extraordinary item </t>
    </r>
    <r>
      <rPr>
        <sz val="8"/>
        <color indexed="10"/>
        <rFont val="Arial"/>
        <family val="2"/>
      </rPr>
      <t xml:space="preserve"> - government-wide statements</t>
    </r>
  </si>
  <si>
    <t>Charges for services</t>
  </si>
  <si>
    <t>Operating grants and contributions</t>
  </si>
  <si>
    <t>E.2</t>
  </si>
  <si>
    <r>
      <t xml:space="preserve">Miscellaneous revenue  </t>
    </r>
    <r>
      <rPr>
        <i/>
        <sz val="10"/>
        <rFont val="Arial"/>
        <family val="2"/>
      </rPr>
      <t>(fund statements)</t>
    </r>
  </si>
  <si>
    <t>n</t>
  </si>
  <si>
    <t>o</t>
  </si>
  <si>
    <t>* Interest is typically a general revenue but if earned on investments legally restricted for a specific program it will follow the initial revenue source as in this capital grant.</t>
  </si>
  <si>
    <t xml:space="preserve">Work Section to compile numbers for entry in Section E - </t>
  </si>
  <si>
    <r>
      <t xml:space="preserve">Sale of assets:          </t>
    </r>
    <r>
      <rPr>
        <b/>
        <sz val="10"/>
        <color indexed="17"/>
        <rFont val="Arial"/>
        <family val="2"/>
      </rPr>
      <t/>
    </r>
  </si>
  <si>
    <t>F.</t>
  </si>
  <si>
    <t>G.</t>
  </si>
  <si>
    <t>Operating Accounts - Expenditures</t>
  </si>
  <si>
    <t>What are the accrued investment earnings at the beginning of the year?</t>
  </si>
  <si>
    <t>What are the accrued investment earnings at the end of the year?</t>
  </si>
  <si>
    <t>I</t>
  </si>
  <si>
    <t>V</t>
  </si>
  <si>
    <t>General</t>
  </si>
  <si>
    <t>Other Fund #2</t>
  </si>
  <si>
    <r>
      <t xml:space="preserve">What is the amount of "Due to other funds" due to the enterprise funds from the governmental funds </t>
    </r>
    <r>
      <rPr>
        <sz val="9"/>
        <rFont val="Arial"/>
        <family val="2"/>
      </rPr>
      <t>(payable)</t>
    </r>
    <r>
      <rPr>
        <sz val="10"/>
        <rFont val="Arial"/>
        <family val="2"/>
      </rPr>
      <t xml:space="preserve"> ?</t>
    </r>
  </si>
  <si>
    <t>Fund balance- beginning</t>
  </si>
  <si>
    <t>Guaranteed energy savings contract - current</t>
  </si>
  <si>
    <t>Indicate to which function(s) the net change in prepaid expenses applies. The sum of the amounts below must equal the amount in the net change field above .</t>
  </si>
  <si>
    <t>Indicate to which function(s) the net change in inventory reserve applies. The sum of the amounts below must equal the amount in the net change field above.</t>
  </si>
  <si>
    <r>
      <t>What is debt related to capital assets</t>
    </r>
    <r>
      <rPr>
        <sz val="10"/>
        <rFont val="Arial"/>
        <family val="2"/>
      </rPr>
      <t>?</t>
    </r>
  </si>
  <si>
    <t>What is the amount of unexpended debt proceeds on hand?</t>
  </si>
  <si>
    <t>Accounts</t>
  </si>
  <si>
    <t>Restricted for</t>
  </si>
  <si>
    <t>Receivable</t>
  </si>
  <si>
    <t>Payable</t>
  </si>
  <si>
    <t>Capital Projects</t>
  </si>
  <si>
    <t xml:space="preserve">Restricted </t>
  </si>
  <si>
    <t xml:space="preserve">Depreciation expense must be calculated and reported in relation to all of the unit's depreciable capital assets. For schools, many capital assets can not be specifically identified with a function or program. Depreciation of these assets will be charged to a single line that indicates it is unallocated. See Memos #973 and #934 for a discussion of depreciation. For those capital assets that can be specifically identified with a program, such as school buses, depreciation would be charged to that by function/program on the Statement of Activities. Units may have a fixed asset software system that can easily calculate annual depreciation expense. If not, units will need to calculate the expense manually. This function has previously been done for all the enterprise funds. It will now be expanded to governmental funds.  </t>
  </si>
  <si>
    <t>As a verification of the number above, the following amounts are pulled from the total governmental funds column and previous entries.</t>
  </si>
  <si>
    <t>Total entries to debt service - principal</t>
  </si>
  <si>
    <t>The workbook is color-coded.  Blue cells are calculated numbers and are protected and locked.  Yellow cells are those that need data entered by the user.  However, some yellow cells may not be applicable to your unit and can be left blank. The tan sections on the summary worksheet are those accounts that have multiple rows included for one account to be summed at the end of the conversion process. The purple rows are proof totals.</t>
  </si>
  <si>
    <t>This workbook is mapped using cell references.  Any addition of columns and/or rows could alter the formulas and corrupt the data.  There are columns and rows placed in the program in areas where we felt that you may need to add additional text and data. Using these columns and rows will help prevent the altering of formulas and cell references. In most cases they are yellow and named "other" funds or "other" accounts, etc. They should be obvious. For accounts, if you type the name of your unique account in the trial balance, it will be used consistently throughout the various worksheets.</t>
  </si>
  <si>
    <t>If unit has combined figures for land and building cost that can not be separated, use the combined amount under the Building column.</t>
  </si>
  <si>
    <t>Notes 1 &amp; 2  ---  Data is entered</t>
  </si>
  <si>
    <t>Special item - expenditure</t>
  </si>
  <si>
    <t>Total of new debt</t>
  </si>
  <si>
    <t>Claims and judgments</t>
  </si>
  <si>
    <t>Debt Service -principal retirement</t>
  </si>
  <si>
    <t>Adjustments to Other Asset Accounts</t>
  </si>
  <si>
    <t xml:space="preserve">Beginning </t>
  </si>
  <si>
    <t>Balance</t>
  </si>
  <si>
    <t>Current year</t>
  </si>
  <si>
    <t>Earned</t>
  </si>
  <si>
    <t>Used</t>
  </si>
  <si>
    <t xml:space="preserve">Ending </t>
  </si>
  <si>
    <t>Reclasses external</t>
  </si>
  <si>
    <t>receivables &amp; payables</t>
  </si>
  <si>
    <t>of interfunction activity</t>
  </si>
  <si>
    <t>Eliminates doubling up effect</t>
  </si>
  <si>
    <t>Reclass program revenue</t>
  </si>
  <si>
    <t>not adjusted previously</t>
  </si>
  <si>
    <t>Classify for liquidity</t>
  </si>
  <si>
    <t>Pre-closing trial balance entered at the function level for each governmental fund (for the fund balance number - use ending fund balance from prior year).</t>
  </si>
  <si>
    <r>
      <t xml:space="preserve">Other Liabilities &amp; Expenses: </t>
    </r>
    <r>
      <rPr>
        <sz val="10"/>
        <rFont val="Arial"/>
        <family val="2"/>
      </rPr>
      <t>addresses compensated absences, claims &amp; judgments, net pension obligation, and other long-term liabilities.</t>
    </r>
  </si>
  <si>
    <t>Equipment and Furniture</t>
  </si>
  <si>
    <t>Library Books</t>
  </si>
  <si>
    <r>
      <t xml:space="preserve">Identify the </t>
    </r>
    <r>
      <rPr>
        <u/>
        <sz val="10"/>
        <rFont val="Arial"/>
        <family val="2"/>
      </rPr>
      <t>beginning</t>
    </r>
    <r>
      <rPr>
        <sz val="10"/>
        <rFont val="Arial"/>
        <family val="2"/>
      </rPr>
      <t xml:space="preserve"> capital asset amounts with the associated accumulated depreciation in section A. below. If depreciation is not known, it must be calculated based on the life of the asset(s).</t>
    </r>
  </si>
  <si>
    <r>
      <t xml:space="preserve">Identify the </t>
    </r>
    <r>
      <rPr>
        <u/>
        <sz val="10"/>
        <rFont val="Arial"/>
        <family val="2"/>
      </rPr>
      <t>beginning</t>
    </r>
    <r>
      <rPr>
        <sz val="10"/>
        <rFont val="Arial"/>
        <family val="2"/>
      </rPr>
      <t xml:space="preserve"> long-term debt amounts in section B. below.</t>
    </r>
  </si>
  <si>
    <t>What is the amount in "Due from other funds" that is due from fiduciary funds ?</t>
  </si>
  <si>
    <t>What is the amount in "Due to other funds" that is due to fiduciary funds?</t>
  </si>
  <si>
    <t>Interest Expense</t>
  </si>
  <si>
    <t>H.</t>
  </si>
  <si>
    <t>J.</t>
  </si>
  <si>
    <t>Special and extraordinary items</t>
  </si>
  <si>
    <t>Extraordinary item - expenditure</t>
  </si>
  <si>
    <t>Extraordinary item - revenue</t>
  </si>
  <si>
    <r>
      <t xml:space="preserve">Extraordinary item  </t>
    </r>
    <r>
      <rPr>
        <i/>
        <sz val="10"/>
        <rFont val="Arial"/>
        <family val="2"/>
      </rPr>
      <t>(revenue)</t>
    </r>
  </si>
  <si>
    <t>What is the depreciation expense for the current year up to the date of sale for the asset above?</t>
  </si>
  <si>
    <t>Advances from other funds</t>
  </si>
  <si>
    <t>Advances to other funds</t>
  </si>
  <si>
    <t>Amount</t>
  </si>
  <si>
    <t>Debit</t>
  </si>
  <si>
    <t>Credit</t>
  </si>
  <si>
    <t>Total revenue to be reclassified</t>
  </si>
  <si>
    <t>*</t>
  </si>
  <si>
    <t>1.</t>
  </si>
  <si>
    <t>2.</t>
  </si>
  <si>
    <t>3.</t>
  </si>
  <si>
    <t>Working Column</t>
  </si>
  <si>
    <t>What was the amount to be capitalized by asset class?</t>
  </si>
  <si>
    <t>The data provided in sections A. and B. will provide the information to create the proper entry for the conversion worksheet.</t>
  </si>
  <si>
    <t>Unallocated depreciation</t>
  </si>
  <si>
    <t>This workbook has been provided as a tool to facilitate your unit's conversion to the full accrual statements required by GASB 34. In preparation of this workbook, the staff of the LGC has assumed that the user has a good working knowledge of Excel.  The LGC's staff will provide accounting support for use of this workbook; however, we cannot give detailed instruction in the use of Excel.</t>
  </si>
  <si>
    <t>What is the accumulated depreciation at the beginning of the year for the assets sold in a. above?</t>
  </si>
  <si>
    <t>Indicate revenue account to which items were recorded?</t>
  </si>
  <si>
    <t>Net book value of capital assets traded</t>
  </si>
  <si>
    <t>Unrestricted County appropriations - capital</t>
  </si>
  <si>
    <t>Accum. Depreciation - Equipment and Furniture</t>
  </si>
  <si>
    <t>Accum. Depreciation - Library Books</t>
  </si>
  <si>
    <t>Other financing source - Sale of assets</t>
  </si>
  <si>
    <t>Notes 1 &amp; 2  -  Data is entered</t>
  </si>
  <si>
    <t>Appears in one column on the gov't funds statement</t>
  </si>
  <si>
    <t xml:space="preserve">Note that any revenue items or other financing sources qualifying as "special" or "extraordinary" as defined by GASB 34 will have to be presented as such in the General Revenue section of the Statement of Activities. </t>
  </si>
  <si>
    <t>Grand total of major and nonmajor funds - computed field</t>
  </si>
  <si>
    <t>From the fund financial statements, determine the amount in the following categories that must be reclassified.  Also, include any items that were special or extraordinary items at the fund level that will be general revenues or functional revenue in the government-wide statements. If they will remain as a special or extraordinary item on the government-wide statements - no adjustment is necessary.</t>
  </si>
  <si>
    <t>Fund balance from the fund statements adjusted for any full accrual entries (accrued interest, etc.)</t>
  </si>
  <si>
    <t>Miscellaneous General Revenue</t>
  </si>
  <si>
    <r>
      <t xml:space="preserve">Debt Service: </t>
    </r>
    <r>
      <rPr>
        <sz val="10"/>
        <rFont val="Arial"/>
        <family val="2"/>
      </rPr>
      <t>converts debt service expenditures to the proper reductions in liability accounts.</t>
    </r>
  </si>
  <si>
    <r>
      <t xml:space="preserve">Debt Issues: </t>
    </r>
    <r>
      <rPr>
        <sz val="10"/>
        <rFont val="Arial"/>
        <family val="2"/>
      </rPr>
      <t>addresses all other debt transactions including new debt issues, refunding, and amortization.</t>
    </r>
  </si>
  <si>
    <r>
      <t xml:space="preserve">Other Asset Entries: </t>
    </r>
    <r>
      <rPr>
        <sz val="10"/>
        <rFont val="Arial"/>
        <family val="2"/>
      </rPr>
      <t>addresses the asset accounts, equity interest in joint venture, prepaid expenses, inventory, and advance funding of pensions.</t>
    </r>
  </si>
  <si>
    <t>There may be instances in the individual worksheets where negative debits or credits are generated in an entry and we did not create formulas to reclassify as a positive number. If this occurs do not be alarmed, it will be corrected in the final columns of the Conversion Worksheet.</t>
  </si>
  <si>
    <t>Printing:</t>
  </si>
  <si>
    <t xml:space="preserve">What is the original cost at the beginning of the year for assets traded in during current year? </t>
  </si>
  <si>
    <t>What is the accumulated depreciation at the beginning of the year for the assets traded in a. above?</t>
  </si>
  <si>
    <r>
      <t xml:space="preserve">Enter net book value of traded asset calculated above into the cell for the asset class for the newly acquired asset.  </t>
    </r>
    <r>
      <rPr>
        <sz val="10"/>
        <color indexed="10"/>
        <rFont val="Arial"/>
        <family val="2"/>
      </rPr>
      <t>(</t>
    </r>
    <r>
      <rPr>
        <i/>
        <sz val="10"/>
        <color indexed="10"/>
        <rFont val="Arial"/>
        <family val="2"/>
      </rPr>
      <t>typically it will be the same asset class as the old asset but it may be a different class.)</t>
    </r>
    <r>
      <rPr>
        <i/>
        <sz val="10"/>
        <rFont val="Arial"/>
        <family val="2"/>
      </rPr>
      <t xml:space="preserve"> </t>
    </r>
  </si>
  <si>
    <t>Special items are assumed to be gains and posted as such. If a loss results then the amount posted will be negative. Negative debits or credits will be properly handled in the main conversion worksheet.</t>
  </si>
  <si>
    <t>What was the amount of Reserve for Prepaid Expenses at the end of the current year?</t>
  </si>
  <si>
    <t>Change in reserve for prepaid expenses</t>
  </si>
  <si>
    <t>Change in reserve for inventories</t>
  </si>
  <si>
    <r>
      <t xml:space="preserve">What was the amount of Reserve for inventory </t>
    </r>
    <r>
      <rPr>
        <sz val="10"/>
        <rFont val="Arial"/>
        <family val="2"/>
      </rPr>
      <t>at the end of the current year?</t>
    </r>
  </si>
  <si>
    <t>Purchases method</t>
  </si>
  <si>
    <t>Change in Reserve for prepaid expense</t>
  </si>
  <si>
    <t xml:space="preserve">       ------</t>
  </si>
  <si>
    <t>Governmental funds have the option to record inventories and prepaid expenses using the purchases method; i.e. recognizing an expenditure at the time of purchase rather than based on consumption. GASB 34 requires that inventories and prepaid expenses be accounted for as assets regardless of their treatment at the fund level. Therefore balances remaining in inventories or prepaid expenses must be recorded as assets for the government-wide statements and the corresponding expenditures must be reduced.</t>
  </si>
  <si>
    <t>Journal entry for conversion worksheet to record additions and reductions in outstanding debt.   [Entry H.1]</t>
  </si>
  <si>
    <t>E.1</t>
  </si>
  <si>
    <t>Calculated   -        Do not enter data into both tables !</t>
  </si>
  <si>
    <t>Expenditures for prior years</t>
  </si>
  <si>
    <t>Expenditures for this year</t>
  </si>
  <si>
    <t>Internal balances</t>
  </si>
  <si>
    <t>Compensated absences</t>
  </si>
  <si>
    <t>OFU - Transfers out (8400)</t>
  </si>
  <si>
    <t>OFS - Transfers in (4920)</t>
  </si>
  <si>
    <t>Debt Service (8300)</t>
  </si>
  <si>
    <t>Capital Outlay (9000)</t>
  </si>
  <si>
    <t>OFS - Proceeds from lease purchases/installment purchases (4850)</t>
  </si>
  <si>
    <t>OFS - Sale of capital assets (4820)</t>
  </si>
  <si>
    <t>OFS - Proceeds from bond and note proceeds (4810)</t>
  </si>
  <si>
    <t>OFS - Proceeds from guaranteed energy savings contracts (4860)</t>
  </si>
  <si>
    <t>OFS - Proceeds from county installment purchases (4811)</t>
  </si>
  <si>
    <t>Lease purchases/Installment purchases (4850)</t>
  </si>
  <si>
    <t>Guaranteed energy savings contract (4860)</t>
  </si>
  <si>
    <t>County installment purchases (4811)</t>
  </si>
  <si>
    <t>Bonds and notes (4810)</t>
  </si>
  <si>
    <t>Guaranteed energy savings contracts (4860)</t>
  </si>
  <si>
    <t>Bonds and notes</t>
  </si>
  <si>
    <t>County installment purchases</t>
  </si>
  <si>
    <t>Bonds and notes - current</t>
  </si>
  <si>
    <t>8.</t>
  </si>
  <si>
    <t xml:space="preserve">What is the amount of bonds and notes payable that will be due and payable within one year? </t>
  </si>
  <si>
    <t xml:space="preserve">What is the amount of County installment purchases payable that will be due and payable within one year? </t>
  </si>
  <si>
    <t>Non-programmed charges (all 8000, except 8300 &amp; 8400)</t>
  </si>
  <si>
    <t>Consolidate transfers to arrive at net transfers to business-type activities.</t>
  </si>
  <si>
    <t xml:space="preserve">In order to present the net cost per function in the Statement of Activities, any "doubling up" of expenditures or revenues must be eliminated. This occurs when indirect costs are charged as an expenditure to the program/function providing the service and to the program/function benefiting from the service.  In this scenario, the expenditures are presented twice and the revenues are overstated for governmental activities. </t>
  </si>
  <si>
    <t>Restricted for Stablization by State Statute</t>
  </si>
  <si>
    <r>
      <t xml:space="preserve">Payable  </t>
    </r>
    <r>
      <rPr>
        <sz val="10"/>
        <color indexed="10"/>
        <rFont val="Arial"/>
        <family val="2"/>
      </rPr>
      <t>**</t>
    </r>
  </si>
  <si>
    <r>
      <t xml:space="preserve">Receivable </t>
    </r>
    <r>
      <rPr>
        <sz val="10"/>
        <color indexed="10"/>
        <rFont val="Arial"/>
        <family val="2"/>
      </rPr>
      <t>*</t>
    </r>
  </si>
  <si>
    <t>**</t>
  </si>
  <si>
    <t>Restricted for Stabilization by State Statute</t>
  </si>
  <si>
    <t>Restricted for Stablization by State Statute in the Local Current Expense Fund</t>
  </si>
  <si>
    <t>This workbook is designed to calculate the government-wide numbers for all governmental-type activities, including the classification of net position.  A separate workbook is available to calculate the government-wide numbers for all business-type activities.</t>
  </si>
  <si>
    <r>
      <t>When you have worked through all the other worksheets (Beg. CA &amp; LTD plus Tabs A to</t>
    </r>
    <r>
      <rPr>
        <sz val="11"/>
        <rFont val="Arial"/>
        <family val="2"/>
      </rPr>
      <t xml:space="preserve"> </t>
    </r>
    <r>
      <rPr>
        <sz val="11"/>
        <rFont val="Times New Roman"/>
        <family val="1"/>
      </rPr>
      <t>I</t>
    </r>
    <r>
      <rPr>
        <sz val="10"/>
        <rFont val="Arial"/>
        <family val="2"/>
      </rPr>
      <t xml:space="preserve">), the conversion worksheet will have your government-wide numbers for the governmental-type activities column of the Statement of Net Position and the Statement of Activities. You may change fund titles as you see fit but if you unprotect the sheet and add lines or columns, formulas may be effected. Please do not do so unless you have strong Excel skills. Some "other" asset and "other" liability accounts (in yellow) have been added to handle the case where you need another account. These titles can be changed on the trial balance and will then be used consistently throughout the workbook. </t>
    </r>
  </si>
  <si>
    <t>Net Position</t>
  </si>
  <si>
    <t>Change in Net Position</t>
  </si>
  <si>
    <t>Ending Net Position, reclassified</t>
  </si>
  <si>
    <t>Net investment in capital assets</t>
  </si>
  <si>
    <t>Deferred Inflows of Resources</t>
  </si>
  <si>
    <t>Unearned revenue</t>
  </si>
  <si>
    <t>Capital assets and long-term debt are reported in the government-wide Statement of Net Position. During the fiscal year, they are accounted for in the General Fixed Asset account and the General Long-term Debt account. The beginning of year's balances for these accounts must be recorded in the proper asset classes and debt accounts with an offsetting entry to fund balance. Current year activity for these accounts will be handled in subsequent entries. Depreciation expense should be calculated for the capital assets.  Typically, straight line depreciation is used although other more complicated methods are allowed. Depreciation expense is not calculated for land or construction in progress. The journal entry created from this worksheet will post into columns Y and Z (Capital assets and Long-term Debt accounts) on the Conversion worksheet.</t>
  </si>
  <si>
    <t>Complete section B of the worksheet indicating the functional and categorical reclassifications of the amounts in Section A; the entry required for the Conversion worksheet will be created in Section C.  Any items that qualify for the definitions of special items or extraordinary items should be reported separately in order to be properly reported on the Statement of Activities. See definitions in the comment fields - place cursor over the field with a red triangle in the corner. The total of Section B must equal the total of Section A.</t>
  </si>
  <si>
    <t>Expenditures recorded under the modified accrual basis of accounting for the purchase or construction of capital assets must be reported as additions to capital assets under the full accrual basis of accounting on the government-wide statements. These capital assets will be added in the conversion worksheet to the amounts previously recorded as of the beginning of the fiscal year when the Capital Assets were added to the conversion worksheet. Note that all expenditures for capital assets may not have been coded as capital outlay. Also be aware that some expenditures may fall below the capitalization threshold that the Governing Board has set for your unit. For example, if the unit has chosen $1,000 as the minimum for capitalization, then any items purchased under that amount must be reclassified as an expense of the appropriate program/function. Only those items above the unit's capitalization threshold would be adjusted and reported as capital assets in the government-wide statement of net position.</t>
  </si>
  <si>
    <r>
      <t xml:space="preserve">What was the amount of expenditures from the Capital Outlay Fund, broken out between amounts to be capitalized, not to be capitalized, and charged to debt service </t>
    </r>
    <r>
      <rPr>
        <b/>
        <sz val="10"/>
        <color indexed="10"/>
        <rFont val="Arial"/>
        <family val="2"/>
      </rPr>
      <t>(must be reported as debt service on fund statements)</t>
    </r>
    <r>
      <rPr>
        <b/>
        <sz val="10"/>
        <rFont val="Arial"/>
        <family val="2"/>
      </rPr>
      <t xml:space="preserve">?  What are the expenditures from other programs/functions that should be capitalized? </t>
    </r>
    <r>
      <rPr>
        <b/>
        <i/>
        <sz val="10"/>
        <color indexed="10"/>
        <rFont val="Arial"/>
        <family val="2"/>
      </rPr>
      <t>This includes expenditures related to impairment losses.</t>
    </r>
  </si>
  <si>
    <t>Total Expenditures from the Capital Outlay Fund that are not capitalized by category</t>
  </si>
  <si>
    <t>The carrying value of an asset must be adjusted if its service utility has been significantly impaired. This example addresses the most common, physical damage. To meet the requirements of GASB 42 both of the following must be true: 1) magnitude of decline in service utility is significant; and 2) it is unexpected. This entry will calculate the capital asset impairment loss (or gain if an insurance recovery was received) when physical damage occurs using the restoration cost approach.  Within that approach, the damage ratio can be calculated by the replacment cost method or the deflator method depending on what information is known. If replacement cost in current dollars is not known, then the restoration cost can be deflated to the year of acquisition. Deflation factors can be computed if the inflation factor per year is known or obtained from the internet by using engineering construction indexes or the consumer price index and selecting factors for the date of acquisition of the impaired asset.</t>
  </si>
  <si>
    <t>Asset Impairment Loss - continued</t>
  </si>
  <si>
    <t>Payables are included in the Payable column up to the amount that will not make Restricted Net Position negative.</t>
  </si>
  <si>
    <t>Classify net position</t>
  </si>
  <si>
    <t>Interfund receivables and payables between the governmental funds must be eliminated so as not to overstate the assets and liabilities for governmental activities. There are four accounts which are affected, "due to/from" and "advances to/from."  Interfund receivables and payables to fiduciary funds are treated as external parties at the government-wide level. They are best reported in a separate account entitled "due to/from fiduciary funds" on the fund's Statement of Net Position. If "receivables/payables from fiduciary funds" have not already been recorded on a separate line, complete the questions in Section D.</t>
  </si>
  <si>
    <t>The Statement of Net Position should be presented in order of liquidity and the current portion of long-term liabilities such as capital leases, installment purchases, guaranteed energy savings contracts, compensated liabilities, and other long-term liabilities must be identified separately. For compensated absences, this will typically be an estimate based on expected leave or average leave taken over the last several years. Indicate the amount to be paid from current resources in Section F below. If the portion payable and due within one year for other liability accounts has been handled elsewhere, this question can be left blank.</t>
  </si>
  <si>
    <t xml:space="preserve">Assets and Liabilities on the Statement of Net Position should be presented in order of liquidity and the current portion of long-term liabilities such as compensated absences liabilities and other long-term liabilities must be identified separately. For compensated absences, this will depend on the assumption of FIFO or LIFO as the method for computing leave to be taken. For the FIFO method, typically the estimate will be based on expected leave or average leave taken over the last several years. Indicate the amount to be paid from current resources in Section F below. If the LIFO method is used, the assumption is made that typically employees take leave as it is earned and that there is no current portion. If the portion payable and due within one year for other liability accounts has been handled elsewhere, the question can be left blank. </t>
  </si>
  <si>
    <r>
      <t>The components needed to arrive at Net Position will be calculated for the Conversion Worksheet in section</t>
    </r>
    <r>
      <rPr>
        <sz val="11"/>
        <rFont val="Times New Roman"/>
        <family val="1"/>
      </rPr>
      <t xml:space="preserve"> I</t>
    </r>
    <r>
      <rPr>
        <sz val="10"/>
        <rFont val="Arial"/>
        <family val="2"/>
      </rPr>
      <t xml:space="preserve"> below in cells N154, N196, and N198. The effect of the resulting entry will be to zero out the amount in fund balance and to credit (or debit) the amounts to the components of Net Position. </t>
    </r>
    <r>
      <rPr>
        <b/>
        <sz val="10"/>
        <rFont val="Arial"/>
        <family val="2"/>
      </rPr>
      <t>This should be one of the last steps completed since previous entries may affect your ending balances.</t>
    </r>
  </si>
  <si>
    <t>Indicate the amount by program/function for interest expense or investment earnings that should be included with program cost or revenue due to being integral to the operation (this would be unusual for a board of education) or required by a third party restriction. If the investment earnings were classified as anything other than general revenues in worksheet A. no additional entry to adjust revenue is necessary on this worksheet.</t>
  </si>
  <si>
    <t xml:space="preserve">Reclassify fund balance to the components of net position.    </t>
  </si>
  <si>
    <t>Total Fund Equity  to be allocated to Net Position - after adjustments and change in net position</t>
  </si>
  <si>
    <t>Restricted Net Position</t>
  </si>
  <si>
    <t>Inflows of Resources</t>
  </si>
  <si>
    <r>
      <t xml:space="preserve">For any restricted grants other than in the State Public School Fund or Revenue Code 3600 Federal Fund Revenue, with unexpended proceeds at year end, categorize the grant(s) by function/program and complete the following information for the sum of all grants in the function/program. </t>
    </r>
    <r>
      <rPr>
        <sz val="8"/>
        <color indexed="10"/>
        <rFont val="Arial"/>
        <family val="2"/>
      </rPr>
      <t xml:space="preserve"> T</t>
    </r>
    <r>
      <rPr>
        <sz val="9"/>
        <color indexed="10"/>
        <rFont val="Arial"/>
        <family val="2"/>
      </rPr>
      <t>his data comes from the unit's internal records. These will relate primarily to small miscellaneous grants in the Local Current Expense Fund. There may not be anything that applies for this section. Would need to have already recognized the revenue for there to be any entry. If there is more than one source of funds, it may be necessary to make flow assumptions about which money is spent first. Document these assumptions in your workpapers. Entries for restrictions of net position will be created based on the information included here.</t>
    </r>
  </si>
  <si>
    <t>Receivables offset by unavailable revenues should not be included in the receivables.</t>
  </si>
  <si>
    <t>Unavailable revenue</t>
  </si>
  <si>
    <t>Other Asset Class 1</t>
  </si>
  <si>
    <r>
      <t xml:space="preserve">Eliminations - Consolidations: </t>
    </r>
    <r>
      <rPr>
        <sz val="10"/>
        <rFont val="Arial"/>
        <family val="2"/>
      </rPr>
      <t>addresses</t>
    </r>
    <r>
      <rPr>
        <b/>
        <sz val="10"/>
        <rFont val="Arial"/>
        <family val="2"/>
      </rPr>
      <t xml:space="preserve"> </t>
    </r>
    <r>
      <rPr>
        <sz val="10"/>
        <rFont val="Arial"/>
        <family val="2"/>
      </rPr>
      <t>all elimination and consolidation entries related to interfund payables, receivables &amp; transfers; creates the entries for recording the current portion of long-term liabilities, and records the reclassification of fund balance to the net position accounts of net investment in capital assets, restricted, and unrestricted net position.</t>
    </r>
  </si>
  <si>
    <t xml:space="preserve">The issuance of debt needs to be reflected in the proper liability accounts rather than as other financing sources in order to prepare the government-wide Statement of Net Position. The entry created below will reverse the other financing sources entry and credit the appropriate liability account. </t>
  </si>
  <si>
    <t>Interfund balances between governmental funds must be eliminated for purposes of presenting the government-wide statements. Only those balances between governmental and business-type activities will remain and they will be classified as internal balances. Interfund transfers  must be consolidated to arrive at net transfers between governmental and business-type activities. Reclassifications to programs or to current versus long-term assets and liabilities may also be necessary. Any inter-function activities must be eliminated so there will be no duplication of expenses.   Fund equity must be allocated to the appropriate net position category. These are the final steps to produce the trial balance that will become the government-wide statements.</t>
  </si>
  <si>
    <t>Compensated absences payable - current</t>
  </si>
  <si>
    <t>Guaranteed energy savings contract payable - current</t>
  </si>
  <si>
    <t>County installment purchases payable - current</t>
  </si>
  <si>
    <t>Bonds and notes payable - current</t>
  </si>
  <si>
    <t>Lease purchases/Installment purchases payable - current</t>
  </si>
  <si>
    <t>Deferred Outflows Of Resources</t>
  </si>
  <si>
    <t>Deferred Inflows Of Resources</t>
  </si>
  <si>
    <t>Pension Expense</t>
  </si>
  <si>
    <t>Agency Number</t>
  </si>
  <si>
    <t>Agency</t>
  </si>
  <si>
    <t>FY Contributions</t>
  </si>
  <si>
    <t>Differences Between Expected And Actual Experience</t>
  </si>
  <si>
    <t>Net Difference Between Projected And Actual Investment Earnings On Plan Investments</t>
  </si>
  <si>
    <t>Changes Of Assumptions</t>
  </si>
  <si>
    <t>Changes In Proportion And Differences Between Employer Contributions And Proportional Share Of Contributions</t>
  </si>
  <si>
    <t>Proportional Share Of Pension Expense</t>
  </si>
  <si>
    <t>Net Amortization Of Deferred Amounts From Changes In Proportion And Differences Between Employer Contributions And Proportional Share Of Contributions</t>
  </si>
  <si>
    <t>Total Employer Pension Expense</t>
  </si>
  <si>
    <t>NORTH CAROLINA EDUCATION LOTTERY</t>
  </si>
  <si>
    <t>DEPARTMENT OF JUSTICE</t>
  </si>
  <si>
    <t>STATE AUDITOR</t>
  </si>
  <si>
    <t>DEPARTMENT OF CULTURAL RESOURCES</t>
  </si>
  <si>
    <t>ADMINISTRATIVE OFFICE OF THE COURTS</t>
  </si>
  <si>
    <t>OFFICE OF ADMINISTRATIVE HEARING</t>
  </si>
  <si>
    <t>DEPARTMENT OF ADMINISTRATION</t>
  </si>
  <si>
    <t>OFFICE OF STATE BUDGET &amp; MANAGEMENT</t>
  </si>
  <si>
    <t>INFORMATION TECHNOLOGY SERVICES</t>
  </si>
  <si>
    <t>OFFICE OF STATE CONTROLLER</t>
  </si>
  <si>
    <t>N C SCHOOL OF SCIENCE &amp; MATHEMATICS</t>
  </si>
  <si>
    <t>ENVIRONMENT AND NATURAL RESOURCES</t>
  </si>
  <si>
    <t>NC HOUSING FINANCE AGENCY</t>
  </si>
  <si>
    <t>WILDLIFE RESOURCES COMMISSION</t>
  </si>
  <si>
    <t>STATE BOARD OF ELECTIONS</t>
  </si>
  <si>
    <t>GOVERNOR'S OFFICE</t>
  </si>
  <si>
    <t>LT GOVERNOR'S OFFICE</t>
  </si>
  <si>
    <t>GENERAL ASSEMBLY</t>
  </si>
  <si>
    <t>HEALTH &amp; HUMAN SVCS</t>
  </si>
  <si>
    <t>DEPARTMENT OF COMMERCE</t>
  </si>
  <si>
    <t>INSURANCE DEPARTMENT</t>
  </si>
  <si>
    <t>LABOR DEPARTMENT</t>
  </si>
  <si>
    <t>REVENUE DEPARTMENT</t>
  </si>
  <si>
    <t>SECRETARY OF STATE</t>
  </si>
  <si>
    <t xml:space="preserve">NC CEMETARY COMMISSION </t>
  </si>
  <si>
    <t>STATE TREASURER</t>
  </si>
  <si>
    <t>DEPARTMENT OF AGRICULTURE</t>
  </si>
  <si>
    <t>BARBER EXAMINERS, STATE BOARD OF</t>
  </si>
  <si>
    <t>NORTH CAROLINA BOARD OF OPTICIANS</t>
  </si>
  <si>
    <t>STATE BOARD OF EXAMINERS FOR ELECTRICAL CONTRACTOR</t>
  </si>
  <si>
    <t>N C REAL ESTATE COMMISSION</t>
  </si>
  <si>
    <t>N C AUCTIONEERS LICENSING BOARD</t>
  </si>
  <si>
    <t>N C STATE BOARD OF EXAMINERS OF PRACTICING PSYCHOL</t>
  </si>
  <si>
    <t>COMMUNITY COLLEGES ADMINISTRATION</t>
  </si>
  <si>
    <t>DEPARTMENT OF PUBLIC SAFETY</t>
  </si>
  <si>
    <t>APPALACHIAN STATE UNIVERSITY</t>
  </si>
  <si>
    <t>N C SCHOOL OF THE ARTS</t>
  </si>
  <si>
    <t>EAST CAROLINA UNIVERSITY</t>
  </si>
  <si>
    <t>ELIZABETH CITY STATE UNIVERSITY</t>
  </si>
  <si>
    <t>FAYETTEVILLE STATE UNIVERSITY</t>
  </si>
  <si>
    <t>NC A&amp;T UNIVERSITY</t>
  </si>
  <si>
    <t>N C CENTRAL UNIVERSITY</t>
  </si>
  <si>
    <t>UNIVERSITY OF NORTH CAROLINA AT GREENSBORO</t>
  </si>
  <si>
    <t>UNC - PEMBROKE</t>
  </si>
  <si>
    <t>N C STATE UNIVERSITY</t>
  </si>
  <si>
    <t>UNC-CH CB 1260</t>
  </si>
  <si>
    <t>UNC-GENERAL ADMINISTRATION</t>
  </si>
  <si>
    <t>UNC HEALTH CARE SYSTEM</t>
  </si>
  <si>
    <t>UNIVERSITY OF NORTH CAROLINA PRESS</t>
  </si>
  <si>
    <t>WESTERN CAROLINA UNIVERSITY</t>
  </si>
  <si>
    <t>WINSTON-SALEM STATE UNIVERSITY</t>
  </si>
  <si>
    <t>DEPARTMENT OF PUBLIC INSTRUCTION</t>
  </si>
  <si>
    <t>UNIVERSITY OF NORTH CAROLINA AT ASHEVILLE</t>
  </si>
  <si>
    <t>UNIVERSITY OF NORTH CAROLINA AT CHARLOTTE</t>
  </si>
  <si>
    <t>UNIVERSITY OF NORTH CAROLINA AT WILMINGTON</t>
  </si>
  <si>
    <t>YANCEY COUNTY SCHOOLS</t>
  </si>
  <si>
    <t>ALAMANCE COUNTY SCHOOLS</t>
  </si>
  <si>
    <t>CLOVER GARDEN CHARTER SCHOOL</t>
  </si>
  <si>
    <t>RIVER MILL ACADEMY CHARTER</t>
  </si>
  <si>
    <t>THE HAWBRIDGE SCHOOL</t>
  </si>
  <si>
    <t>ALAMANCE COMMUNITY COLLEGE</t>
  </si>
  <si>
    <t>ALEXANDER COUNTY SCHOOLS</t>
  </si>
  <si>
    <t>ALLEGHANY COUNTY SCHOOLS</t>
  </si>
  <si>
    <t>ANSON COUNTY SCHOOLS</t>
  </si>
  <si>
    <t>SOUTH PIEDMONT COMMUNITY COLLEGE</t>
  </si>
  <si>
    <t>ASHE COUNTY SCHOOLS</t>
  </si>
  <si>
    <t>AVERY COUNTY SCHOOLS</t>
  </si>
  <si>
    <t>GRANDFATHER ACADEMY</t>
  </si>
  <si>
    <t>BEAUFORT COUNTY SCHOOLS</t>
  </si>
  <si>
    <t>BEAUFORT COUNTY COMMUNITY COLLEGE</t>
  </si>
  <si>
    <t>BERTIE COUNTY SCHOOLS</t>
  </si>
  <si>
    <t>BLADEN COUNTY SCHOOLS</t>
  </si>
  <si>
    <t>BLADEN COMMUNITY COLLEGE</t>
  </si>
  <si>
    <t>BRUNSWICK COUNTY SCHOOLS</t>
  </si>
  <si>
    <t>BRUNSWICK COMMUNITY COLLEGE</t>
  </si>
  <si>
    <t>BUNCOMBE COUNTY SCHOOLS</t>
  </si>
  <si>
    <t>F DELANY NEW SCHOOL FOR CHILDREN</t>
  </si>
  <si>
    <t>EVERGREEN COMMUNITY CHARTER SCHOOL</t>
  </si>
  <si>
    <t>ASHEVILLE-BUNCOMBE TECHNICAL COLLEGE</t>
  </si>
  <si>
    <t>ASHEVILLE CITY SCHOOLS</t>
  </si>
  <si>
    <t>BURKE COUNTY SCHOOLS</t>
  </si>
  <si>
    <t>WESTERN PIEDMONT COMM COLLEGE</t>
  </si>
  <si>
    <t>CABARRUS COUNTY SCHOOLS</t>
  </si>
  <si>
    <t>CAROLINA INTERNATIONAL SCHOOL</t>
  </si>
  <si>
    <t>KANNAPOLIS CITY SCHOOLS</t>
  </si>
  <si>
    <t>CALDWELL COUNTY SCHOOLS</t>
  </si>
  <si>
    <t>CALDWELL COMMUNITY COLLEGE</t>
  </si>
  <si>
    <t>CAMDEN COUNTY SCHOOLS</t>
  </si>
  <si>
    <t>CARTERET COUNTY SCHOOLS</t>
  </si>
  <si>
    <t>CAPE LOOKOUT MARINE SCIENCE H.S.</t>
  </si>
  <si>
    <t>CARTERET COMMUNITY COLLEGE</t>
  </si>
  <si>
    <t>CASWELL COUNTY SCHOOLS</t>
  </si>
  <si>
    <t>CATAWBA COUNTY SCHOOLS</t>
  </si>
  <si>
    <t>CATAWBA VALLEY COMMUNITY COLLEGE</t>
  </si>
  <si>
    <t>HICKORY CITY SCHOOLS</t>
  </si>
  <si>
    <t>NEWTON-CONOVER CITY SCHOOLS</t>
  </si>
  <si>
    <t>CHATHAM COUNTY SCHOOLS</t>
  </si>
  <si>
    <t>CHEROKEE COUNTY SCHOOLS</t>
  </si>
  <si>
    <t>TRI-COUNTY COMMUNITY COLLEGE</t>
  </si>
  <si>
    <t>EDENTON-CHOWAN COUNTY SCHOOLS</t>
  </si>
  <si>
    <t>CLAY COUNTY SCHOOLS</t>
  </si>
  <si>
    <t>CLEVELAND COUNTY SCHOOLS</t>
  </si>
  <si>
    <t>CLEVELAND TECHNICAL COLLEGE</t>
  </si>
  <si>
    <t>COLUMBUS COUNTY SCHOOLS</t>
  </si>
  <si>
    <t>SOUTHEASTERN COMMUNITY COLLEGE</t>
  </si>
  <si>
    <t>WHITEVILLE CITY SCHOOLS</t>
  </si>
  <si>
    <t>SEGS ACADEMY</t>
  </si>
  <si>
    <t>NEW BERN/CRAVEN COUNTY BOARD OF EDUCATION</t>
  </si>
  <si>
    <t>CRAVEN COMMUNITY COLLEGE</t>
  </si>
  <si>
    <t>CUMBERLAND COUNTY SCHOOLS</t>
  </si>
  <si>
    <t>FAYETTEVILLE TECHNICAL COMMUNITY COLLEGE</t>
  </si>
  <si>
    <t>CURRITUCK COUNTY SCHOOLS</t>
  </si>
  <si>
    <t>DARE COUNTY SCHOOLS</t>
  </si>
  <si>
    <t>DAVIDSON COUNTY SCHOOLS</t>
  </si>
  <si>
    <t>INVEST COLLEGIATE CHARTER SCHOOL</t>
  </si>
  <si>
    <t>DAVIDSON COUNTY COMMUNITY COLLEGE</t>
  </si>
  <si>
    <t>LEXINGTON CITY SCHOOLS</t>
  </si>
  <si>
    <t>THOMASVILLE CITY SCHOOLS</t>
  </si>
  <si>
    <t>DAVIE COUNTY SCHOOLS</t>
  </si>
  <si>
    <t>N.E. REGIONAL SCHOOL FOR BIOTECHNOLOGY</t>
  </si>
  <si>
    <t>CORNERSTONE ACADEMY</t>
  </si>
  <si>
    <t>DUPLIN COUNTY SCHOOLS</t>
  </si>
  <si>
    <t>JAMES SPRUNT TECHNICAL COLLEGE</t>
  </si>
  <si>
    <t>DURHAM PUBLIC SCHOOLS</t>
  </si>
  <si>
    <t>CENTRAL PARK SCH FOR CHILDREN</t>
  </si>
  <si>
    <t>HEALTHY START ACADEMY</t>
  </si>
  <si>
    <t>VOYAGER ACADEMY</t>
  </si>
  <si>
    <t>DURHAM TECHNICAL INSTITUTE</t>
  </si>
  <si>
    <t>BEAR GRASS CHARTER SCHOOL</t>
  </si>
  <si>
    <t>EDGECOMBE COUNTY SCHOOLS</t>
  </si>
  <si>
    <t>EDGECOMBE TECHNICAL COLLEGE</t>
  </si>
  <si>
    <t>WINSTON-SALEM-FORSYTH COUNTY SCHOOLS</t>
  </si>
  <si>
    <t>ARTS BASED ELEMENTARY CHARTER</t>
  </si>
  <si>
    <t xml:space="preserve">DOWNTOWN MIDDLE </t>
  </si>
  <si>
    <t>FORSYTH TECHNICAL INSTITUTE</t>
  </si>
  <si>
    <t>FRANKLIN COUNTY SCHOOLS</t>
  </si>
  <si>
    <t>A CHILDS GARDEN CHARTER (AKA CROSS CREEK CHARTER)</t>
  </si>
  <si>
    <t>GASTON COUNTY SCHOOLS</t>
  </si>
  <si>
    <t>GASTON COLLEGE</t>
  </si>
  <si>
    <t>GATES COUNTY SCHOOLS</t>
  </si>
  <si>
    <t>GRAHAM COUNTY SCHOOLS</t>
  </si>
  <si>
    <t>GRANVILLE COUNTY SCHOOLS AND OXFORD ORPHANAGE</t>
  </si>
  <si>
    <t>GREENE COUNTY SCHOOLS</t>
  </si>
  <si>
    <t>GUILFORD COUNTY SCHOOLS</t>
  </si>
  <si>
    <t>GUILFORD TECHNICAL COMMUNITY COLLEGE</t>
  </si>
  <si>
    <t>HALIFAX COUNTY SCHOOLS</t>
  </si>
  <si>
    <t>HALIFAX COMMUNITY COLLEGE</t>
  </si>
  <si>
    <t>ROANOKE RAPIDS CITY SCHOOLS</t>
  </si>
  <si>
    <t>WELDON CITY SCHOOLS</t>
  </si>
  <si>
    <t>HARNETT COUNTY SCHOOLS</t>
  </si>
  <si>
    <t>HAYWOOD COUNTY SCHOOLS</t>
  </si>
  <si>
    <t>HAYWOOD TECHNICAL COLLEGE</t>
  </si>
  <si>
    <t>HENDERSON COUNTY SCHOOLS</t>
  </si>
  <si>
    <t>MOUNTAIN COMMUNITY SCHOOL</t>
  </si>
  <si>
    <t>BLUE RIDGE COMMUNITY COLLEGE</t>
  </si>
  <si>
    <t>HERTFORD COUNTY SCHOOLS</t>
  </si>
  <si>
    <t>ROANOKE-CHOWAN COMMUNITY COLLEGE</t>
  </si>
  <si>
    <t>HOKE COUNTY SCHOOLS</t>
  </si>
  <si>
    <t>HYDE COUNTY SCHOOLS</t>
  </si>
  <si>
    <t>IREDELL COUNTY SCHOOLS</t>
  </si>
  <si>
    <t>AMERICAN RENAISSANCE MIDDLE SCH</t>
  </si>
  <si>
    <t>SUCCESS INSTITUTE</t>
  </si>
  <si>
    <t>MITCHELL COMMUNITY COLLEGE</t>
  </si>
  <si>
    <t>MOORESVILLE CITY SCHOOLS</t>
  </si>
  <si>
    <t>JACKSON COUNTY SCHOOLS</t>
  </si>
  <si>
    <t>SOUTHWESTERN COMMUNITY COLLEGE</t>
  </si>
  <si>
    <t>JOHNSTON COUNTY SCHOOLS</t>
  </si>
  <si>
    <t>JOHNSTON TECHNICAL COLLEGE</t>
  </si>
  <si>
    <t>NEUSE CHARTER SCHOOL</t>
  </si>
  <si>
    <t>JONES COUNTY SCHOOLS</t>
  </si>
  <si>
    <t>SANFORD-LEE COUNTY BOARD OF EDUCATION</t>
  </si>
  <si>
    <t>CENTRAL CAROLINA COMMUNITY COLLEGE</t>
  </si>
  <si>
    <t>LENOIR COUNTY SCHOOLS</t>
  </si>
  <si>
    <t>CHILDRENS VILLAGE ACADEMY</t>
  </si>
  <si>
    <t>KINSTON CHARTER ACADEMY</t>
  </si>
  <si>
    <t>LENOIR COUNTY COMMUNITY COLLEGE</t>
  </si>
  <si>
    <t>LINCOLN COUNTY SCHOOLS</t>
  </si>
  <si>
    <t>MACON COUNTY SCHOOLS</t>
  </si>
  <si>
    <t>MADISON COUNTY SCHOOLS</t>
  </si>
  <si>
    <t>MARTIN COUNTY SCHOOLS</t>
  </si>
  <si>
    <t>MARTIN COMMUNITY COLLEGE</t>
  </si>
  <si>
    <t>MCDOWELL COUNTY SCHOOLS</t>
  </si>
  <si>
    <t>MCDOWELL TECHNICAL COLLEGE</t>
  </si>
  <si>
    <t>CHARLOTTE-MECKLENBURG COUNTY SCHOOLS</t>
  </si>
  <si>
    <t>COMMUNITY CHARTER SCHOOL</t>
  </si>
  <si>
    <t>KENNEDY CHARTER</t>
  </si>
  <si>
    <t>COMMUNITY SCHOOL OF DAVIDSON</t>
  </si>
  <si>
    <t>CORVIAN COMMUNITY SCHOOL</t>
  </si>
  <si>
    <t>CENTRAL PIEDMONT COMMUNITY COLLEGE</t>
  </si>
  <si>
    <t>LAKE NORMAN CHARTER SCHOOL</t>
  </si>
  <si>
    <t>SOCRATES ACADEMY</t>
  </si>
  <si>
    <t>PINE LAKE PREP CHARTER</t>
  </si>
  <si>
    <t>CHARLOTTE SECONDARY CHARTER</t>
  </si>
  <si>
    <t>MITCHELL COUNTY SCHOOLS</t>
  </si>
  <si>
    <t>KIPP CHARLOTTE CHARTER</t>
  </si>
  <si>
    <t>MAYLAND TECHNICAL COLLEGE</t>
  </si>
  <si>
    <t>MONTGOMERY COUNTY SCHOOLS</t>
  </si>
  <si>
    <t>MONTGOMERY COMMUNITY COLLEGE</t>
  </si>
  <si>
    <t>MOORE COUNTY SCHOOLS</t>
  </si>
  <si>
    <t>ACADEMY OF MOORE COUNTY</t>
  </si>
  <si>
    <t>STARS CHARTER SCHOOL</t>
  </si>
  <si>
    <t>SANDHILLS COMMUNITY COLLEGE</t>
  </si>
  <si>
    <t>NASH-ROCKY MOUNT SCHOOLS</t>
  </si>
  <si>
    <t>NASH TECHNICAL COLLEGE</t>
  </si>
  <si>
    <t>NEW HANOVER COUNTY SCHOOLS</t>
  </si>
  <si>
    <t>CAPE FEAR CTR FOR INQUIRY</t>
  </si>
  <si>
    <t>WILMINGTON PREP ACADEMY</t>
  </si>
  <si>
    <t>CAPE FEAR COMMUNITY COLLEGE</t>
  </si>
  <si>
    <t>NORTHAMPTON COUNTY SCHOOLS</t>
  </si>
  <si>
    <t>GASTON COLLEGE PREPARATORY CHARTER</t>
  </si>
  <si>
    <t>ONSLOW COUNTY SCHOOLS</t>
  </si>
  <si>
    <t>ZECA SCHOOL OF THE ARTS AND TECHNOLOGY</t>
  </si>
  <si>
    <t>COASTAL CAROLINA COMMUNITY COLLEGE</t>
  </si>
  <si>
    <t>ORANGE COUNTY SCHOOLS</t>
  </si>
  <si>
    <t>PACE ACADEMY</t>
  </si>
  <si>
    <t>ORANGE CHARTER SCHOOL</t>
  </si>
  <si>
    <t>CHAPEL HILL - CARBORO CITY SCHOOLS</t>
  </si>
  <si>
    <t>PAMLICO COUNTY SCHOOLS</t>
  </si>
  <si>
    <t>ARAPAHOE CHARTER SCHOOL</t>
  </si>
  <si>
    <t>PAMLICO COMMUNITY COLLEGE</t>
  </si>
  <si>
    <t>ELIZABETH CITY AND PASQUOTANK COUNTY SCHOOLS</t>
  </si>
  <si>
    <t>COLLEGE OF THE ALBEMARLE</t>
  </si>
  <si>
    <t>PENDER COUNTY SCHOOLS</t>
  </si>
  <si>
    <t>PERQUIMANS COUNTY SCHOOLS</t>
  </si>
  <si>
    <t>PERSON COUNTY SCHOOLS</t>
  </si>
  <si>
    <t>ROXBORO COMMUNITY SCHOOL</t>
  </si>
  <si>
    <t>PIEDMONT COMMUNITY COLLEGE</t>
  </si>
  <si>
    <t>PITT COUNTY SCHOOLS</t>
  </si>
  <si>
    <t>PITT COMMUNITY COLLEGE</t>
  </si>
  <si>
    <t>POLK COUNTY SCHOOLS</t>
  </si>
  <si>
    <t>RANDOLPH COUNTY SCHOOLS</t>
  </si>
  <si>
    <t>UWHARRIE CHARTER ACADEMY</t>
  </si>
  <si>
    <t>RANDOLPH COMMUNITY COLLEGE</t>
  </si>
  <si>
    <t>ASHEBORO CITY SCHOOLS</t>
  </si>
  <si>
    <t>RICHMOND COUNTY SCHOOLS</t>
  </si>
  <si>
    <t>RICHMOND TECHNICAL COLLEGE</t>
  </si>
  <si>
    <t>ROBESON COUNTY SCHOOLS</t>
  </si>
  <si>
    <t>SOUTHEASTERN ACADEMY CHARTER SCHOOL</t>
  </si>
  <si>
    <t>ROBESON COMMUNITY COLLEGE</t>
  </si>
  <si>
    <t>ROCKINGHAM COUNTY SCHOOLS</t>
  </si>
  <si>
    <t>BETHANY COMMUNITY MIDDLE SCHOOL</t>
  </si>
  <si>
    <t>ROCKINGHAM COMMUNITY COLLEGE</t>
  </si>
  <si>
    <t>ROWAN-SALISBURY SCHOOL SYSTEM</t>
  </si>
  <si>
    <t>ROWAN-CABARRUS COMMUNITY COLLEGE</t>
  </si>
  <si>
    <t>RUTHERFORD COUNTY SCHOOLS</t>
  </si>
  <si>
    <t>ISOTHERMAL COMMUNITY COLLEGE</t>
  </si>
  <si>
    <t>SAMPSON COUNTY SCHOOLS</t>
  </si>
  <si>
    <t>SAMPSON COMMUNITY COLLEGE</t>
  </si>
  <si>
    <t>CLINTON CITY SCHOOLS</t>
  </si>
  <si>
    <t>SCOTLAND COUNTY SCHOOLS</t>
  </si>
  <si>
    <t>STANLY COUNTY SCHOOLS</t>
  </si>
  <si>
    <t>GRAY STONE DAY SCHOOL</t>
  </si>
  <si>
    <t>STANLY COMMUNITY COLLEGE</t>
  </si>
  <si>
    <t>STOKES COUNTY SCHOOLS</t>
  </si>
  <si>
    <t>SURRY COUNTY SCHOOLS</t>
  </si>
  <si>
    <t>BRIDGES CHARTER SCHOOLS</t>
  </si>
  <si>
    <t>MILLENNIUM CHARTER ACADEMY</t>
  </si>
  <si>
    <t>SURRY COMMUNITY COLLEGE</t>
  </si>
  <si>
    <t>MOUNT AIRY CITY SCHOOLS</t>
  </si>
  <si>
    <t>ELKIN CITY SCHOOLS</t>
  </si>
  <si>
    <t>SWAIN COUNTY SCHOOLS</t>
  </si>
  <si>
    <t>MTN DISCOVERY CHARTER</t>
  </si>
  <si>
    <t>TRANSYLVANIA COUNTY SCHOOLS</t>
  </si>
  <si>
    <t>BREVARD ACADEMY CHARTER SCHOOL</t>
  </si>
  <si>
    <t>TYRRELL COUNTY SCHOOLS</t>
  </si>
  <si>
    <t>UNION COUNTY SCHOOLS</t>
  </si>
  <si>
    <t>VANCE COUNTY SCHOOLS</t>
  </si>
  <si>
    <t>VANCE CHARTER SCHOOL</t>
  </si>
  <si>
    <t>VANCE-GRANVILLE COMMUNITY COLLEGE</t>
  </si>
  <si>
    <t>WAKE COUNTY SCHOOLS</t>
  </si>
  <si>
    <t>ENDEAVOR CHARTER SCHOOL</t>
  </si>
  <si>
    <t>SOUTHERN WAKE ACADEMY</t>
  </si>
  <si>
    <t>WAKE TECHNICAL COLLEGE</t>
  </si>
  <si>
    <t>EAST WAKE ACADEMY</t>
  </si>
  <si>
    <t>CASA ESPERANZA MONTESSORI</t>
  </si>
  <si>
    <t>WARREN COUNTY SCHOOLS</t>
  </si>
  <si>
    <t>HALIWA-SAPONI TRIBAL CHARTER</t>
  </si>
  <si>
    <t>WASHINGTON COUNTY SCHOOLS</t>
  </si>
  <si>
    <t>HENDERSON COLLEGIATE CHARTER SCHOOL</t>
  </si>
  <si>
    <t>WATAUGA COUNTY SCHOOLS</t>
  </si>
  <si>
    <t>TWO RIVERS COMM SCHOOL</t>
  </si>
  <si>
    <t>WAYNE COUNTY SCHOOLS</t>
  </si>
  <si>
    <t>WAYNE COMMUNITY COLLEGE</t>
  </si>
  <si>
    <t>WILKES COUNTY SCHOOLS</t>
  </si>
  <si>
    <t>PINNACLE CLASSICAL ACADEMY</t>
  </si>
  <si>
    <t>WILKES COMMUNITY COLLEGE</t>
  </si>
  <si>
    <t>WILSON COUNTY SCHOOLS</t>
  </si>
  <si>
    <t>WILSON COMMUNITY COLLEGE</t>
  </si>
  <si>
    <t>YADKIN COUNTY SCHOOLS</t>
  </si>
  <si>
    <t>HIGHWAY - ADMINISTRATIVE</t>
  </si>
  <si>
    <t>TOTAL</t>
  </si>
  <si>
    <t>GASB 68 Entries - TSERS</t>
  </si>
  <si>
    <t>Agency Name</t>
  </si>
  <si>
    <t>Net Pension Liability/Asset</t>
  </si>
  <si>
    <t>debit</t>
  </si>
  <si>
    <t>credit</t>
  </si>
  <si>
    <t>Deferred Outflow - Measurement Period Contributions</t>
  </si>
  <si>
    <r>
      <t>Entry for Conversion worksheet to record proportionate share of net pensions liability, pension expense, and deferred outflows and deferred inflows of resources related to pensions.  (Entry J</t>
    </r>
    <r>
      <rPr>
        <b/>
        <sz val="10"/>
        <rFont val="Times New Roman"/>
        <family val="1"/>
      </rPr>
      <t>1</t>
    </r>
    <r>
      <rPr>
        <b/>
        <sz val="10"/>
        <rFont val="Arial"/>
        <family val="2"/>
      </rPr>
      <t>)</t>
    </r>
  </si>
  <si>
    <t>Deferred Outflows of Resources</t>
  </si>
  <si>
    <t>Deferred Outflows for TSERS pension contributions made during the year.</t>
  </si>
  <si>
    <t>Entry E</t>
  </si>
  <si>
    <t>Deferred outflows - current year pension contributions</t>
  </si>
  <si>
    <t>Pensions - Net Difference Between Actual and Expected Earnings on Plan Investments</t>
  </si>
  <si>
    <t>Net pension liability</t>
  </si>
  <si>
    <t>Net pension asset</t>
  </si>
  <si>
    <t>J.1</t>
  </si>
  <si>
    <t>Enter appropriate pension allocation percentages.</t>
  </si>
  <si>
    <t>Governmental Funds - pension allocation percentage</t>
  </si>
  <si>
    <t>Enterprise Funds - pension allocation percentage</t>
  </si>
  <si>
    <t>Total (should = 100%)</t>
  </si>
  <si>
    <t>(percentages entered in this section should be percentages of the whole government, not percentages of the Governmental Funds)</t>
  </si>
  <si>
    <t>Total (should = Governmental Fund Allocation)</t>
  </si>
  <si>
    <t>Amount to reclassify out of pension expense and into deferred outflows - pensions</t>
  </si>
  <si>
    <t>Pension Expense - Regular instructional services (5100)</t>
  </si>
  <si>
    <t>Pension Expense - Special populations services (5200)</t>
  </si>
  <si>
    <t>Pension Expense - Alternative programs and services (5300)</t>
  </si>
  <si>
    <t>Pension Expense - School leadership services (5400)</t>
  </si>
  <si>
    <t>Pension Expense - Co-curricular services (5500)</t>
  </si>
  <si>
    <t>Pension Expense - School-based support services (5800)</t>
  </si>
  <si>
    <t>Pension Expense - Support and development services (6100)</t>
  </si>
  <si>
    <t>Pension Expense - Special pop. support &amp; develop. ser. (6200)</t>
  </si>
  <si>
    <t>Pension Expense - Alternative prog. &amp; ser. sup &amp; dev. ser. (6300)</t>
  </si>
  <si>
    <t>Pension Expense - Technology support services (6400)</t>
  </si>
  <si>
    <t>Pension Expense - Operational support services (6500)</t>
  </si>
  <si>
    <t>Pension Expense - Financial &amp; HR services (6600)</t>
  </si>
  <si>
    <t>Pension Expense - Accountablilty services (6700)</t>
  </si>
  <si>
    <t>Pension Expense - System-wide pupil support services (6800)</t>
  </si>
  <si>
    <t>Pension Expense - Policy, leadership &amp; PR services (6900)</t>
  </si>
  <si>
    <t>Pension Expense - Ancillary services (7000)</t>
  </si>
  <si>
    <t>Pension Expense - Non-programmed charges (8000)</t>
  </si>
  <si>
    <t>Work Section for Conversion entry J1</t>
  </si>
  <si>
    <t>Working Subtotal</t>
  </si>
  <si>
    <t xml:space="preserve">Contributions made to the LGERS pension plan on the full accrual basis subsequent to the measurement date are presented as deferred outlows of resources.  The contributions made for the current fiscal year should be allocated among all applicable functions or departments.  </t>
  </si>
  <si>
    <t>To select your agency from the drop down list, click in cell C14 and choose your name.</t>
  </si>
  <si>
    <t>What is the amount of contributions made to TSERS on the full accrual basis for the current fiscal year?</t>
  </si>
  <si>
    <t>(percentages entered in this section should be percentages of the whole government, not just percentages of the Governmental Funds)</t>
  </si>
  <si>
    <t>From Tab H (correct any errors on tab H)</t>
  </si>
  <si>
    <t>Current Proportional Share</t>
  </si>
  <si>
    <t>Prior Proportional Share</t>
  </si>
  <si>
    <t>Net Pension Liability BOY</t>
  </si>
  <si>
    <t>Net Pension Liability EOY</t>
  </si>
  <si>
    <t>blank</t>
  </si>
  <si>
    <t>INVEST COLLEGIATE CHARTER (BUNCOMBE)</t>
  </si>
  <si>
    <t>KIPP HALIFAX COLLEGE PREP CHARTER</t>
  </si>
  <si>
    <t>PIONEER SPRINGS COMMUNITY CHARTER</t>
  </si>
  <si>
    <t>A</t>
  </si>
  <si>
    <t>B</t>
  </si>
  <si>
    <t>C</t>
  </si>
  <si>
    <t>D</t>
  </si>
  <si>
    <t>E</t>
  </si>
  <si>
    <t>F</t>
  </si>
  <si>
    <t>G</t>
  </si>
  <si>
    <t>Per Buck valuation letter</t>
  </si>
  <si>
    <t>Amount is zero, nets to zero and is not applicable to reference</t>
  </si>
  <si>
    <t>Difference between Expected and Actual earnings on Plan Assets.  See earlier section IV.</t>
  </si>
  <si>
    <t>Employer specific deferred outflows and deferred inflows and these offset each other</t>
  </si>
  <si>
    <t>See Section III, represents the differences in the Experience of the plan.</t>
  </si>
  <si>
    <t>Per Buck GASB 68 Disclosure letter</t>
  </si>
  <si>
    <t>Is the sum of G and second to last column (rounding differences).</t>
  </si>
  <si>
    <t>Change in Proportional Share</t>
  </si>
  <si>
    <t>ORBIT Unit Contributions to Plan in Measurement Year</t>
  </si>
  <si>
    <t>Total Employer Pension Expense*</t>
  </si>
  <si>
    <t>CURRENT YEAR</t>
  </si>
  <si>
    <t>Total Plan - FYE 2016</t>
  </si>
  <si>
    <t>PRIOR YEAR</t>
  </si>
  <si>
    <t>Carolina County BOE</t>
  </si>
  <si>
    <t>3xxxx</t>
  </si>
  <si>
    <t>Deferred Outlfow - Net Difference Between Projected and Actual Investment Earnings on Plan Investments - All Years</t>
  </si>
  <si>
    <t>Adjustment to Beginning Fund Equity for Pension Accts</t>
  </si>
  <si>
    <t>Note that the beginning asset and liability balances related to pensions, including deferred inflows and outflows, have been mapped to the Capital Assets, Long-term Debt and Beginning Pension Balances columns Y and Z (Conversion Worksheet tab) from the J tabs.  Cell C17 on tab J.1 must be completed as part of the population of the beginning balances in the Conversion Worksheet tab.  As the conversion worksheet converts all governmental funds into governmental activities for the full accrual statement of activities and statement of net position, allocating the beginning pension asset and liability balances between governmental funds is not necessary.</t>
  </si>
  <si>
    <t>Carolina County Board of Education</t>
  </si>
  <si>
    <t>STATE TREASURER (w/o State Health Plan)</t>
  </si>
  <si>
    <t>STATE TREASURER (State Health Plan Only)</t>
  </si>
  <si>
    <t>UNC-GENERAL ADMINISTRATION (w/o SEAA)</t>
  </si>
  <si>
    <t>UNC-GENERAL ADMINISTRATION (SEAA Only)</t>
  </si>
  <si>
    <t>N.E. ACADEMY OF AEROSPACE &amp; ADV.TECH</t>
  </si>
  <si>
    <t>HIGHWAY - ADMINISTRATIVE (w/o Global Transpark or Ports Authority)</t>
  </si>
  <si>
    <t>HIGHWAY - ADMINISTRATIVE (Global Transpark Only)</t>
  </si>
  <si>
    <t>HIGHWAY - ADMINISTRATIVE (Ports Authority Only)</t>
  </si>
  <si>
    <t>Total Plan - FYE 2017</t>
  </si>
  <si>
    <t>Beginning DO(DI) for Earnings</t>
  </si>
  <si>
    <t>Pension Expense - Actuary</t>
  </si>
  <si>
    <t>Beginning DO - Experience</t>
  </si>
  <si>
    <t>Beginning DO - Earnings</t>
  </si>
  <si>
    <t>Beginning DO - Assumptions</t>
  </si>
  <si>
    <t>Beginning DO - Employer proportions</t>
  </si>
  <si>
    <t>Beginning DI - Experience</t>
  </si>
  <si>
    <t>Beginning DI - Earnings</t>
  </si>
  <si>
    <t>Beginning DI - Assumptions</t>
  </si>
  <si>
    <t>Beginning DI - Employer Proportions</t>
  </si>
  <si>
    <t>Ending DO - Experience</t>
  </si>
  <si>
    <t>Ending DO - Earnings</t>
  </si>
  <si>
    <t>Ending DO - Assumptions</t>
  </si>
  <si>
    <t>Ending DO - Employer proportions</t>
  </si>
  <si>
    <t>Ending DI - Experience</t>
  </si>
  <si>
    <t>Ending DI - Earnings</t>
  </si>
  <si>
    <t>Ending DI - Assumptions</t>
  </si>
  <si>
    <t>Ending DI - Employer Proportions</t>
  </si>
  <si>
    <t>Beginning DO - Contributions subsequent to PY measurement date</t>
  </si>
  <si>
    <t>Pension Expense - Measurement period contributions b/w Actuary and Agency</t>
  </si>
  <si>
    <t>Pension Expense - Rounding</t>
  </si>
  <si>
    <t>Beginning NPL</t>
  </si>
  <si>
    <t>Ending NPL</t>
  </si>
  <si>
    <t xml:space="preserve">Deferred Outflow - Differences Between Expected and Actual Experience </t>
  </si>
  <si>
    <t xml:space="preserve">Deferred Outflow - Changes in Assumptions </t>
  </si>
  <si>
    <t xml:space="preserve">Deferred Outflow - Changes in Proportion and Differences Between Employer Contributions and Proportionate Share of Contributions </t>
  </si>
  <si>
    <t xml:space="preserve">Deferred Inflow - Differences Between Expected and Actual Experience </t>
  </si>
  <si>
    <t xml:space="preserve">Deferred Inflow - Net Difference Between Projected and Actual Investment Earnings on Plan Investments </t>
  </si>
  <si>
    <t xml:space="preserve">Deferred Inflow - Changes in Assumptions </t>
  </si>
  <si>
    <t>Deferred Inflow - Changes in Proportion and Differences Between Employer Contributions and Proportionate Share of Contributions</t>
  </si>
  <si>
    <t>Pensions - Changes in Assumptions</t>
  </si>
  <si>
    <t>Pensions - Differences Between Actual and Expected Experience</t>
  </si>
  <si>
    <t>Pensions - Change in Proportion and Differences in Employer Contributions and Proportionate Share of Contributions</t>
  </si>
  <si>
    <t>Recognition periods: Difference between projected and actual investment earnings - 5 years; all other deferrals - 6 years</t>
  </si>
  <si>
    <t>OPEB Expense</t>
  </si>
  <si>
    <t>Employer Number</t>
  </si>
  <si>
    <t>Employer</t>
  </si>
  <si>
    <t>Beginning Net OPEB Liability</t>
  </si>
  <si>
    <t>Ending Net OPEB Liability</t>
  </si>
  <si>
    <t>Differences Between Expected and Actual Experience</t>
  </si>
  <si>
    <t>Net Differences Between Projected and Actual Investment Earnings on Plan Investments</t>
  </si>
  <si>
    <t>Changes of Assumptions</t>
  </si>
  <si>
    <t>Changes in Proportion and Differences Between Employer Contributions and Proportionate Share of Contributions</t>
  </si>
  <si>
    <t xml:space="preserve"> Total Deferred Outflows of Resources</t>
  </si>
  <si>
    <t>Total Deferred Inflows of Resources</t>
  </si>
  <si>
    <t>Proportionate Share of OPEB Expense</t>
  </si>
  <si>
    <t>Net Amortization of Deferred Amounts from Changes in Proportion and Difference Between Employer Contributions and Proportionate Share of Contributions</t>
  </si>
  <si>
    <t>Total Employer OPEB Expense</t>
  </si>
  <si>
    <t>No Agency Chosen</t>
  </si>
  <si>
    <t>North Carolina Education Lottery</t>
  </si>
  <si>
    <t>Department Of Justice</t>
  </si>
  <si>
    <t>State Auditor</t>
  </si>
  <si>
    <t>Department Of Cultural Resources</t>
  </si>
  <si>
    <t>Administrative Office Of The Courts</t>
  </si>
  <si>
    <t>Office Of Administrative Hearing</t>
  </si>
  <si>
    <t>Department Of Administration</t>
  </si>
  <si>
    <t>Office Of State Budget &amp; Management</t>
  </si>
  <si>
    <t>Information Technology Services</t>
  </si>
  <si>
    <t>Office Of State Controller</t>
  </si>
  <si>
    <t>N.C. School Of Science &amp; Mathematics</t>
  </si>
  <si>
    <t>Environment And Natural Resources</t>
  </si>
  <si>
    <t>N.C. Housing Finance Agency</t>
  </si>
  <si>
    <t>Wildlife Resources Commission</t>
  </si>
  <si>
    <t>State Board Of Elections</t>
  </si>
  <si>
    <t>Governor's Office</t>
  </si>
  <si>
    <t>Lt. Governor's Office</t>
  </si>
  <si>
    <t>General Assembly</t>
  </si>
  <si>
    <t>Health &amp; Human Services</t>
  </si>
  <si>
    <t>Department Of Commerce</t>
  </si>
  <si>
    <t>Insurance Department</t>
  </si>
  <si>
    <t>Labor Department</t>
  </si>
  <si>
    <t>Revenue Department</t>
  </si>
  <si>
    <t>Secretary Of State</t>
  </si>
  <si>
    <t>State Treasurer</t>
  </si>
  <si>
    <t>State Health Plan (subset of Department of Treasurer)</t>
  </si>
  <si>
    <t>Department Of Agriculture</t>
  </si>
  <si>
    <t>Barber Examiners, State Board Of</t>
  </si>
  <si>
    <t>N.C. Real Estate Commission</t>
  </si>
  <si>
    <t>N.C. Auctioneers Licensing Board</t>
  </si>
  <si>
    <t>N.C. State Board Of Examiners Of Practicing Psychol</t>
  </si>
  <si>
    <t>Community Colleges Administration</t>
  </si>
  <si>
    <t>Department Of Public Safety</t>
  </si>
  <si>
    <t>Appalachian State University</t>
  </si>
  <si>
    <t>N.C. School Of The Arts</t>
  </si>
  <si>
    <t>East Carolina University</t>
  </si>
  <si>
    <t>Elizabeth City State University</t>
  </si>
  <si>
    <t>Fayetteville State University</t>
  </si>
  <si>
    <t>N.C. A&amp;T University</t>
  </si>
  <si>
    <t>N.C. Central University</t>
  </si>
  <si>
    <t>University Of North Carolina At Greensboro</t>
  </si>
  <si>
    <t>UNC - Pembroke</t>
  </si>
  <si>
    <t>N.C. State University</t>
  </si>
  <si>
    <t>UNC-General Administration</t>
  </si>
  <si>
    <t>State Education Assistance Authority (subset of UNC General Administration)</t>
  </si>
  <si>
    <t>UNC Health Care System</t>
  </si>
  <si>
    <t>University Of North Carolina Press</t>
  </si>
  <si>
    <t>Western Carolina University</t>
  </si>
  <si>
    <t>Winston-Salem State University</t>
  </si>
  <si>
    <t>Department Of Public Instruction</t>
  </si>
  <si>
    <t>University Of North Carolina At Asheville</t>
  </si>
  <si>
    <t>University Of North Carolina At Charlotte</t>
  </si>
  <si>
    <t>University Of North Carolina At Wilmington</t>
  </si>
  <si>
    <t>Yancey County Schools</t>
  </si>
  <si>
    <t>Alamance County Schools</t>
  </si>
  <si>
    <t>Clover Garden Charter School</t>
  </si>
  <si>
    <t>River Mill Academy Charter</t>
  </si>
  <si>
    <t>The Hawbridge School</t>
  </si>
  <si>
    <t>Alamance Community College</t>
  </si>
  <si>
    <t>Alexander County Schools</t>
  </si>
  <si>
    <t>Alleghany County Schools</t>
  </si>
  <si>
    <t>Anson County Schools</t>
  </si>
  <si>
    <t>South Piedmont Community College</t>
  </si>
  <si>
    <t>Ashe County Schools</t>
  </si>
  <si>
    <t>Avery County Schools</t>
  </si>
  <si>
    <t>Grandfather Academy</t>
  </si>
  <si>
    <t>Beaufort County Schools</t>
  </si>
  <si>
    <t>Beaufort County Community College</t>
  </si>
  <si>
    <t>Bertie County Schools</t>
  </si>
  <si>
    <t>Bladen County Schools</t>
  </si>
  <si>
    <t>Bladen Community College</t>
  </si>
  <si>
    <t>Brunswick County Schools</t>
  </si>
  <si>
    <t>Brunswick Community College</t>
  </si>
  <si>
    <t>Buncombe County Schools</t>
  </si>
  <si>
    <t>F. Delany New School For Children</t>
  </si>
  <si>
    <t>Evergreen Community Charter School</t>
  </si>
  <si>
    <t>Asheville-Buncombe Technical College</t>
  </si>
  <si>
    <t>Asheville City Schools</t>
  </si>
  <si>
    <t>Burke County Schools</t>
  </si>
  <si>
    <t>Western Piedmont Community College</t>
  </si>
  <si>
    <t>Cabarrus County Schools</t>
  </si>
  <si>
    <t>Carolina International School</t>
  </si>
  <si>
    <t>Kannapolis City Schools</t>
  </si>
  <si>
    <t>Caldwell County Schools</t>
  </si>
  <si>
    <t>Caldwell Community College</t>
  </si>
  <si>
    <t>Camden County Schools</t>
  </si>
  <si>
    <t>Carteret County Schools</t>
  </si>
  <si>
    <t>Carteret Community College</t>
  </si>
  <si>
    <t>Caswell County Schools</t>
  </si>
  <si>
    <t>Catawba County Schools</t>
  </si>
  <si>
    <t>Catawba Valley Community College</t>
  </si>
  <si>
    <t>Hickory City Schools</t>
  </si>
  <si>
    <t>Newton-Conover City Schools</t>
  </si>
  <si>
    <t>Chatham County Schools</t>
  </si>
  <si>
    <t>Cherokee County Schools</t>
  </si>
  <si>
    <t>Tri-County Community College</t>
  </si>
  <si>
    <t>Edenton-Chowan County Schools</t>
  </si>
  <si>
    <t>Clay County Schools</t>
  </si>
  <si>
    <t>Cleveland County Schools</t>
  </si>
  <si>
    <t>Cleveland Technical College</t>
  </si>
  <si>
    <t>Columbus County Schools</t>
  </si>
  <si>
    <t>Southeastern Community College</t>
  </si>
  <si>
    <t>Whiteville City Schools</t>
  </si>
  <si>
    <t>New Bern/Craven County Board Of Education</t>
  </si>
  <si>
    <t>Craven Community College</t>
  </si>
  <si>
    <t>Cumberland County Schools</t>
  </si>
  <si>
    <t>Fayetteville Technical Community College</t>
  </si>
  <si>
    <t>Currituck County Schools</t>
  </si>
  <si>
    <t>Dare County Schools</t>
  </si>
  <si>
    <t>Davidson County Schools</t>
  </si>
  <si>
    <t>Invest Collegiate Charter School</t>
  </si>
  <si>
    <t>Davidson County Community College</t>
  </si>
  <si>
    <t>Lexington City Schools</t>
  </si>
  <si>
    <t>Thomasville City Schools</t>
  </si>
  <si>
    <t>Davie County Schools</t>
  </si>
  <si>
    <t>N.E. Regional School For Biotechnology</t>
  </si>
  <si>
    <t>Cornerstone Academy</t>
  </si>
  <si>
    <t>Duplin County Schools</t>
  </si>
  <si>
    <t>James Sprunt Technical College</t>
  </si>
  <si>
    <t>Durham Public Schools</t>
  </si>
  <si>
    <t>Central Park School For Children</t>
  </si>
  <si>
    <t>Healthy Start Academy</t>
  </si>
  <si>
    <t>Voyager Academy</t>
  </si>
  <si>
    <t>Durham Technical Institute</t>
  </si>
  <si>
    <t>Bear Grass Charter School</t>
  </si>
  <si>
    <t>Invest Collegiate Charter (Buncombe)</t>
  </si>
  <si>
    <t>Kipp Halifax College Prep Charter</t>
  </si>
  <si>
    <t>Pioneer Springs Community Charter</t>
  </si>
  <si>
    <t>Edgecombe County Schools</t>
  </si>
  <si>
    <t>Edgecombe Technical College</t>
  </si>
  <si>
    <t>Winston-Salem-Forsyth County Schools</t>
  </si>
  <si>
    <t>Arts Based Elementary Charter</t>
  </si>
  <si>
    <t>Forsyth Technical Institute</t>
  </si>
  <si>
    <t>Franklin County Schools</t>
  </si>
  <si>
    <t>A Childs Garden Charter (AKA Cross Creek Charter)</t>
  </si>
  <si>
    <t>Gaston County Schools</t>
  </si>
  <si>
    <t>Gaston College</t>
  </si>
  <si>
    <t>Gates County Schools</t>
  </si>
  <si>
    <t>Graham County Schools</t>
  </si>
  <si>
    <t>Granville County Schools And Oxford Orphanage</t>
  </si>
  <si>
    <t>Greene County Schools</t>
  </si>
  <si>
    <t>Guilford County Schools</t>
  </si>
  <si>
    <t>Guilford Technical Community College</t>
  </si>
  <si>
    <t>Halifax County Schools</t>
  </si>
  <si>
    <t>Halifax Community College</t>
  </si>
  <si>
    <t>Roanoke Rapids City Schools</t>
  </si>
  <si>
    <t>Weldon City Schools</t>
  </si>
  <si>
    <t>Harnett County Schools</t>
  </si>
  <si>
    <t>Haywood County Schools</t>
  </si>
  <si>
    <t>Haywood Technical College</t>
  </si>
  <si>
    <t>Henderson County Schools</t>
  </si>
  <si>
    <t>Mountain Community School</t>
  </si>
  <si>
    <t>Blue Ridge Community College</t>
  </si>
  <si>
    <t>Hertford County Schools</t>
  </si>
  <si>
    <t>Roanoke-Chowan Community College</t>
  </si>
  <si>
    <t>Hoke County Schools</t>
  </si>
  <si>
    <t>Hyde County Schools</t>
  </si>
  <si>
    <t>Iredell County Schools</t>
  </si>
  <si>
    <t>American Renaissance Middle School</t>
  </si>
  <si>
    <t>Success Institute</t>
  </si>
  <si>
    <t>Mitchell Community College</t>
  </si>
  <si>
    <t>Mooresville City Schools</t>
  </si>
  <si>
    <t>Jackson County Schools</t>
  </si>
  <si>
    <t>Southwestern Community College</t>
  </si>
  <si>
    <t>Johnston County Schools</t>
  </si>
  <si>
    <t>Johnston Technical College</t>
  </si>
  <si>
    <t>Neuse Charter School</t>
  </si>
  <si>
    <t>Jones County Schools</t>
  </si>
  <si>
    <t>Sanford-Lee County Board Of Education</t>
  </si>
  <si>
    <t>Central Carolina Community College</t>
  </si>
  <si>
    <t>Lenoir County Schools</t>
  </si>
  <si>
    <t>Childrens Village Academy</t>
  </si>
  <si>
    <t>Lenoir County Community College</t>
  </si>
  <si>
    <t>Lincoln County Schools</t>
  </si>
  <si>
    <t>Macon County Schools</t>
  </si>
  <si>
    <t>Madison County Schools</t>
  </si>
  <si>
    <t>Martin County Schools</t>
  </si>
  <si>
    <t>Martin Community College</t>
  </si>
  <si>
    <t>Mcdowell County Schools</t>
  </si>
  <si>
    <t>Mcdowell Technical College</t>
  </si>
  <si>
    <t>Charlotte-Mecklenburg County Schools</t>
  </si>
  <si>
    <t>Community Charter School</t>
  </si>
  <si>
    <t>Kennedy Charter</t>
  </si>
  <si>
    <t>Community School Of Davidson</t>
  </si>
  <si>
    <t>Corvian Community School</t>
  </si>
  <si>
    <t>Central Piedmont Community College</t>
  </si>
  <si>
    <t>Lake Norman Charter School</t>
  </si>
  <si>
    <t>Socrates Academy</t>
  </si>
  <si>
    <t>Pine Lake Prep Charter</t>
  </si>
  <si>
    <t>Charlotte Secondary Charter</t>
  </si>
  <si>
    <t>Mitchell County Schools</t>
  </si>
  <si>
    <t>Kipp Charlotte Charter</t>
  </si>
  <si>
    <t>Mayland Technical College</t>
  </si>
  <si>
    <t>Montgomery County Schools</t>
  </si>
  <si>
    <t>Montgomery Community College</t>
  </si>
  <si>
    <t>Moore County Schools</t>
  </si>
  <si>
    <t>Academy Of Moore County</t>
  </si>
  <si>
    <t>Stars Charter School</t>
  </si>
  <si>
    <t>Sandhills Community College</t>
  </si>
  <si>
    <t>Fernleaf Community Charter</t>
  </si>
  <si>
    <t>Nash-Rocky Mount Schools</t>
  </si>
  <si>
    <t>Nash Technical College</t>
  </si>
  <si>
    <t>New Hanover County Schools</t>
  </si>
  <si>
    <t>Cape Fear Center For Inquiry</t>
  </si>
  <si>
    <t>Wilmington Preparatory Academy</t>
  </si>
  <si>
    <t>Cape Fear Community College</t>
  </si>
  <si>
    <t>Northampton County Schools</t>
  </si>
  <si>
    <t>Gaston College Preparatory Charter</t>
  </si>
  <si>
    <t>Onslow County Schools</t>
  </si>
  <si>
    <t>Zeca School Of The Arts And Technology</t>
  </si>
  <si>
    <t>Coastal Carolina Community College</t>
  </si>
  <si>
    <t>Orange County Schools</t>
  </si>
  <si>
    <t>Orange Charter School</t>
  </si>
  <si>
    <t>Chapel Hill - Carboro City Schools</t>
  </si>
  <si>
    <t>Pamlico County Schools</t>
  </si>
  <si>
    <t>Arapahoe Charter School</t>
  </si>
  <si>
    <t>Pamlico Community College</t>
  </si>
  <si>
    <t>Elizabeth City And Pasquotank County Schools</t>
  </si>
  <si>
    <t>College Of The Albemarle</t>
  </si>
  <si>
    <t>Pender County Schools</t>
  </si>
  <si>
    <t>Perquimans County Schools</t>
  </si>
  <si>
    <t>Person County Schools</t>
  </si>
  <si>
    <t>Roxboro Community School</t>
  </si>
  <si>
    <t>Piedmont Community College</t>
  </si>
  <si>
    <t>Pitt County Schools</t>
  </si>
  <si>
    <t>Pitt Community College</t>
  </si>
  <si>
    <t>Polk County Schools</t>
  </si>
  <si>
    <t>Randolph County Schools</t>
  </si>
  <si>
    <t>Uwharrie Charter Academy</t>
  </si>
  <si>
    <t>Randolph Community College</t>
  </si>
  <si>
    <t>Asheboro City Schools</t>
  </si>
  <si>
    <t>Richmond County Schools</t>
  </si>
  <si>
    <t>Richmond Technical College</t>
  </si>
  <si>
    <t>Robeson County Schools</t>
  </si>
  <si>
    <t>Southeastern Academy Charter School</t>
  </si>
  <si>
    <t>Robeson Community College</t>
  </si>
  <si>
    <t>Rockingham County Schools</t>
  </si>
  <si>
    <t>Bethany Community Middle School</t>
  </si>
  <si>
    <t>Rockingham Community College</t>
  </si>
  <si>
    <t>Rowan-Salisbury School System</t>
  </si>
  <si>
    <t>Rowan-Cabarrus Community College</t>
  </si>
  <si>
    <t>Rutherford County Schools</t>
  </si>
  <si>
    <t>Isothermal Community College</t>
  </si>
  <si>
    <t>Sampson County Schools</t>
  </si>
  <si>
    <t>Sampson Community College</t>
  </si>
  <si>
    <t>Clinton City Schools</t>
  </si>
  <si>
    <t>Scotland County Schools</t>
  </si>
  <si>
    <t>Stanly County Schools</t>
  </si>
  <si>
    <t>Gray Stone Day School</t>
  </si>
  <si>
    <t>Stanly Community College</t>
  </si>
  <si>
    <t>Stokes County Schools</t>
  </si>
  <si>
    <t>Surry County Schools</t>
  </si>
  <si>
    <t>Bridges Charter Schools</t>
  </si>
  <si>
    <t>Millennium Charter Academy</t>
  </si>
  <si>
    <t>Surry Community College</t>
  </si>
  <si>
    <t>Mount Airy City Schools</t>
  </si>
  <si>
    <t>Elkin City Schools</t>
  </si>
  <si>
    <t>Swain County Schools</t>
  </si>
  <si>
    <t>Mountain Discovery Charter</t>
  </si>
  <si>
    <t>Transylvania County Schools</t>
  </si>
  <si>
    <t>Brevard Academy Charter School</t>
  </si>
  <si>
    <t>Tyrrell County Schools</t>
  </si>
  <si>
    <t>Union County Schools</t>
  </si>
  <si>
    <t>Vance County Schools</t>
  </si>
  <si>
    <t>Vance Charter School</t>
  </si>
  <si>
    <t>Vance-Granville Community College</t>
  </si>
  <si>
    <t>Wake County Schools</t>
  </si>
  <si>
    <t>Endeavor Charter School</t>
  </si>
  <si>
    <t>Southern Wake Academy</t>
  </si>
  <si>
    <t>Wake Technical College</t>
  </si>
  <si>
    <t>East Wake Academy</t>
  </si>
  <si>
    <t>Casa Esperanza Montessori</t>
  </si>
  <si>
    <t>Warren County Schools</t>
  </si>
  <si>
    <t>Haliwa-Saponi Tribal Charter</t>
  </si>
  <si>
    <t>Washington County Schools</t>
  </si>
  <si>
    <t>Henderson Collegiate Charter School</t>
  </si>
  <si>
    <t>Watauga County Schools</t>
  </si>
  <si>
    <t>Two Rivers Community School</t>
  </si>
  <si>
    <t>Wayne County Schools</t>
  </si>
  <si>
    <t>Wayne Community College</t>
  </si>
  <si>
    <t>Wilkes County Schools</t>
  </si>
  <si>
    <t>Pinnacle Classical Academy</t>
  </si>
  <si>
    <t>Wilkes Community College</t>
  </si>
  <si>
    <t>Wilson County Schools</t>
  </si>
  <si>
    <t>Wilson Community College</t>
  </si>
  <si>
    <t>Yadkin County Schools</t>
  </si>
  <si>
    <t>Consolidated Judicial Retirement System</t>
  </si>
  <si>
    <t>Highway - Administrative</t>
  </si>
  <si>
    <t>NC Global TransPark Authority (subset of DOT)</t>
  </si>
  <si>
    <t>NC State Ports Authority (subset of DOT)</t>
  </si>
  <si>
    <t>Legislative Retirement System</t>
  </si>
  <si>
    <t>Bladen County</t>
  </si>
  <si>
    <t>Town Of Sunset Beach</t>
  </si>
  <si>
    <t>Town Of Biltmore Forest</t>
  </si>
  <si>
    <t>Town Of Black Mountain</t>
  </si>
  <si>
    <t>Rutherford County</t>
  </si>
  <si>
    <t>Rutherford Polk Mcdowell Dist Brd Of Health</t>
  </si>
  <si>
    <t>Town Of Forest City</t>
  </si>
  <si>
    <t>Town Of Lake Lure</t>
  </si>
  <si>
    <t>Washington County</t>
  </si>
  <si>
    <t>Town Of Blowing Rock</t>
  </si>
  <si>
    <t>Town Of Black Creek</t>
  </si>
  <si>
    <t>Prior proportional share</t>
  </si>
  <si>
    <t>Current proportional share</t>
  </si>
  <si>
    <t>3XXXX</t>
  </si>
  <si>
    <t>Contributions to plan</t>
  </si>
  <si>
    <t>Total Plan - FYE 2018</t>
  </si>
  <si>
    <t xml:space="preserve">Enter the amount of contributions subsequent to the measurement date for the fiscal year ended June 30, 2018.  </t>
  </si>
  <si>
    <t>Deferred Outflow - contributions subsequent to the measurement date</t>
  </si>
  <si>
    <t>Net OPEB Liability BOY</t>
  </si>
  <si>
    <t>Net OPEB Liability EOY</t>
  </si>
  <si>
    <t>Net position</t>
  </si>
  <si>
    <t>DO - Contributions subsequent to measurement date</t>
  </si>
  <si>
    <t>OPEB plan contributions</t>
  </si>
  <si>
    <t>K.1</t>
  </si>
  <si>
    <t xml:space="preserve"> K.1 </t>
  </si>
  <si>
    <t>OPEB - Change in Proportion and Differences in Employer Contributions and Proportionate Share of Contributions</t>
  </si>
  <si>
    <t>OPEB - Differences Between Actual and Expected Experience</t>
  </si>
  <si>
    <t>OPEB - Changes in Assumptions</t>
  </si>
  <si>
    <t>OPEB - Net Difference Between Actual and Expected Earnings on Plan Investments</t>
  </si>
  <si>
    <t>Pensions - Contributions subsequent to measurement date</t>
  </si>
  <si>
    <t>OPEB - Contributions subsequent to the measurement date</t>
  </si>
  <si>
    <t>Proportional Share Of OPEB Expense</t>
  </si>
  <si>
    <t>NO AGENCY CHOSEN</t>
  </si>
  <si>
    <t>DEPARTMENT OF NATURAL AND CULTURAL RESOURCES</t>
  </si>
  <si>
    <t>STATE DIVISION OF HEALTH SERVICES</t>
  </si>
  <si>
    <t>DEPT OF AGRICULTURE &amp; CONSUMER SVCS.</t>
  </si>
  <si>
    <t>UNC-CHAPEL HILL CB1260</t>
  </si>
  <si>
    <t>CLEVELAND COMMUNITY COLLEGE</t>
  </si>
  <si>
    <t>NEW BERN CRAVEN COUNTY BOARD OF EDUCATION</t>
  </si>
  <si>
    <t>INVEST COLLEGIATE CHARTER (DAVIDSON)</t>
  </si>
  <si>
    <t>IREDELL-STATESVILLE SCHOOLS</t>
  </si>
  <si>
    <t>AMERICAN RENAISSANCE MID SCHOOL</t>
  </si>
  <si>
    <t>LEE COUNTY SCHOOLS</t>
  </si>
  <si>
    <t>CORVIAN COMMUNITY CHARTER SCHOOL</t>
  </si>
  <si>
    <t>FERNLEAF COMMUNITY CHARTER</t>
  </si>
  <si>
    <t>NASH COMMUNITY COLLEGE</t>
  </si>
  <si>
    <t>CHAPEL HILL - CARRBORO CITY SCHOOLS</t>
  </si>
  <si>
    <t>WAKE COUNTY PUBLIC SCHOOLS SYSTEM</t>
  </si>
  <si>
    <t>EAST WAKE FIRST ACADEMY</t>
  </si>
  <si>
    <t>Measurement Year Contributions</t>
  </si>
  <si>
    <t>Deferred Outflow - Net Difference Between Projected and Actual Investment Earnings on Plan Investments - All Years</t>
  </si>
  <si>
    <t>OPEB contributions RHBF - Regular instructional services (5100)</t>
  </si>
  <si>
    <t>OPEB contributions RHBF - School leadership services (5400)</t>
  </si>
  <si>
    <t>OPEB contributions RHBF - Co-curricular services (5500)</t>
  </si>
  <si>
    <t>OPEB contributions RHBF - School-based support services (5800)</t>
  </si>
  <si>
    <t>OPEB contributions RHBF - Support and development services (6100)</t>
  </si>
  <si>
    <t>OPEB contributions RHBF - Special pop. support &amp; develop. ser. (6200)</t>
  </si>
  <si>
    <t>OPEB contributions RHBF - Alternative prog. &amp; ser. sup &amp; dev. ser. (6300)</t>
  </si>
  <si>
    <t>OPEB contributions RHBF - Technology support services (6400)</t>
  </si>
  <si>
    <t>OPEB contributions RHBF - Operational support services (6500)</t>
  </si>
  <si>
    <t>OPEB contributions RHBF - Financial &amp; HR services (6600)</t>
  </si>
  <si>
    <t>OPEB contributions RHBF - Accountablilty services (6700)</t>
  </si>
  <si>
    <t>OPEB contributions RHBF - System-wide pupil support services (6800)</t>
  </si>
  <si>
    <t>OPEB contributions RHBF - Policy, leadership &amp; PR services (6900)</t>
  </si>
  <si>
    <t>OPEB contributions RHBF - Ancillary services (7000)</t>
  </si>
  <si>
    <t>OPEB contributions RHBF - Non-programmed charges (8000)</t>
  </si>
  <si>
    <t>DO - contributions RHBF  subsequent to measurement date</t>
  </si>
  <si>
    <t>DO - OPEB contributions (RHBF) subsequent to measurement date</t>
  </si>
  <si>
    <t>OPEB contributions RHBF - Special populations services (5200)</t>
  </si>
  <si>
    <t>OPEB contributions RHBF - Alternative programs and services (5300)</t>
  </si>
  <si>
    <t>DO - OPEB contributions RHBF  subsequent to measurement date</t>
  </si>
  <si>
    <t xml:space="preserve">This worksheet prepares the journal entry to record the entity's proportionate share of the net OPEB liability, OPEB expense, and deferred outflows of the Teachers' and State Employees' Retirement System (TSERS) in accordance with GASB 68, with the exception of the accounting for current year contributions to the TSERS plan.  See H. for accounting for current year contributions to the TSERS plan.
Note:  Rows 23-99 which contain the full accrual journal entry that feeds the journal entry that is presented in Part A have been hidden.  Unhide these rows to view the full accrual journal entry details.  </t>
  </si>
  <si>
    <t>Total Employer OPEB Expense*</t>
  </si>
  <si>
    <t>OPEB Expense - Actuary</t>
  </si>
  <si>
    <t>OPEB Expense - Measurement period contributions b/w Actuary and Agency</t>
  </si>
  <si>
    <t>OPEB Expense - Rounding</t>
  </si>
  <si>
    <t>Governmental Funds - OPEB allocation percentage</t>
  </si>
  <si>
    <t>Enterprise Funds - OPEB allocation percentage</t>
  </si>
  <si>
    <t>Net OPEB Liability/Asset</t>
  </si>
  <si>
    <t>OPEB Expense - Regular instructional services (5100)</t>
  </si>
  <si>
    <t>OPEB Expense - Special populations services (5200)</t>
  </si>
  <si>
    <t>OPEB Expense - Alternative programs and services (5300)</t>
  </si>
  <si>
    <t>OPEB Expense - School leadership services (5400)</t>
  </si>
  <si>
    <t>OPEB Expense - Co-curricular services (5500)</t>
  </si>
  <si>
    <t>OPEB Expense - School-based support services (5800)</t>
  </si>
  <si>
    <t>OPEB Expense - Support and development services (6100)</t>
  </si>
  <si>
    <t>OPEB Expense - Special pop. support &amp; develop. ser. (6200)</t>
  </si>
  <si>
    <t>OPEB Expense - Alternative prog. &amp; ser. sup &amp; dev. ser. (6300)</t>
  </si>
  <si>
    <t>OPEB Expense - Technology support services (6400)</t>
  </si>
  <si>
    <t>OPEB Expense - Operational support services (6500)</t>
  </si>
  <si>
    <t>OPEB Expense - Financial &amp; HR services (6600)</t>
  </si>
  <si>
    <t>OPEB Expense - Accountablilty services (6700)</t>
  </si>
  <si>
    <t>OPEB Expense - System-wide pupil support services (6800)</t>
  </si>
  <si>
    <t>OPEB Expense - Policy, leadership &amp; PR services (6900)</t>
  </si>
  <si>
    <t>OPEB Expense - Ancillary services (7000)</t>
  </si>
  <si>
    <t>OPEB Expense - Non-programmed charges (8000)</t>
  </si>
  <si>
    <t>OPEB Expense DIPNC - Regular instructional services (5100)</t>
  </si>
  <si>
    <t>OPEB Expense DIPNC - Special populations services (5200)</t>
  </si>
  <si>
    <t>OPEB Expense DIPNC - Alternative programs and services (5300)</t>
  </si>
  <si>
    <t>OPEB Expense DIPNC - School leadership services (5400)</t>
  </si>
  <si>
    <t>OPEB Expense DIPNC - Co-curricular services (5500)</t>
  </si>
  <si>
    <t>OPEB Expense DIPNC - School-based support services (5800)</t>
  </si>
  <si>
    <t>OPEB Expense DIPNC - Support and development services (6100)</t>
  </si>
  <si>
    <t>OPEB Expense DIPNC - Special pop. support &amp; develop. ser. (6200)</t>
  </si>
  <si>
    <t>OPEB Expense DIPNC - Alternative prog. &amp; ser. sup &amp; dev. ser. (6300)</t>
  </si>
  <si>
    <t>OPEB Expense DIPNC - Technology support services (6400)</t>
  </si>
  <si>
    <t>OPEB Expense DIPNC - Operational support services (6500)</t>
  </si>
  <si>
    <t>OPEB Expense DIPNC - Financial &amp; HR services (6600)</t>
  </si>
  <si>
    <t>OPEB Expense DIPNC - Accountablilty services (6700)</t>
  </si>
  <si>
    <t>OPEB Expense DIPNC - System-wide pupil support services (6800)</t>
  </si>
  <si>
    <t>OPEB Expense DIPNC - Policy, leadership &amp; PR services (6900)</t>
  </si>
  <si>
    <t>OPEB Expense DIPNC - Ancillary services (7000)</t>
  </si>
  <si>
    <t>OPEB Expense DIPNC - Non-programmed charges (8000)</t>
  </si>
  <si>
    <t>OPEB contributions DIPNC - Regular instructional services (5100)</t>
  </si>
  <si>
    <t>OPEB contributions DIPNC - Special populations services (5200)</t>
  </si>
  <si>
    <t>OPEB contributions DIPNC - Alternative programs and services (5300)</t>
  </si>
  <si>
    <t>OPEB contributions DIPNC - School leadership services (5400)</t>
  </si>
  <si>
    <t>OPEB contributions DIPNC - Co-curricular services (5500)</t>
  </si>
  <si>
    <t>OPEB contributions DIPNC - School-based support services (5800)</t>
  </si>
  <si>
    <t>OPEB contributions DIPNC - Support and development services (6100)</t>
  </si>
  <si>
    <t>OPEB contributions DIPNC - Special pop. support &amp; develop. ser. (6200)</t>
  </si>
  <si>
    <t>OPEB contributions DIPNC - Alternative prog. &amp; ser. sup &amp; dev. ser. (6300)</t>
  </si>
  <si>
    <t>OPEB contributions DIPNC - Technology support services (6400)</t>
  </si>
  <si>
    <t>OPEB contributions DIPNC - Operational support services (6500)</t>
  </si>
  <si>
    <t>OPEB contributions DIPNC - Financial &amp; HR services (6600)</t>
  </si>
  <si>
    <t>OPEB contributions DIPNC - Accountablilty services (6700)</t>
  </si>
  <si>
    <t>OPEB contributions DIPNC - System-wide pupil support services (6800)</t>
  </si>
  <si>
    <t>OPEB contributions DIPNC - Policy, leadership &amp; PR services (6900)</t>
  </si>
  <si>
    <t>OPEB contributions DIPNC - Ancillary services (7000)</t>
  </si>
  <si>
    <t>OPEB contributions DIPNC - Non-programmed charges (8000)</t>
  </si>
  <si>
    <t>GASB 75 Entries - DIPNC</t>
  </si>
  <si>
    <t>Measurement date 06/30/2017</t>
  </si>
  <si>
    <t>Recognition period - 4.00 years</t>
  </si>
  <si>
    <t>Beg Net Pension Liability</t>
  </si>
  <si>
    <t>Ending Net Pension Liability</t>
  </si>
  <si>
    <t>Enter the amount of contributions subsequent to the measurement date that you recorded as a deferred outflow of resources in your June 30, 2017 financial statement for TSERS</t>
  </si>
  <si>
    <t>Measurement year contributions</t>
  </si>
  <si>
    <t>Adjustment to Beginning Fund Equity for OPEB Accts</t>
  </si>
  <si>
    <t>L.1</t>
  </si>
  <si>
    <t>L.</t>
  </si>
  <si>
    <t xml:space="preserve">Carolina County Board of Education </t>
  </si>
  <si>
    <t>Entry for Conversion worksheet to record proportionate share of net OPEBs liability, OPEB expense, and deferred outflows and deferred inflows of resources related to OPEBs.  (Entry L1)</t>
  </si>
  <si>
    <t>Entry for Conversion worksheet to record proportionate share of net OPEBs liability, OPEB expense, and deferred outflows and deferred inflows of resources related to OPEBs.  (Entry K1)</t>
  </si>
  <si>
    <t>Work Section for Conversion entry L1</t>
  </si>
  <si>
    <t>Work Section for Conversion entry K1</t>
  </si>
  <si>
    <t>GASB 75 Entries - RHBF</t>
  </si>
  <si>
    <t>CAROLINA COUNTY BOARD OF EDUCATION</t>
  </si>
  <si>
    <t xml:space="preserve"> K-L </t>
  </si>
  <si>
    <t>Restricted for Net Pension/OPEB Asset</t>
  </si>
  <si>
    <t>Restricted for pensions/OPEB</t>
  </si>
  <si>
    <r>
      <t>Entries from</t>
    </r>
    <r>
      <rPr>
        <b/>
        <sz val="9"/>
        <color indexed="10"/>
        <rFont val="Arial"/>
        <family val="2"/>
      </rPr>
      <t xml:space="preserve"> Worksheets B to H, J, K, and L</t>
    </r>
  </si>
  <si>
    <t>Due to other governments</t>
  </si>
  <si>
    <t>Capital Outlay</t>
  </si>
  <si>
    <t>Indicate any amounts from step a. that would qualify as a "special item".</t>
  </si>
  <si>
    <r>
      <t xml:space="preserve"> </t>
    </r>
    <r>
      <rPr>
        <b/>
        <sz val="8"/>
        <color indexed="10"/>
        <rFont val="Arial"/>
        <family val="2"/>
      </rPr>
      <t>Eliminates intra-governmental</t>
    </r>
  </si>
  <si>
    <r>
      <t xml:space="preserve">   activity</t>
    </r>
    <r>
      <rPr>
        <b/>
        <sz val="10"/>
        <rFont val="Arial"/>
        <family val="2"/>
      </rPr>
      <t xml:space="preserve"> </t>
    </r>
  </si>
  <si>
    <t>Alternative Progrms &amp; Services Support &amp; Development Services (6300)</t>
  </si>
  <si>
    <t>Restricted for Special population support &amp; development services (6200)</t>
  </si>
  <si>
    <t>Restricted for Policy, leadership &amp; public relations services (6900)</t>
  </si>
  <si>
    <t>What was the amount of transfers between governmental funds? The amount transferred in and out will be the same.  (Includes Local Current Expense Fund, State Public School Fund, Federal Grants Funds, Capital Outlay Fund and Individual Schools Fund ).</t>
  </si>
  <si>
    <t>Reserved for future use</t>
  </si>
  <si>
    <r>
      <t xml:space="preserve">This worksheet prepares the journal entry to record the entity's proportionate share of the net pension liability, pension expense, and deferred outflows of the Teachers' and State Employees' Retirement System (TSERS) in accordance with GASB 68, with the exception of the accounting for current year contributions to the TSERS plan.  See H. for accounting for current year contributions to the TSERS plan.
</t>
    </r>
    <r>
      <rPr>
        <b/>
        <sz val="10"/>
        <color rgb="FF000000"/>
        <rFont val="Arial"/>
        <family val="2"/>
      </rPr>
      <t>Note</t>
    </r>
    <r>
      <rPr>
        <sz val="10"/>
        <color rgb="FF000000"/>
        <rFont val="Arial"/>
        <family val="2"/>
      </rPr>
      <t xml:space="preserve">:  Rows 23-99 which contain the full accrual journal entry that feeds the journal entry that is presented in Part A have been hidden.  Unhide these rows to view the full accrual journal entry details.  </t>
    </r>
  </si>
  <si>
    <t xml:space="preserve">This amount is the sum of two accounts: Beginning Fund Balance and Change in Net Position after all conversion entries have been posted. Check the Conversion Worksheet, Statement of Net Position columns (Column AR and AS) to determine this amount. </t>
  </si>
  <si>
    <r>
      <t xml:space="preserve">GASB 34 Conversion Worksheet for Charter Schools
</t>
    </r>
    <r>
      <rPr>
        <b/>
        <sz val="12"/>
        <rFont val="Arial"/>
        <family val="2"/>
      </rPr>
      <t>General Instructions for Use</t>
    </r>
  </si>
  <si>
    <t xml:space="preserve">DO  </t>
  </si>
  <si>
    <t xml:space="preserve">DI   </t>
  </si>
  <si>
    <t>Capital Assets, L-T Debt</t>
  </si>
  <si>
    <t>&amp; Beginning Pension Accts</t>
  </si>
  <si>
    <t>Net OPEB asset</t>
  </si>
  <si>
    <t>Net OPEB liability</t>
  </si>
  <si>
    <t>Net OPEB obligation</t>
  </si>
  <si>
    <t>Note 4: Entry for:</t>
  </si>
  <si>
    <t>Accounts in tan have multiple lines to which entries are posted.</t>
  </si>
  <si>
    <r>
      <t xml:space="preserve">Note 6: Reclassifications, eliminations, and consolidation entries - </t>
    </r>
    <r>
      <rPr>
        <b/>
        <sz val="10"/>
        <color indexed="10"/>
        <rFont val="Arial"/>
        <family val="2"/>
      </rPr>
      <t xml:space="preserve">Worksheet </t>
    </r>
    <r>
      <rPr>
        <b/>
        <sz val="10"/>
        <color indexed="10"/>
        <rFont val="Times New Roman"/>
        <family val="1"/>
      </rPr>
      <t>I</t>
    </r>
  </si>
  <si>
    <r>
      <rPr>
        <b/>
        <sz val="10.5"/>
        <color rgb="FFFF0000"/>
        <rFont val="Arial"/>
        <family val="2"/>
      </rPr>
      <t xml:space="preserve">Beginning </t>
    </r>
    <r>
      <rPr>
        <b/>
        <u val="singleAccounting"/>
        <sz val="10.5"/>
        <color rgb="FFFF0000"/>
        <rFont val="Arial"/>
        <family val="2"/>
      </rPr>
      <t>Balances</t>
    </r>
    <r>
      <rPr>
        <b/>
        <sz val="10.5"/>
        <color rgb="FFFF0000"/>
        <rFont val="Arial"/>
        <family val="2"/>
      </rPr>
      <t>:  Capital Assets, L-T Debt, Pension and OPEB.</t>
    </r>
  </si>
  <si>
    <t>Other Fund #4</t>
  </si>
  <si>
    <t>Cardinal Charter, Inc.</t>
  </si>
  <si>
    <t>Clubs and Activities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</si>
</sst>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41" formatCode="_(* #,##0_);_(* \(#,##0\);_(* &quot;-&quot;_);_(@_)"/>
    <numFmt numFmtId="44" formatCode="_(&quot;$&quot;* #,##0.00_);_(&quot;$&quot;* \(#,##0.00\);_(&quot;$&quot;* &quot;-&quot;??_);_(@_)"/>
    <numFmt numFmtId="43" formatCode="_(* #,##0.00_);_(* \(#,##0.00\);_(* &quot;-&quot;??_);_(@_)"/>
    <numFmt numFmtId="164" formatCode="_(* #,##0_);_(* \(#,##0\);_(* &quot;-&quot;??_);_(@_)"/>
    <numFmt numFmtId="165" formatCode="_(&quot;$&quot;* #,##0_);_(&quot;$&quot;* \(#,##0\);_(&quot;$&quot;* &quot;-&quot;??_);_(@_)"/>
    <numFmt numFmtId="166" formatCode="0.0000"/>
    <numFmt numFmtId="167" formatCode="0.00000"/>
    <numFmt numFmtId="168" formatCode="_(* #,##0_);_(* \(#,##0\);_(* &quot;-&quot;????_);_(@_)"/>
    <numFmt numFmtId="169" formatCode="0.000000%"/>
    <numFmt numFmtId="170" formatCode="0.00000%"/>
    <numFmt numFmtId="171" formatCode="_(* #,##0.0_);_(* \(#,##0.0\);_(* &quot;-&quot;??_);_(@_)"/>
    <numFmt numFmtId="172" formatCode="0.0000%"/>
    <numFmt numFmtId="173" formatCode="_(* #,##0.0000000_);_(* \(#,##0.0000000\);_(* &quot;-&quot;??_);_(@_)"/>
  </numFmts>
  <fonts count="85"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indexed="10"/>
      <name val="Arial"/>
      <family val="2"/>
    </font>
    <font>
      <b/>
      <sz val="10"/>
      <name val="Arial"/>
      <family val="2"/>
    </font>
    <font>
      <sz val="8"/>
      <color indexed="10"/>
      <name val="Arial"/>
      <family val="2"/>
    </font>
    <font>
      <sz val="10"/>
      <name val="Arial"/>
      <family val="2"/>
    </font>
    <font>
      <sz val="8"/>
      <name val="Arial"/>
      <family val="2"/>
    </font>
    <font>
      <sz val="8"/>
      <color indexed="81"/>
      <name val="Tahoma"/>
      <family val="2"/>
    </font>
    <font>
      <b/>
      <sz val="8"/>
      <color indexed="81"/>
      <name val="Tahoma"/>
      <family val="2"/>
    </font>
    <font>
      <b/>
      <sz val="14"/>
      <name val="Arial"/>
      <family val="2"/>
    </font>
    <font>
      <sz val="10"/>
      <color indexed="12"/>
      <name val="Arial"/>
      <family val="2"/>
    </font>
    <font>
      <b/>
      <sz val="10"/>
      <color indexed="10"/>
      <name val="Arial"/>
      <family val="2"/>
    </font>
    <font>
      <i/>
      <sz val="10"/>
      <color indexed="10"/>
      <name val="Arial"/>
      <family val="2"/>
    </font>
    <font>
      <i/>
      <sz val="10"/>
      <name val="Arial"/>
      <family val="2"/>
    </font>
    <font>
      <sz val="12"/>
      <name val="Wingdings 2"/>
      <family val="1"/>
      <charset val="2"/>
    </font>
    <font>
      <b/>
      <sz val="10"/>
      <color indexed="17"/>
      <name val="Arial"/>
      <family val="2"/>
    </font>
    <font>
      <u/>
      <sz val="10"/>
      <name val="Arial"/>
      <family val="2"/>
    </font>
    <font>
      <sz val="11"/>
      <name val="Wingdings 2"/>
      <family val="1"/>
      <charset val="2"/>
    </font>
    <font>
      <b/>
      <sz val="10"/>
      <color indexed="10"/>
      <name val="Comic Sans MS"/>
      <family val="4"/>
    </font>
    <font>
      <i/>
      <sz val="8"/>
      <name val="Arial"/>
      <family val="2"/>
    </font>
    <font>
      <i/>
      <u/>
      <sz val="10"/>
      <name val="Arial"/>
      <family val="2"/>
    </font>
    <font>
      <b/>
      <sz val="12"/>
      <name val="Arial"/>
      <family val="2"/>
    </font>
    <font>
      <b/>
      <sz val="9"/>
      <color indexed="10"/>
      <name val="Arial"/>
      <family val="2"/>
    </font>
    <font>
      <b/>
      <sz val="12"/>
      <name val="Wingdings 2"/>
      <family val="1"/>
      <charset val="2"/>
    </font>
    <font>
      <sz val="9"/>
      <name val="Arial"/>
      <family val="2"/>
    </font>
    <font>
      <b/>
      <sz val="8"/>
      <name val="Arial"/>
      <family val="2"/>
    </font>
    <font>
      <b/>
      <u/>
      <sz val="10"/>
      <color indexed="10"/>
      <name val="Arial"/>
      <family val="2"/>
    </font>
    <font>
      <sz val="10"/>
      <name val="Times New Roman"/>
      <family val="1"/>
    </font>
    <font>
      <b/>
      <sz val="10"/>
      <name val="Times New Roman"/>
      <family val="1"/>
    </font>
    <font>
      <sz val="9"/>
      <name val="Times New Roman"/>
      <family val="1"/>
    </font>
    <font>
      <b/>
      <sz val="8"/>
      <color indexed="10"/>
      <name val="Arial"/>
      <family val="2"/>
    </font>
    <font>
      <sz val="13"/>
      <name val="Wingdings 2"/>
      <family val="1"/>
      <charset val="2"/>
    </font>
    <font>
      <b/>
      <sz val="11"/>
      <name val="Times New Roman"/>
      <family val="1"/>
    </font>
    <font>
      <b/>
      <sz val="7"/>
      <color indexed="10"/>
      <name val="Arial"/>
      <family val="2"/>
    </font>
    <font>
      <b/>
      <u/>
      <sz val="10"/>
      <name val="Arial"/>
      <family val="2"/>
    </font>
    <font>
      <sz val="11"/>
      <name val="Times New Roman"/>
      <family val="1"/>
    </font>
    <font>
      <u/>
      <sz val="10"/>
      <color indexed="10"/>
      <name val="Arial"/>
      <family val="2"/>
    </font>
    <font>
      <sz val="9"/>
      <color indexed="10"/>
      <name val="Arial"/>
      <family val="2"/>
    </font>
    <font>
      <b/>
      <sz val="9"/>
      <name val="Arial"/>
      <family val="2"/>
    </font>
    <font>
      <sz val="11"/>
      <name val="Arial"/>
      <family val="2"/>
    </font>
    <font>
      <i/>
      <sz val="11"/>
      <name val="Times New Roman"/>
      <family val="1"/>
    </font>
    <font>
      <sz val="8"/>
      <color indexed="10"/>
      <name val="Arial"/>
      <family val="2"/>
    </font>
    <font>
      <b/>
      <i/>
      <sz val="10"/>
      <color indexed="10"/>
      <name val="Arial"/>
      <family val="2"/>
    </font>
    <font>
      <sz val="10"/>
      <name val="Arial"/>
      <family val="2"/>
    </font>
    <font>
      <sz val="10"/>
      <name val="Arial"/>
      <family val="2"/>
    </font>
    <font>
      <b/>
      <sz val="11"/>
      <color theme="1"/>
      <name val="Calibri"/>
      <family val="2"/>
      <scheme val="minor"/>
    </font>
    <font>
      <b/>
      <sz val="11"/>
      <color rgb="FF000000"/>
      <name val="Calibri"/>
      <family val="2"/>
      <scheme val="minor"/>
    </font>
    <font>
      <sz val="10"/>
      <color rgb="FF000000"/>
      <name val="Arial"/>
      <family val="2"/>
    </font>
    <font>
      <sz val="10"/>
      <color rgb="FFFF0000"/>
      <name val="Arial"/>
      <family val="2"/>
    </font>
    <font>
      <b/>
      <i/>
      <sz val="10"/>
      <color rgb="FFFF0000"/>
      <name val="Arial"/>
      <family val="2"/>
    </font>
    <font>
      <b/>
      <sz val="10"/>
      <color rgb="FFFF0000"/>
      <name val="Arial"/>
      <family val="2"/>
    </font>
    <font>
      <sz val="11"/>
      <name val="Calibri"/>
      <family val="2"/>
      <scheme val="minor"/>
    </font>
    <font>
      <b/>
      <sz val="11"/>
      <color rgb="FFFF0000"/>
      <name val="Calibri"/>
      <family val="2"/>
      <scheme val="minor"/>
    </font>
    <font>
      <sz val="11"/>
      <color rgb="FFFF0000"/>
      <name val="Calibri"/>
      <family val="2"/>
      <scheme val="minor"/>
    </font>
    <font>
      <sz val="10"/>
      <color theme="1"/>
      <name val="Arial"/>
      <family val="2"/>
    </font>
    <font>
      <sz val="12"/>
      <name val="Times New Roman"/>
      <family val="1"/>
    </font>
    <font>
      <b/>
      <sz val="12"/>
      <color rgb="FFFF0000"/>
      <name val="Times New Roman"/>
      <family val="1"/>
    </font>
    <font>
      <sz val="10"/>
      <color indexed="8"/>
      <name val="Arial"/>
      <family val="2"/>
    </font>
    <font>
      <b/>
      <sz val="16"/>
      <name val="Times New Roman"/>
      <family val="1"/>
    </font>
    <font>
      <b/>
      <sz val="16"/>
      <name val="Arial"/>
      <family val="2"/>
    </font>
    <font>
      <b/>
      <sz val="12"/>
      <name val="Times New Roman"/>
      <family val="1"/>
    </font>
    <font>
      <sz val="12"/>
      <name val="Arial"/>
      <family val="2"/>
    </font>
    <font>
      <b/>
      <sz val="11"/>
      <name val="Arial"/>
      <family val="2"/>
    </font>
    <font>
      <sz val="10"/>
      <color theme="1"/>
      <name val="Times New Roman"/>
      <family val="1"/>
    </font>
    <font>
      <sz val="9"/>
      <color theme="1"/>
      <name val="Arial"/>
      <family val="2"/>
    </font>
    <font>
      <u/>
      <sz val="12"/>
      <name val="Times New Roman"/>
      <family val="1"/>
    </font>
    <font>
      <b/>
      <sz val="9"/>
      <color indexed="81"/>
      <name val="Tahoma"/>
      <family val="2"/>
    </font>
    <font>
      <sz val="9"/>
      <color indexed="81"/>
      <name val="Tahoma"/>
      <family val="2"/>
    </font>
    <font>
      <b/>
      <sz val="11"/>
      <name val="Calibri"/>
      <family val="2"/>
      <scheme val="minor"/>
    </font>
    <font>
      <sz val="11"/>
      <color rgb="FF000000"/>
      <name val="Calibri"/>
      <family val="2"/>
      <scheme val="minor"/>
    </font>
    <font>
      <b/>
      <sz val="10"/>
      <color rgb="FFFF0000"/>
      <name val="Comic Sans MS"/>
      <family val="4"/>
    </font>
    <font>
      <b/>
      <sz val="10"/>
      <color rgb="FF000000"/>
      <name val="Arial"/>
      <family val="2"/>
    </font>
    <font>
      <sz val="10"/>
      <color theme="9" tint="-0.249977111117893"/>
      <name val="Arial"/>
      <family val="2"/>
    </font>
    <font>
      <b/>
      <sz val="12"/>
      <color theme="1"/>
      <name val="Calibri"/>
      <family val="2"/>
      <scheme val="minor"/>
    </font>
    <font>
      <b/>
      <u/>
      <sz val="11"/>
      <name val="Arial"/>
      <family val="2"/>
    </font>
    <font>
      <b/>
      <sz val="10"/>
      <color indexed="10"/>
      <name val="Times New Roman"/>
      <family val="1"/>
    </font>
    <font>
      <b/>
      <sz val="10.5"/>
      <color indexed="10"/>
      <name val="Arial"/>
      <family val="2"/>
    </font>
    <font>
      <b/>
      <sz val="10.5"/>
      <color rgb="FFFF0000"/>
      <name val="Arial"/>
      <family val="2"/>
    </font>
    <font>
      <b/>
      <u val="singleAccounting"/>
      <sz val="10.5"/>
      <color rgb="FFFF0000"/>
      <name val="Arial"/>
      <family val="2"/>
    </font>
    <font>
      <b/>
      <sz val="14"/>
      <color theme="1"/>
      <name val="Arial"/>
      <family val="2"/>
    </font>
  </fonts>
  <fills count="16">
    <fill>
      <patternFill patternType="none"/>
    </fill>
    <fill>
      <patternFill patternType="gray125"/>
    </fill>
    <fill>
      <patternFill patternType="solid">
        <fgColor indexed="43"/>
        <bgColor indexed="64"/>
      </patternFill>
    </fill>
    <fill>
      <patternFill patternType="solid">
        <fgColor indexed="42"/>
        <bgColor indexed="64"/>
      </patternFill>
    </fill>
    <fill>
      <patternFill patternType="solid">
        <fgColor indexed="41"/>
        <bgColor indexed="64"/>
      </patternFill>
    </fill>
    <fill>
      <patternFill patternType="solid">
        <fgColor indexed="22"/>
        <bgColor indexed="64"/>
      </patternFill>
    </fill>
    <fill>
      <patternFill patternType="solid">
        <fgColor indexed="47"/>
        <bgColor indexed="64"/>
      </patternFill>
    </fill>
    <fill>
      <patternFill patternType="solid">
        <fgColor indexed="45"/>
        <bgColor indexed="64"/>
      </patternFill>
    </fill>
    <fill>
      <patternFill patternType="solid">
        <fgColor indexed="27"/>
        <bgColor indexed="64"/>
      </patternFill>
    </fill>
    <fill>
      <patternFill patternType="solid">
        <fgColor theme="4" tint="0.79998168889431442"/>
        <bgColor indexed="64"/>
      </patternFill>
    </fill>
    <fill>
      <patternFill patternType="solid">
        <fgColor rgb="FFFFFF00"/>
        <bgColor indexed="64"/>
      </patternFill>
    </fill>
    <fill>
      <patternFill patternType="solid">
        <fgColor theme="0" tint="-0.14999847407452621"/>
        <bgColor indexed="64"/>
      </patternFill>
    </fill>
    <fill>
      <patternFill patternType="solid">
        <fgColor theme="0"/>
        <bgColor indexed="64"/>
      </patternFill>
    </fill>
    <fill>
      <patternFill patternType="solid">
        <fgColor rgb="FFFFFF99"/>
        <bgColor indexed="64"/>
      </patternFill>
    </fill>
    <fill>
      <patternFill patternType="solid">
        <fgColor rgb="FFFFCC99"/>
        <bgColor rgb="FF000000"/>
      </patternFill>
    </fill>
    <fill>
      <patternFill patternType="solid">
        <fgColor rgb="FFFFCCFF"/>
        <bgColor indexed="64"/>
      </patternFill>
    </fill>
  </fills>
  <borders count="56">
    <border>
      <left/>
      <right/>
      <top/>
      <bottom/>
      <diagonal/>
    </border>
    <border>
      <left/>
      <right/>
      <top/>
      <bottom style="thin">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top style="thin">
        <color indexed="64"/>
      </top>
      <bottom style="double">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style="medium">
        <color indexed="64"/>
      </right>
      <top/>
      <bottom/>
      <diagonal/>
    </border>
    <border>
      <left/>
      <right style="medium">
        <color indexed="64"/>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right style="thin">
        <color indexed="64"/>
      </right>
      <top style="thin">
        <color indexed="64"/>
      </top>
      <bottom/>
      <diagonal/>
    </border>
    <border>
      <left/>
      <right/>
      <top style="medium">
        <color indexed="64"/>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diagonal/>
    </border>
    <border>
      <left/>
      <right/>
      <top style="double">
        <color indexed="64"/>
      </top>
      <bottom/>
      <diagonal/>
    </border>
    <border>
      <left/>
      <right style="medium">
        <color indexed="64"/>
      </right>
      <top style="thin">
        <color indexed="64"/>
      </top>
      <bottom style="thin">
        <color indexed="64"/>
      </bottom>
      <diagonal/>
    </border>
    <border>
      <left style="medium">
        <color indexed="64"/>
      </left>
      <right/>
      <top style="thin">
        <color indexed="64"/>
      </top>
      <bottom style="double">
        <color indexed="64"/>
      </bottom>
      <diagonal/>
    </border>
    <border>
      <left/>
      <right style="medium">
        <color indexed="64"/>
      </right>
      <top style="thin">
        <color indexed="64"/>
      </top>
      <bottom style="double">
        <color indexed="64"/>
      </bottom>
      <diagonal/>
    </border>
    <border>
      <left/>
      <right style="medium">
        <color indexed="64"/>
      </right>
      <top style="thin">
        <color indexed="64"/>
      </top>
      <bottom/>
      <diagonal/>
    </border>
    <border>
      <left style="thin">
        <color indexed="64"/>
      </left>
      <right/>
      <top style="medium">
        <color indexed="64"/>
      </top>
      <bottom/>
      <diagonal/>
    </border>
    <border>
      <left style="medium">
        <color indexed="64"/>
      </left>
      <right/>
      <top style="thin">
        <color indexed="64"/>
      </top>
      <bottom/>
      <diagonal/>
    </border>
    <border>
      <left style="medium">
        <color indexed="64"/>
      </left>
      <right/>
      <top style="medium">
        <color indexed="64"/>
      </top>
      <bottom style="thin">
        <color indexed="64"/>
      </bottom>
      <diagonal/>
    </border>
    <border>
      <left/>
      <right style="thin">
        <color indexed="64"/>
      </right>
      <top style="thin">
        <color indexed="64"/>
      </top>
      <bottom style="thin">
        <color indexed="64"/>
      </bottom>
      <diagonal/>
    </border>
    <border>
      <left/>
      <right/>
      <top/>
      <bottom style="thin">
        <color indexed="8"/>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double">
        <color indexed="64"/>
      </top>
      <bottom style="medium">
        <color indexed="64"/>
      </bottom>
      <diagonal/>
    </border>
    <border>
      <left style="thick">
        <color indexed="64"/>
      </left>
      <right/>
      <top/>
      <bottom/>
      <diagonal/>
    </border>
    <border>
      <left style="dashed">
        <color indexed="64"/>
      </left>
      <right/>
      <top style="thin">
        <color indexed="64"/>
      </top>
      <bottom/>
      <diagonal/>
    </border>
    <border>
      <left/>
      <right style="dashed">
        <color indexed="64"/>
      </right>
      <top style="thin">
        <color indexed="64"/>
      </top>
      <bottom/>
      <diagonal/>
    </border>
    <border>
      <left style="dashed">
        <color indexed="64"/>
      </left>
      <right/>
      <top/>
      <bottom style="thin">
        <color indexed="64"/>
      </bottom>
      <diagonal/>
    </border>
    <border>
      <left/>
      <right style="dashed">
        <color indexed="64"/>
      </right>
      <top/>
      <bottom style="thin">
        <color indexed="64"/>
      </bottom>
      <diagonal/>
    </border>
    <border>
      <left style="dashed">
        <color indexed="64"/>
      </left>
      <right/>
      <top/>
      <bottom/>
      <diagonal/>
    </border>
    <border>
      <left/>
      <right style="dashed">
        <color indexed="64"/>
      </right>
      <top/>
      <bottom/>
      <diagonal/>
    </border>
    <border>
      <left style="dashed">
        <color indexed="64"/>
      </left>
      <right/>
      <top style="thin">
        <color indexed="64"/>
      </top>
      <bottom style="double">
        <color indexed="64"/>
      </bottom>
      <diagonal/>
    </border>
    <border>
      <left/>
      <right style="dashed">
        <color indexed="64"/>
      </right>
      <top style="thin">
        <color indexed="64"/>
      </top>
      <bottom style="double">
        <color indexed="64"/>
      </bottom>
      <diagonal/>
    </border>
    <border>
      <left style="dashed">
        <color indexed="64"/>
      </left>
      <right/>
      <top/>
      <bottom style="medium">
        <color indexed="64"/>
      </bottom>
      <diagonal/>
    </border>
    <border>
      <left/>
      <right style="dashed">
        <color indexed="64"/>
      </right>
      <top/>
      <bottom style="medium">
        <color indexed="64"/>
      </bottom>
      <diagonal/>
    </border>
    <border>
      <left style="dashed">
        <color indexed="64"/>
      </left>
      <right/>
      <top style="medium">
        <color indexed="64"/>
      </top>
      <bottom/>
      <diagonal/>
    </border>
    <border>
      <left/>
      <right style="dashed">
        <color indexed="64"/>
      </right>
      <top style="medium">
        <color indexed="64"/>
      </top>
      <bottom/>
      <diagonal/>
    </border>
    <border>
      <left/>
      <right style="medium">
        <color indexed="64"/>
      </right>
      <top style="medium">
        <color indexed="64"/>
      </top>
      <bottom style="thin">
        <color indexed="64"/>
      </bottom>
      <diagonal/>
    </border>
  </borders>
  <cellStyleXfs count="22">
    <xf numFmtId="0" fontId="0" fillId="0" borderId="0"/>
    <xf numFmtId="43" fontId="6" fillId="0" borderId="0" applyFont="0" applyFill="0" applyBorder="0" applyAlignment="0" applyProtection="0"/>
    <xf numFmtId="44" fontId="6" fillId="0" borderId="0" applyFont="0" applyFill="0" applyBorder="0" applyAlignment="0" applyProtection="0"/>
    <xf numFmtId="9" fontId="48" fillId="0" borderId="0" applyFont="0" applyFill="0" applyBorder="0" applyAlignment="0" applyProtection="0"/>
    <xf numFmtId="0" fontId="5" fillId="0" borderId="0"/>
    <xf numFmtId="9" fontId="5" fillId="0" borderId="0" applyFont="0" applyFill="0" applyBorder="0" applyAlignment="0" applyProtection="0"/>
    <xf numFmtId="43" fontId="5" fillId="0" borderId="0" applyFont="0" applyFill="0" applyBorder="0" applyAlignment="0" applyProtection="0"/>
    <xf numFmtId="0" fontId="4" fillId="0" borderId="0"/>
    <xf numFmtId="9" fontId="4" fillId="0" borderId="0" applyFont="0" applyFill="0" applyBorder="0" applyAlignment="0" applyProtection="0"/>
    <xf numFmtId="43" fontId="4" fillId="0" borderId="0" applyFont="0" applyFill="0" applyBorder="0" applyAlignment="0" applyProtection="0"/>
    <xf numFmtId="43" fontId="59" fillId="0" borderId="0" applyFont="0" applyFill="0" applyBorder="0" applyAlignment="0" applyProtection="0"/>
    <xf numFmtId="0" fontId="60" fillId="0" borderId="0" applyFill="0" applyBorder="0" applyAlignment="0" applyProtection="0">
      <alignment horizontal="left"/>
    </xf>
    <xf numFmtId="0" fontId="59" fillId="0" borderId="0"/>
    <xf numFmtId="0" fontId="63" fillId="4" borderId="0" applyNumberFormat="0" applyBorder="0">
      <alignment horizontal="centerContinuous"/>
    </xf>
    <xf numFmtId="0" fontId="65" fillId="4" borderId="41" applyNumberFormat="0" applyFont="0" applyBorder="0" applyAlignment="0" applyProtection="0">
      <alignment horizontal="center"/>
    </xf>
    <xf numFmtId="0" fontId="37" fillId="4" borderId="29" applyNumberFormat="0" applyBorder="0">
      <alignment horizontal="center"/>
    </xf>
    <xf numFmtId="0" fontId="3" fillId="0" borderId="0"/>
    <xf numFmtId="9" fontId="3" fillId="0" borderId="0" applyFont="0" applyFill="0" applyBorder="0" applyAlignment="0" applyProtection="0"/>
    <xf numFmtId="43" fontId="3" fillId="0" borderId="0" applyFont="0" applyFill="0" applyBorder="0" applyAlignment="0" applyProtection="0"/>
    <xf numFmtId="0" fontId="2" fillId="0" borderId="0"/>
    <xf numFmtId="9" fontId="2" fillId="0" borderId="0" applyFont="0" applyFill="0" applyBorder="0" applyAlignment="0" applyProtection="0"/>
    <xf numFmtId="43" fontId="2" fillId="0" borderId="0" applyFont="0" applyFill="0" applyBorder="0" applyAlignment="0" applyProtection="0"/>
  </cellStyleXfs>
  <cellXfs count="1120">
    <xf numFmtId="0" fontId="0" fillId="0" borderId="0" xfId="0"/>
    <xf numFmtId="164" fontId="6" fillId="0" borderId="0" xfId="1" applyNumberFormat="1"/>
    <xf numFmtId="0" fontId="7" fillId="0" borderId="0" xfId="0" applyFont="1"/>
    <xf numFmtId="0" fontId="0" fillId="0" borderId="1" xfId="0" applyBorder="1" applyAlignment="1">
      <alignment horizontal="center"/>
    </xf>
    <xf numFmtId="0" fontId="8" fillId="0" borderId="0" xfId="0" applyFont="1"/>
    <xf numFmtId="164" fontId="0" fillId="0" borderId="0" xfId="0" applyNumberFormat="1"/>
    <xf numFmtId="0" fontId="9" fillId="0" borderId="0" xfId="0" applyFont="1"/>
    <xf numFmtId="0" fontId="0" fillId="0" borderId="1" xfId="0" applyBorder="1"/>
    <xf numFmtId="164" fontId="0" fillId="0" borderId="0" xfId="0" applyNumberFormat="1" applyFill="1" applyBorder="1"/>
    <xf numFmtId="164" fontId="6" fillId="0" borderId="0" xfId="1" applyNumberFormat="1" applyBorder="1"/>
    <xf numFmtId="164" fontId="0" fillId="0" borderId="0" xfId="0" applyNumberFormat="1" applyBorder="1"/>
    <xf numFmtId="0" fontId="0" fillId="0" borderId="0" xfId="0" applyFill="1"/>
    <xf numFmtId="0" fontId="0" fillId="0" borderId="0" xfId="0" applyBorder="1"/>
    <xf numFmtId="0" fontId="8" fillId="2" borderId="2" xfId="0" applyFont="1" applyFill="1" applyBorder="1" applyAlignment="1">
      <alignment horizontal="center"/>
    </xf>
    <xf numFmtId="164" fontId="6" fillId="0" borderId="3" xfId="1" applyNumberFormat="1" applyFont="1" applyBorder="1" applyAlignment="1">
      <alignment horizontal="center"/>
    </xf>
    <xf numFmtId="164" fontId="6" fillId="0" borderId="4" xfId="1" applyNumberFormat="1" applyFont="1" applyBorder="1" applyAlignment="1">
      <alignment horizontal="center"/>
    </xf>
    <xf numFmtId="164" fontId="0" fillId="0" borderId="4" xfId="0" applyNumberFormat="1" applyBorder="1" applyAlignment="1">
      <alignment horizontal="center"/>
    </xf>
    <xf numFmtId="0" fontId="0" fillId="0" borderId="4" xfId="0" applyBorder="1" applyAlignment="1">
      <alignment horizontal="center"/>
    </xf>
    <xf numFmtId="164" fontId="10" fillId="0" borderId="5" xfId="1" applyNumberFormat="1" applyFont="1" applyBorder="1" applyAlignment="1">
      <alignment horizontal="center"/>
    </xf>
    <xf numFmtId="164" fontId="10" fillId="0" borderId="6" xfId="1" applyNumberFormat="1" applyFont="1" applyBorder="1" applyAlignment="1">
      <alignment horizontal="center"/>
    </xf>
    <xf numFmtId="164" fontId="6" fillId="0" borderId="7" xfId="1" applyNumberFormat="1" applyBorder="1"/>
    <xf numFmtId="164" fontId="6" fillId="0" borderId="3" xfId="1" applyNumberFormat="1" applyBorder="1"/>
    <xf numFmtId="164" fontId="6" fillId="0" borderId="4" xfId="1" applyNumberFormat="1" applyBorder="1"/>
    <xf numFmtId="0" fontId="0" fillId="0" borderId="0" xfId="0" applyAlignment="1">
      <alignment horizontal="right"/>
    </xf>
    <xf numFmtId="164" fontId="0" fillId="0" borderId="8" xfId="0" applyNumberFormat="1" applyBorder="1"/>
    <xf numFmtId="0" fontId="8" fillId="3" borderId="4" xfId="0" applyFont="1" applyFill="1" applyBorder="1" applyAlignment="1">
      <alignment horizontal="center"/>
    </xf>
    <xf numFmtId="0" fontId="8" fillId="3" borderId="9" xfId="0" applyFont="1" applyFill="1" applyBorder="1"/>
    <xf numFmtId="0" fontId="0" fillId="3" borderId="9" xfId="0" applyFill="1" applyBorder="1"/>
    <xf numFmtId="0" fontId="0" fillId="3" borderId="9" xfId="0" applyFill="1" applyBorder="1" applyAlignment="1">
      <alignment horizontal="center"/>
    </xf>
    <xf numFmtId="0" fontId="8" fillId="3" borderId="10" xfId="0" applyFont="1" applyFill="1" applyBorder="1"/>
    <xf numFmtId="0" fontId="7" fillId="0" borderId="0" xfId="0" applyFont="1" applyFill="1"/>
    <xf numFmtId="164" fontId="6" fillId="0" borderId="0" xfId="1" applyNumberFormat="1" applyFill="1" applyBorder="1"/>
    <xf numFmtId="0" fontId="0" fillId="0" borderId="0" xfId="0" applyFill="1" applyBorder="1"/>
    <xf numFmtId="164" fontId="0" fillId="0" borderId="0" xfId="0" applyNumberFormat="1" applyFill="1"/>
    <xf numFmtId="0" fontId="0" fillId="0" borderId="0" xfId="0" applyAlignment="1">
      <alignment wrapText="1"/>
    </xf>
    <xf numFmtId="0" fontId="0" fillId="0" borderId="0" xfId="0" applyAlignment="1"/>
    <xf numFmtId="164" fontId="0" fillId="0" borderId="0" xfId="1" applyNumberFormat="1" applyFont="1"/>
    <xf numFmtId="0" fontId="8" fillId="0" borderId="0" xfId="0" applyFont="1" applyAlignment="1">
      <alignment horizontal="center"/>
    </xf>
    <xf numFmtId="0" fontId="0" fillId="0" borderId="0" xfId="0" quotePrefix="1"/>
    <xf numFmtId="0" fontId="8" fillId="0" borderId="0" xfId="0" quotePrefix="1" applyFont="1" applyAlignment="1">
      <alignment wrapText="1"/>
    </xf>
    <xf numFmtId="0" fontId="15" fillId="0" borderId="0" xfId="0" applyFont="1"/>
    <xf numFmtId="0" fontId="8" fillId="0" borderId="0" xfId="0" applyFont="1" applyFill="1" applyBorder="1"/>
    <xf numFmtId="0" fontId="0" fillId="0" borderId="0" xfId="0" applyAlignment="1">
      <alignment horizontal="center"/>
    </xf>
    <xf numFmtId="0" fontId="0" fillId="0" borderId="0" xfId="0" applyBorder="1" applyAlignment="1">
      <alignment horizontal="center"/>
    </xf>
    <xf numFmtId="164" fontId="0" fillId="0" borderId="0" xfId="1" applyNumberFormat="1" applyFont="1" applyFill="1" applyBorder="1"/>
    <xf numFmtId="164" fontId="0" fillId="0" borderId="0" xfId="1" applyNumberFormat="1" applyFont="1" applyBorder="1"/>
    <xf numFmtId="0" fontId="8" fillId="0" borderId="1" xfId="0" applyFont="1" applyBorder="1" applyAlignment="1">
      <alignment horizontal="center"/>
    </xf>
    <xf numFmtId="0" fontId="16" fillId="0" borderId="0" xfId="0" applyFont="1"/>
    <xf numFmtId="0" fontId="22" fillId="0" borderId="0" xfId="0" applyFont="1"/>
    <xf numFmtId="165" fontId="0" fillId="0" borderId="0" xfId="2" applyNumberFormat="1" applyFont="1" applyBorder="1"/>
    <xf numFmtId="0" fontId="8" fillId="0" borderId="0" xfId="0" applyFont="1" applyBorder="1" applyAlignment="1">
      <alignment horizontal="center"/>
    </xf>
    <xf numFmtId="165" fontId="0" fillId="0" borderId="1" xfId="2" applyNumberFormat="1" applyFont="1" applyBorder="1" applyAlignment="1">
      <alignment horizontal="center"/>
    </xf>
    <xf numFmtId="0" fontId="0" fillId="0" borderId="0" xfId="0" applyFill="1" applyAlignment="1"/>
    <xf numFmtId="164" fontId="23" fillId="0" borderId="0" xfId="1" applyNumberFormat="1" applyFont="1" applyBorder="1"/>
    <xf numFmtId="0" fontId="8" fillId="0" borderId="0" xfId="0" quotePrefix="1" applyFont="1"/>
    <xf numFmtId="164" fontId="11" fillId="0" borderId="0" xfId="1" applyNumberFormat="1" applyFont="1" applyAlignment="1">
      <alignment horizontal="center"/>
    </xf>
    <xf numFmtId="0" fontId="8" fillId="0" borderId="1" xfId="0" applyFont="1" applyFill="1" applyBorder="1" applyAlignment="1">
      <alignment horizontal="center"/>
    </xf>
    <xf numFmtId="0" fontId="0" fillId="0" borderId="0" xfId="0" applyFill="1" applyAlignment="1">
      <alignment wrapText="1"/>
    </xf>
    <xf numFmtId="0" fontId="0" fillId="0" borderId="1" xfId="0" applyFill="1" applyBorder="1" applyAlignment="1">
      <alignment horizontal="center"/>
    </xf>
    <xf numFmtId="0" fontId="0" fillId="0" borderId="11" xfId="0" applyBorder="1" applyAlignment="1">
      <alignment horizontal="center"/>
    </xf>
    <xf numFmtId="0" fontId="0" fillId="0" borderId="12" xfId="0" applyBorder="1" applyAlignment="1">
      <alignment horizontal="center"/>
    </xf>
    <xf numFmtId="164" fontId="0" fillId="4" borderId="9" xfId="1" applyNumberFormat="1" applyFont="1" applyFill="1" applyBorder="1"/>
    <xf numFmtId="164" fontId="0" fillId="4" borderId="8" xfId="1" applyNumberFormat="1" applyFont="1" applyFill="1" applyBorder="1"/>
    <xf numFmtId="164" fontId="11" fillId="0" borderId="0" xfId="1" applyNumberFormat="1" applyFont="1" applyFill="1" applyAlignment="1">
      <alignment horizontal="center"/>
    </xf>
    <xf numFmtId="164" fontId="0" fillId="4" borderId="0" xfId="0" applyNumberFormat="1" applyFill="1"/>
    <xf numFmtId="0" fontId="0" fillId="4" borderId="0" xfId="0" applyFill="1"/>
    <xf numFmtId="164" fontId="0" fillId="4" borderId="8" xfId="0" applyNumberFormat="1" applyFill="1" applyBorder="1"/>
    <xf numFmtId="165" fontId="0" fillId="4" borderId="8" xfId="2" applyNumberFormat="1" applyFont="1" applyFill="1" applyBorder="1"/>
    <xf numFmtId="164" fontId="11" fillId="0" borderId="0" xfId="1" applyNumberFormat="1" applyFont="1" applyFill="1" applyBorder="1" applyAlignment="1">
      <alignment horizontal="center"/>
    </xf>
    <xf numFmtId="164" fontId="0" fillId="4" borderId="0" xfId="1" applyNumberFormat="1" applyFont="1" applyFill="1"/>
    <xf numFmtId="164" fontId="6" fillId="4" borderId="0" xfId="1" applyNumberFormat="1" applyFill="1"/>
    <xf numFmtId="164" fontId="0" fillId="4" borderId="13" xfId="1" applyNumberFormat="1" applyFont="1" applyFill="1" applyBorder="1"/>
    <xf numFmtId="164" fontId="0" fillId="4" borderId="13" xfId="0" applyNumberFormat="1" applyFill="1" applyBorder="1"/>
    <xf numFmtId="0" fontId="0" fillId="0" borderId="1" xfId="0" applyBorder="1" applyAlignment="1">
      <alignment horizontal="center" wrapText="1"/>
    </xf>
    <xf numFmtId="0" fontId="19" fillId="0" borderId="0" xfId="0" applyFont="1"/>
    <xf numFmtId="164" fontId="6" fillId="4" borderId="13" xfId="1" applyNumberFormat="1" applyFill="1" applyBorder="1"/>
    <xf numFmtId="164" fontId="6" fillId="4" borderId="8" xfId="1" applyNumberFormat="1" applyFill="1" applyBorder="1"/>
    <xf numFmtId="164" fontId="6" fillId="0" borderId="0" xfId="1" applyNumberFormat="1" applyFill="1"/>
    <xf numFmtId="164" fontId="0" fillId="0" borderId="0" xfId="1" applyNumberFormat="1" applyFont="1" applyFill="1"/>
    <xf numFmtId="0" fontId="0" fillId="4" borderId="14" xfId="0" applyFill="1" applyBorder="1" applyAlignment="1">
      <alignment horizontal="center"/>
    </xf>
    <xf numFmtId="0" fontId="0" fillId="4" borderId="11" xfId="0" applyFill="1" applyBorder="1" applyAlignment="1">
      <alignment horizontal="center"/>
    </xf>
    <xf numFmtId="0" fontId="0" fillId="4" borderId="1" xfId="0" applyFill="1" applyBorder="1" applyAlignment="1">
      <alignment horizontal="center"/>
    </xf>
    <xf numFmtId="0" fontId="0" fillId="0" borderId="0" xfId="0" applyFill="1" applyBorder="1" applyAlignment="1">
      <alignment wrapText="1"/>
    </xf>
    <xf numFmtId="0" fontId="0" fillId="0" borderId="0" xfId="0" applyFill="1" applyBorder="1" applyAlignment="1">
      <alignment horizontal="center"/>
    </xf>
    <xf numFmtId="164" fontId="23" fillId="0" borderId="0" xfId="1" applyNumberFormat="1" applyFont="1" applyFill="1" applyBorder="1"/>
    <xf numFmtId="0" fontId="16" fillId="4" borderId="12" xfId="0" applyFont="1" applyFill="1" applyBorder="1" applyAlignment="1">
      <alignment horizontal="center"/>
    </xf>
    <xf numFmtId="0" fontId="10" fillId="4" borderId="12" xfId="0" applyFont="1" applyFill="1" applyBorder="1" applyAlignment="1">
      <alignment horizontal="center"/>
    </xf>
    <xf numFmtId="0" fontId="16" fillId="4" borderId="11" xfId="0" applyFont="1" applyFill="1" applyBorder="1" applyAlignment="1">
      <alignment horizontal="center"/>
    </xf>
    <xf numFmtId="0" fontId="16" fillId="0" borderId="0" xfId="0" applyFont="1" applyFill="1" applyBorder="1"/>
    <xf numFmtId="0" fontId="16" fillId="0" borderId="0" xfId="0" applyFont="1" applyAlignment="1">
      <alignment horizontal="right"/>
    </xf>
    <xf numFmtId="0" fontId="14" fillId="5" borderId="0" xfId="0" applyFont="1" applyFill="1" applyAlignment="1">
      <alignment horizontal="left"/>
    </xf>
    <xf numFmtId="0" fontId="0" fillId="5" borderId="0" xfId="0" applyFill="1"/>
    <xf numFmtId="0" fontId="0" fillId="0" borderId="11" xfId="0" applyFill="1" applyBorder="1" applyAlignment="1">
      <alignment horizontal="center"/>
    </xf>
    <xf numFmtId="0" fontId="0" fillId="0" borderId="12" xfId="0" applyFill="1" applyBorder="1" applyAlignment="1">
      <alignment horizontal="center"/>
    </xf>
    <xf numFmtId="164" fontId="0" fillId="0" borderId="15" xfId="1" applyNumberFormat="1" applyFont="1" applyBorder="1"/>
    <xf numFmtId="0" fontId="9" fillId="0" borderId="0" xfId="0" applyFont="1" applyAlignment="1">
      <alignment textRotation="90"/>
    </xf>
    <xf numFmtId="0" fontId="8" fillId="0" borderId="0" xfId="0" applyFont="1" applyAlignment="1"/>
    <xf numFmtId="0" fontId="8" fillId="4" borderId="0" xfId="0" applyFont="1" applyFill="1" applyAlignment="1">
      <alignment horizontal="center"/>
    </xf>
    <xf numFmtId="0" fontId="19" fillId="0" borderId="0" xfId="0" applyFont="1" applyAlignment="1"/>
    <xf numFmtId="0" fontId="18" fillId="0" borderId="0" xfId="0" applyFont="1"/>
    <xf numFmtId="0" fontId="23" fillId="0" borderId="0" xfId="0" applyFont="1" applyAlignment="1">
      <alignment wrapText="1"/>
    </xf>
    <xf numFmtId="0" fontId="0" fillId="0" borderId="0" xfId="0" applyFill="1" applyBorder="1" applyAlignment="1"/>
    <xf numFmtId="0" fontId="30" fillId="0" borderId="0" xfId="0" applyFont="1" applyAlignment="1">
      <alignment horizontal="center" wrapText="1"/>
    </xf>
    <xf numFmtId="0" fontId="29" fillId="0" borderId="0" xfId="0" applyFont="1"/>
    <xf numFmtId="0" fontId="8" fillId="0" borderId="0" xfId="0" applyFont="1" applyFill="1"/>
    <xf numFmtId="164" fontId="10" fillId="0" borderId="0" xfId="1" applyNumberFormat="1" applyFont="1" applyBorder="1"/>
    <xf numFmtId="164" fontId="6" fillId="0" borderId="0" xfId="1" applyNumberFormat="1" applyFont="1" applyBorder="1" applyAlignment="1">
      <alignment horizontal="center"/>
    </xf>
    <xf numFmtId="164" fontId="6" fillId="0" borderId="0" xfId="1" applyNumberFormat="1" applyFill="1" applyBorder="1" applyAlignment="1">
      <alignment horizontal="center"/>
    </xf>
    <xf numFmtId="164" fontId="6" fillId="0" borderId="0" xfId="1" applyNumberFormat="1" applyFont="1" applyFill="1" applyBorder="1" applyAlignment="1">
      <alignment horizontal="center"/>
    </xf>
    <xf numFmtId="164" fontId="6" fillId="0" borderId="1" xfId="1" applyNumberFormat="1" applyFont="1" applyBorder="1" applyAlignment="1">
      <alignment horizontal="center"/>
    </xf>
    <xf numFmtId="164" fontId="6" fillId="0" borderId="1" xfId="1" applyNumberFormat="1" applyFont="1" applyFill="1" applyBorder="1" applyAlignment="1">
      <alignment horizontal="center"/>
    </xf>
    <xf numFmtId="0" fontId="32" fillId="0" borderId="0" xfId="0" applyFont="1"/>
    <xf numFmtId="164" fontId="0" fillId="2" borderId="0" xfId="0" applyNumberFormat="1" applyFill="1" applyBorder="1"/>
    <xf numFmtId="0" fontId="0" fillId="2" borderId="0" xfId="0" applyFill="1" applyBorder="1"/>
    <xf numFmtId="0" fontId="9" fillId="0" borderId="0" xfId="0" applyFont="1" applyBorder="1"/>
    <xf numFmtId="0" fontId="8" fillId="2" borderId="4" xfId="0" applyFont="1" applyFill="1" applyBorder="1" applyAlignment="1">
      <alignment horizontal="center"/>
    </xf>
    <xf numFmtId="0" fontId="0" fillId="3" borderId="6" xfId="0" applyFill="1" applyBorder="1"/>
    <xf numFmtId="0" fontId="8" fillId="3" borderId="2" xfId="0" applyFont="1" applyFill="1" applyBorder="1" applyAlignment="1">
      <alignment horizontal="center"/>
    </xf>
    <xf numFmtId="0" fontId="0" fillId="0" borderId="0" xfId="0" applyAlignment="1">
      <alignment horizontal="left" indent="1"/>
    </xf>
    <xf numFmtId="164" fontId="10" fillId="0" borderId="0" xfId="1" applyNumberFormat="1" applyFont="1" applyBorder="1" applyAlignment="1">
      <alignment horizontal="center"/>
    </xf>
    <xf numFmtId="0" fontId="11" fillId="2" borderId="16" xfId="0" applyFont="1" applyFill="1" applyBorder="1" applyAlignment="1"/>
    <xf numFmtId="0" fontId="0" fillId="4" borderId="1" xfId="0" applyFill="1" applyBorder="1"/>
    <xf numFmtId="164" fontId="8" fillId="3" borderId="4" xfId="0" applyNumberFormat="1" applyFont="1" applyFill="1" applyBorder="1" applyAlignment="1">
      <alignment horizontal="center"/>
    </xf>
    <xf numFmtId="0" fontId="10" fillId="0" borderId="0" xfId="0" applyFont="1"/>
    <xf numFmtId="164" fontId="19" fillId="0" borderId="0" xfId="1" applyNumberFormat="1" applyFont="1" applyBorder="1" applyAlignment="1">
      <alignment horizontal="left"/>
    </xf>
    <xf numFmtId="164" fontId="19" fillId="0" borderId="0" xfId="1" applyNumberFormat="1" applyFont="1" applyBorder="1" applyAlignment="1">
      <alignment horizontal="right"/>
    </xf>
    <xf numFmtId="0" fontId="0" fillId="0" borderId="17" xfId="0" applyBorder="1" applyAlignment="1">
      <alignment horizontal="center"/>
    </xf>
    <xf numFmtId="0" fontId="0" fillId="0" borderId="18" xfId="0" applyBorder="1" applyAlignment="1">
      <alignment horizontal="center"/>
    </xf>
    <xf numFmtId="0" fontId="0" fillId="0" borderId="17" xfId="0" applyFill="1" applyBorder="1" applyAlignment="1">
      <alignment horizontal="center"/>
    </xf>
    <xf numFmtId="0" fontId="0" fillId="0" borderId="18" xfId="0" applyFill="1" applyBorder="1" applyAlignment="1">
      <alignment horizontal="center"/>
    </xf>
    <xf numFmtId="0" fontId="0" fillId="0" borderId="1" xfId="0" applyFill="1" applyBorder="1"/>
    <xf numFmtId="0" fontId="0" fillId="4" borderId="19" xfId="0" applyFill="1" applyBorder="1" applyAlignment="1">
      <alignment horizontal="center"/>
    </xf>
    <xf numFmtId="0" fontId="29" fillId="3" borderId="3" xfId="0" applyFont="1" applyFill="1" applyBorder="1" applyAlignment="1">
      <alignment horizontal="center"/>
    </xf>
    <xf numFmtId="0" fontId="29" fillId="3" borderId="4" xfId="0" applyFont="1" applyFill="1" applyBorder="1" applyAlignment="1">
      <alignment horizontal="center"/>
    </xf>
    <xf numFmtId="164" fontId="0" fillId="0" borderId="20" xfId="1" applyNumberFormat="1" applyFont="1" applyBorder="1"/>
    <xf numFmtId="164" fontId="0" fillId="0" borderId="20" xfId="1" applyNumberFormat="1" applyFont="1" applyFill="1" applyBorder="1"/>
    <xf numFmtId="164" fontId="10" fillId="0" borderId="7" xfId="1" applyNumberFormat="1" applyFont="1" applyBorder="1" applyAlignment="1">
      <alignment horizontal="center"/>
    </xf>
    <xf numFmtId="164" fontId="19" fillId="0" borderId="0" xfId="1" applyNumberFormat="1" applyFont="1" applyBorder="1" applyAlignment="1"/>
    <xf numFmtId="41" fontId="0" fillId="4" borderId="8" xfId="0" applyNumberFormat="1" applyFill="1" applyBorder="1"/>
    <xf numFmtId="0" fontId="29" fillId="0" borderId="0" xfId="0" applyFont="1" applyAlignment="1">
      <alignment horizontal="center"/>
    </xf>
    <xf numFmtId="0" fontId="27" fillId="0" borderId="0" xfId="0" applyFont="1" applyAlignment="1">
      <alignment horizontal="center"/>
    </xf>
    <xf numFmtId="164" fontId="6" fillId="0" borderId="0" xfId="1" applyNumberFormat="1" applyBorder="1" applyAlignment="1">
      <alignment horizontal="right"/>
    </xf>
    <xf numFmtId="164" fontId="19" fillId="0" borderId="0" xfId="1" applyNumberFormat="1" applyFont="1" applyBorder="1" applyAlignment="1">
      <alignment horizontal="center"/>
    </xf>
    <xf numFmtId="0" fontId="10" fillId="0" borderId="0" xfId="0" applyFont="1" applyAlignment="1">
      <alignment horizontal="center"/>
    </xf>
    <xf numFmtId="164" fontId="36" fillId="0" borderId="0" xfId="1" applyNumberFormat="1" applyFont="1" applyBorder="1" applyAlignment="1">
      <alignment horizontal="center"/>
    </xf>
    <xf numFmtId="164" fontId="8" fillId="3" borderId="4" xfId="1" applyNumberFormat="1" applyFont="1" applyFill="1" applyBorder="1" applyAlignment="1">
      <alignment horizontal="center"/>
    </xf>
    <xf numFmtId="164" fontId="0" fillId="0" borderId="0" xfId="1" applyNumberFormat="1" applyFont="1" applyAlignment="1">
      <alignment wrapText="1"/>
    </xf>
    <xf numFmtId="164" fontId="0" fillId="3" borderId="21" xfId="1" applyNumberFormat="1" applyFont="1" applyFill="1" applyBorder="1"/>
    <xf numFmtId="164" fontId="8" fillId="3" borderId="2" xfId="1" applyNumberFormat="1" applyFont="1" applyFill="1" applyBorder="1" applyAlignment="1">
      <alignment horizontal="center"/>
    </xf>
    <xf numFmtId="164" fontId="0" fillId="0" borderId="6" xfId="1" applyNumberFormat="1" applyFont="1" applyBorder="1"/>
    <xf numFmtId="164" fontId="0" fillId="0" borderId="4" xfId="1" applyNumberFormat="1" applyFont="1" applyBorder="1"/>
    <xf numFmtId="164" fontId="0" fillId="3" borderId="6" xfId="1" applyNumberFormat="1" applyFont="1" applyFill="1" applyBorder="1"/>
    <xf numFmtId="0" fontId="29" fillId="3" borderId="6" xfId="0" applyFont="1" applyFill="1" applyBorder="1" applyAlignment="1">
      <alignment horizontal="center"/>
    </xf>
    <xf numFmtId="0" fontId="29" fillId="3" borderId="5" xfId="0" applyFont="1" applyFill="1" applyBorder="1" applyAlignment="1">
      <alignment horizontal="center"/>
    </xf>
    <xf numFmtId="0" fontId="10" fillId="0" borderId="0" xfId="0" applyFont="1" applyAlignment="1">
      <alignment horizontal="left" vertical="center"/>
    </xf>
    <xf numFmtId="41" fontId="0" fillId="0" borderId="4" xfId="0" applyNumberFormat="1" applyBorder="1" applyAlignment="1">
      <alignment horizontal="center"/>
    </xf>
    <xf numFmtId="41" fontId="0" fillId="0" borderId="0" xfId="0" applyNumberFormat="1" applyFill="1" applyBorder="1"/>
    <xf numFmtId="41" fontId="0" fillId="0" borderId="0" xfId="0" applyNumberFormat="1"/>
    <xf numFmtId="0" fontId="0" fillId="0" borderId="0" xfId="0" quotePrefix="1" applyAlignment="1">
      <alignment horizontal="left"/>
    </xf>
    <xf numFmtId="0" fontId="9" fillId="0" borderId="0" xfId="0" applyFont="1" applyAlignment="1">
      <alignment wrapText="1"/>
    </xf>
    <xf numFmtId="0" fontId="0" fillId="0" borderId="0" xfId="0" applyAlignment="1">
      <alignment vertical="top"/>
    </xf>
    <xf numFmtId="0" fontId="0" fillId="0" borderId="0" xfId="0" applyAlignment="1">
      <alignment vertical="top" wrapText="1"/>
    </xf>
    <xf numFmtId="164" fontId="6" fillId="4" borderId="0" xfId="1" applyNumberFormat="1" applyFill="1" applyBorder="1"/>
    <xf numFmtId="0" fontId="10" fillId="0" borderId="0" xfId="0" applyFont="1" applyBorder="1" applyAlignment="1">
      <alignment horizontal="center"/>
    </xf>
    <xf numFmtId="164" fontId="0" fillId="0" borderId="0" xfId="1" applyNumberFormat="1" applyFont="1" applyFill="1" applyBorder="1" applyAlignment="1"/>
    <xf numFmtId="0" fontId="0" fillId="0" borderId="0" xfId="0" quotePrefix="1" applyAlignment="1">
      <alignment vertical="top"/>
    </xf>
    <xf numFmtId="0" fontId="29" fillId="4" borderId="1" xfId="0" applyFont="1" applyFill="1" applyBorder="1" applyAlignment="1">
      <alignment horizontal="center" wrapText="1"/>
    </xf>
    <xf numFmtId="164" fontId="0" fillId="0" borderId="1" xfId="1" applyNumberFormat="1" applyFont="1" applyBorder="1"/>
    <xf numFmtId="164" fontId="6" fillId="2" borderId="22" xfId="1" applyNumberFormat="1" applyFill="1" applyBorder="1"/>
    <xf numFmtId="164" fontId="6" fillId="2" borderId="4" xfId="1" applyNumberFormat="1" applyFill="1" applyBorder="1"/>
    <xf numFmtId="164" fontId="0" fillId="2" borderId="4" xfId="0" applyNumberFormat="1" applyFill="1" applyBorder="1"/>
    <xf numFmtId="41" fontId="0" fillId="2" borderId="4" xfId="0" applyNumberFormat="1" applyFill="1" applyBorder="1"/>
    <xf numFmtId="164" fontId="0" fillId="2" borderId="23" xfId="0" applyNumberFormat="1" applyFill="1" applyBorder="1"/>
    <xf numFmtId="164" fontId="10" fillId="2" borderId="4" xfId="0" applyNumberFormat="1" applyFont="1" applyFill="1" applyBorder="1"/>
    <xf numFmtId="0" fontId="0" fillId="2" borderId="24" xfId="0" applyFill="1" applyBorder="1" applyAlignment="1"/>
    <xf numFmtId="0" fontId="0" fillId="2" borderId="16" xfId="0" applyFill="1" applyBorder="1" applyAlignment="1"/>
    <xf numFmtId="0" fontId="0" fillId="6" borderId="0" xfId="0" applyFill="1"/>
    <xf numFmtId="164" fontId="0" fillId="6" borderId="0" xfId="1" applyNumberFormat="1" applyFont="1" applyFill="1" applyBorder="1"/>
    <xf numFmtId="164" fontId="0" fillId="6" borderId="20" xfId="1" applyNumberFormat="1" applyFont="1" applyFill="1" applyBorder="1"/>
    <xf numFmtId="164" fontId="0" fillId="6" borderId="0" xfId="1" applyNumberFormat="1" applyFont="1" applyFill="1"/>
    <xf numFmtId="0" fontId="9" fillId="0" borderId="0" xfId="0" applyFont="1" applyAlignment="1">
      <alignment vertical="center" textRotation="90"/>
    </xf>
    <xf numFmtId="164" fontId="10" fillId="4" borderId="0" xfId="0" applyNumberFormat="1" applyFont="1" applyFill="1" applyAlignment="1">
      <alignment horizontal="center"/>
    </xf>
    <xf numFmtId="164" fontId="8" fillId="4" borderId="0" xfId="1" applyNumberFormat="1" applyFont="1" applyFill="1" applyBorder="1" applyAlignment="1">
      <alignment horizontal="center"/>
    </xf>
    <xf numFmtId="164" fontId="8" fillId="4" borderId="4" xfId="1" applyNumberFormat="1" applyFont="1" applyFill="1" applyBorder="1" applyAlignment="1">
      <alignment horizontal="center"/>
    </xf>
    <xf numFmtId="164" fontId="0" fillId="4" borderId="0" xfId="1" applyNumberFormat="1" applyFont="1" applyFill="1" applyBorder="1"/>
    <xf numFmtId="164" fontId="11" fillId="0" borderId="17" xfId="1" applyNumberFormat="1" applyFont="1" applyFill="1" applyBorder="1"/>
    <xf numFmtId="164" fontId="11" fillId="0" borderId="0" xfId="1" applyNumberFormat="1" applyFont="1" applyFill="1" applyBorder="1"/>
    <xf numFmtId="164" fontId="11" fillId="0" borderId="22" xfId="1" applyNumberFormat="1" applyFont="1" applyFill="1" applyBorder="1"/>
    <xf numFmtId="164" fontId="11" fillId="0" borderId="4" xfId="1" applyNumberFormat="1" applyFont="1" applyFill="1" applyBorder="1"/>
    <xf numFmtId="165" fontId="0" fillId="0" borderId="0" xfId="0" applyNumberFormat="1"/>
    <xf numFmtId="41" fontId="0" fillId="4" borderId="9" xfId="0" applyNumberFormat="1" applyFill="1" applyBorder="1"/>
    <xf numFmtId="164" fontId="0" fillId="0" borderId="0" xfId="1" applyNumberFormat="1" applyFont="1" applyFill="1" applyAlignment="1">
      <alignment wrapText="1"/>
    </xf>
    <xf numFmtId="164" fontId="16" fillId="0" borderId="0" xfId="1" applyNumberFormat="1" applyFont="1" applyFill="1"/>
    <xf numFmtId="164" fontId="0" fillId="0" borderId="0" xfId="1" applyNumberFormat="1" applyFont="1" applyFill="1" applyAlignment="1"/>
    <xf numFmtId="0" fontId="0" fillId="0" borderId="0" xfId="0" quotePrefix="1" applyAlignment="1">
      <alignment vertical="center"/>
    </xf>
    <xf numFmtId="0" fontId="8" fillId="6" borderId="0" xfId="0" applyFont="1" applyFill="1"/>
    <xf numFmtId="0" fontId="8" fillId="4" borderId="3" xfId="0" applyFont="1" applyFill="1" applyBorder="1" applyAlignment="1">
      <alignment horizontal="center"/>
    </xf>
    <xf numFmtId="0" fontId="8" fillId="4" borderId="2" xfId="0" applyFont="1" applyFill="1" applyBorder="1" applyAlignment="1">
      <alignment horizontal="center"/>
    </xf>
    <xf numFmtId="0" fontId="8" fillId="4" borderId="4" xfId="0" applyFont="1" applyFill="1" applyBorder="1" applyAlignment="1">
      <alignment horizontal="center"/>
    </xf>
    <xf numFmtId="164" fontId="0" fillId="0" borderId="2" xfId="1" applyNumberFormat="1" applyFont="1" applyFill="1" applyBorder="1"/>
    <xf numFmtId="0" fontId="8" fillId="0" borderId="0" xfId="0" applyFont="1" applyAlignment="1">
      <alignment horizontal="left" indent="1"/>
    </xf>
    <xf numFmtId="164" fontId="0" fillId="2" borderId="16" xfId="0" applyNumberFormat="1" applyFill="1" applyBorder="1"/>
    <xf numFmtId="164" fontId="6" fillId="0" borderId="7" xfId="1" applyNumberFormat="1" applyBorder="1" applyProtection="1">
      <protection locked="0"/>
    </xf>
    <xf numFmtId="164" fontId="6" fillId="0" borderId="0" xfId="1" applyNumberFormat="1" applyBorder="1" applyProtection="1">
      <protection locked="0"/>
    </xf>
    <xf numFmtId="164" fontId="6" fillId="0" borderId="7" xfId="1" applyNumberFormat="1" applyFill="1" applyBorder="1" applyProtection="1">
      <protection locked="0"/>
    </xf>
    <xf numFmtId="164" fontId="6" fillId="0" borderId="0" xfId="1" applyNumberFormat="1" applyFill="1" applyBorder="1" applyProtection="1">
      <protection locked="0"/>
    </xf>
    <xf numFmtId="164" fontId="6" fillId="6" borderId="7" xfId="1" applyNumberFormat="1" applyFill="1" applyBorder="1" applyProtection="1">
      <protection locked="0"/>
    </xf>
    <xf numFmtId="164" fontId="6" fillId="6" borderId="0" xfId="1" applyNumberFormat="1" applyFill="1" applyBorder="1" applyProtection="1">
      <protection locked="0"/>
    </xf>
    <xf numFmtId="0" fontId="0" fillId="0" borderId="0" xfId="0" applyProtection="1">
      <protection locked="0"/>
    </xf>
    <xf numFmtId="0" fontId="0" fillId="0" borderId="0" xfId="0" applyFill="1" applyBorder="1" applyProtection="1">
      <protection locked="0"/>
    </xf>
    <xf numFmtId="0" fontId="0" fillId="6" borderId="0" xfId="0" applyFill="1" applyProtection="1">
      <protection locked="0"/>
    </xf>
    <xf numFmtId="164" fontId="0" fillId="0" borderId="0" xfId="1" applyNumberFormat="1" applyFont="1" applyBorder="1" applyProtection="1">
      <protection locked="0"/>
    </xf>
    <xf numFmtId="164" fontId="0" fillId="0" borderId="20" xfId="1" applyNumberFormat="1" applyFont="1" applyBorder="1" applyProtection="1">
      <protection locked="0"/>
    </xf>
    <xf numFmtId="164" fontId="0" fillId="0" borderId="0" xfId="1" applyNumberFormat="1" applyFont="1" applyFill="1" applyBorder="1" applyProtection="1">
      <protection locked="0"/>
    </xf>
    <xf numFmtId="164" fontId="0" fillId="0" borderId="20" xfId="1" applyNumberFormat="1" applyFont="1" applyFill="1" applyBorder="1" applyProtection="1">
      <protection locked="0"/>
    </xf>
    <xf numFmtId="164" fontId="0" fillId="6" borderId="0" xfId="1" applyNumberFormat="1" applyFont="1" applyFill="1" applyBorder="1" applyProtection="1">
      <protection locked="0"/>
    </xf>
    <xf numFmtId="164" fontId="0" fillId="6" borderId="20" xfId="1" applyNumberFormat="1" applyFont="1" applyFill="1" applyBorder="1" applyProtection="1">
      <protection locked="0"/>
    </xf>
    <xf numFmtId="0" fontId="11" fillId="2" borderId="0" xfId="0" applyFont="1" applyFill="1" applyBorder="1" applyAlignment="1">
      <alignment horizontal="center"/>
    </xf>
    <xf numFmtId="164" fontId="0" fillId="2" borderId="17" xfId="0" applyNumberFormat="1" applyFill="1" applyBorder="1"/>
    <xf numFmtId="0" fontId="0" fillId="0" borderId="0" xfId="0" applyFill="1" applyProtection="1">
      <protection locked="0"/>
    </xf>
    <xf numFmtId="164" fontId="0" fillId="2" borderId="0" xfId="1" applyNumberFormat="1" applyFont="1" applyFill="1" applyProtection="1">
      <protection locked="0"/>
    </xf>
    <xf numFmtId="164" fontId="0" fillId="2" borderId="0" xfId="1" applyNumberFormat="1" applyFont="1" applyFill="1" applyBorder="1" applyProtection="1">
      <protection locked="0"/>
    </xf>
    <xf numFmtId="41" fontId="0" fillId="2" borderId="0" xfId="1" applyNumberFormat="1" applyFont="1" applyFill="1" applyProtection="1">
      <protection locked="0"/>
    </xf>
    <xf numFmtId="41" fontId="0" fillId="2" borderId="0" xfId="0" applyNumberFormat="1" applyFill="1" applyProtection="1">
      <protection locked="0"/>
    </xf>
    <xf numFmtId="164" fontId="0" fillId="2" borderId="1" xfId="1" applyNumberFormat="1" applyFont="1" applyFill="1" applyBorder="1" applyProtection="1">
      <protection locked="0"/>
    </xf>
    <xf numFmtId="0" fontId="0" fillId="2" borderId="0" xfId="0" applyFill="1" applyProtection="1">
      <protection locked="0"/>
    </xf>
    <xf numFmtId="164" fontId="6" fillId="2" borderId="0" xfId="1" applyNumberFormat="1" applyFill="1" applyProtection="1">
      <protection locked="0"/>
    </xf>
    <xf numFmtId="164" fontId="6" fillId="2" borderId="0" xfId="1" applyNumberFormat="1" applyFill="1" applyBorder="1" applyProtection="1">
      <protection locked="0"/>
    </xf>
    <xf numFmtId="164" fontId="6" fillId="0" borderId="16" xfId="1" applyNumberFormat="1" applyFill="1" applyBorder="1"/>
    <xf numFmtId="164" fontId="0" fillId="2" borderId="0" xfId="1" applyNumberFormat="1" applyFont="1" applyFill="1" applyBorder="1" applyAlignment="1" applyProtection="1">
      <protection locked="0"/>
    </xf>
    <xf numFmtId="164" fontId="6" fillId="2" borderId="1" xfId="1" applyNumberFormat="1" applyFill="1" applyBorder="1" applyProtection="1">
      <protection locked="0"/>
    </xf>
    <xf numFmtId="164" fontId="0" fillId="2" borderId="0" xfId="1" applyNumberFormat="1" applyFont="1" applyFill="1" applyAlignment="1" applyProtection="1">
      <protection locked="0"/>
    </xf>
    <xf numFmtId="49" fontId="8" fillId="0" borderId="0" xfId="0" applyNumberFormat="1" applyFont="1" applyAlignment="1">
      <alignment wrapText="1"/>
    </xf>
    <xf numFmtId="164" fontId="6" fillId="6" borderId="0" xfId="1" applyNumberFormat="1" applyFont="1" applyFill="1" applyBorder="1" applyProtection="1">
      <protection locked="0"/>
    </xf>
    <xf numFmtId="164" fontId="6" fillId="0" borderId="0" xfId="1" applyNumberFormat="1" applyFont="1" applyBorder="1" applyProtection="1">
      <protection locked="0"/>
    </xf>
    <xf numFmtId="164" fontId="6" fillId="0" borderId="0" xfId="1" applyNumberFormat="1" applyFont="1" applyFill="1" applyBorder="1" applyProtection="1">
      <protection locked="0"/>
    </xf>
    <xf numFmtId="0" fontId="7" fillId="0" borderId="0" xfId="0" applyFont="1" applyAlignment="1">
      <alignment horizontal="right"/>
    </xf>
    <xf numFmtId="0" fontId="11" fillId="0" borderId="0" xfId="0" applyFont="1"/>
    <xf numFmtId="0" fontId="0" fillId="0" borderId="1" xfId="0" applyBorder="1" applyAlignment="1">
      <alignment wrapText="1"/>
    </xf>
    <xf numFmtId="164" fontId="0" fillId="0" borderId="0" xfId="1" applyNumberFormat="1" applyFont="1" applyBorder="1" applyAlignment="1">
      <alignment horizontal="center"/>
    </xf>
    <xf numFmtId="164" fontId="0" fillId="2" borderId="17" xfId="1" applyNumberFormat="1" applyFont="1" applyFill="1" applyBorder="1" applyProtection="1">
      <protection locked="0"/>
    </xf>
    <xf numFmtId="164" fontId="0" fillId="2" borderId="11" xfId="1" applyNumberFormat="1" applyFont="1" applyFill="1" applyBorder="1" applyProtection="1">
      <protection locked="0"/>
    </xf>
    <xf numFmtId="164" fontId="0" fillId="0" borderId="1" xfId="1" applyNumberFormat="1" applyFont="1" applyFill="1" applyBorder="1"/>
    <xf numFmtId="164" fontId="0" fillId="4" borderId="1" xfId="1" applyNumberFormat="1" applyFont="1" applyFill="1" applyBorder="1"/>
    <xf numFmtId="164" fontId="0" fillId="4" borderId="26" xfId="1" applyNumberFormat="1" applyFont="1" applyFill="1" applyBorder="1"/>
    <xf numFmtId="164" fontId="0" fillId="4" borderId="27" xfId="1" applyNumberFormat="1" applyFont="1" applyFill="1" applyBorder="1"/>
    <xf numFmtId="164" fontId="0" fillId="0" borderId="8" xfId="1" applyNumberFormat="1" applyFont="1" applyBorder="1"/>
    <xf numFmtId="164" fontId="0" fillId="0" borderId="17" xfId="1" applyNumberFormat="1" applyFont="1" applyBorder="1"/>
    <xf numFmtId="164" fontId="0" fillId="0" borderId="26" xfId="1" applyNumberFormat="1" applyFont="1" applyBorder="1"/>
    <xf numFmtId="164" fontId="0" fillId="0" borderId="28" xfId="1" applyNumberFormat="1" applyFont="1" applyBorder="1"/>
    <xf numFmtId="164" fontId="0" fillId="0" borderId="8" xfId="1" applyNumberFormat="1" applyFont="1" applyFill="1" applyBorder="1"/>
    <xf numFmtId="164" fontId="0" fillId="0" borderId="0" xfId="1" applyNumberFormat="1" applyFont="1" applyAlignment="1">
      <alignment horizontal="center"/>
    </xf>
    <xf numFmtId="164" fontId="0" fillId="0" borderId="0" xfId="1" applyNumberFormat="1" applyFont="1" applyAlignment="1">
      <alignment horizontal="left"/>
    </xf>
    <xf numFmtId="164" fontId="0" fillId="0" borderId="5" xfId="1" applyNumberFormat="1" applyFont="1" applyBorder="1"/>
    <xf numFmtId="164" fontId="0" fillId="0" borderId="21" xfId="1" applyNumberFormat="1" applyFont="1" applyBorder="1"/>
    <xf numFmtId="164" fontId="29" fillId="0" borderId="6" xfId="1" applyNumberFormat="1" applyFont="1" applyBorder="1" applyAlignment="1">
      <alignment horizontal="center"/>
    </xf>
    <xf numFmtId="164" fontId="29" fillId="0" borderId="7" xfId="1" applyNumberFormat="1" applyFont="1" applyBorder="1" applyAlignment="1">
      <alignment horizontal="center"/>
    </xf>
    <xf numFmtId="164" fontId="29" fillId="0" borderId="0" xfId="1" applyNumberFormat="1" applyFont="1" applyBorder="1" applyAlignment="1">
      <alignment horizontal="center"/>
    </xf>
    <xf numFmtId="164" fontId="0" fillId="4" borderId="5" xfId="1" applyNumberFormat="1" applyFont="1" applyFill="1" applyBorder="1"/>
    <xf numFmtId="164" fontId="0" fillId="4" borderId="21" xfId="1" applyNumberFormat="1" applyFont="1" applyFill="1" applyBorder="1"/>
    <xf numFmtId="164" fontId="0" fillId="4" borderId="6" xfId="1" applyNumberFormat="1" applyFont="1" applyFill="1" applyBorder="1"/>
    <xf numFmtId="164" fontId="0" fillId="0" borderId="7" xfId="1" applyNumberFormat="1" applyFont="1" applyBorder="1"/>
    <xf numFmtId="164" fontId="0" fillId="4" borderId="7" xfId="1" applyNumberFormat="1" applyFont="1" applyFill="1" applyBorder="1"/>
    <xf numFmtId="164" fontId="0" fillId="4" borderId="20" xfId="1" applyNumberFormat="1" applyFont="1" applyFill="1" applyBorder="1"/>
    <xf numFmtId="164" fontId="0" fillId="0" borderId="7" xfId="1" applyNumberFormat="1" applyFont="1" applyBorder="1" applyProtection="1">
      <protection locked="0"/>
    </xf>
    <xf numFmtId="164" fontId="0" fillId="0" borderId="7" xfId="1" applyNumberFormat="1" applyFont="1" applyFill="1" applyBorder="1"/>
    <xf numFmtId="164" fontId="29" fillId="0" borderId="0" xfId="1" applyNumberFormat="1" applyFont="1" applyFill="1" applyBorder="1" applyAlignment="1">
      <alignment horizontal="center"/>
    </xf>
    <xf numFmtId="164" fontId="29" fillId="0" borderId="7" xfId="1" applyNumberFormat="1" applyFont="1" applyFill="1" applyBorder="1" applyAlignment="1">
      <alignment horizontal="center"/>
    </xf>
    <xf numFmtId="164" fontId="0" fillId="6" borderId="7" xfId="1" applyNumberFormat="1" applyFont="1" applyFill="1" applyBorder="1"/>
    <xf numFmtId="164" fontId="29" fillId="6" borderId="0" xfId="1" applyNumberFormat="1" applyFont="1" applyFill="1" applyBorder="1" applyAlignment="1">
      <alignment horizontal="center"/>
    </xf>
    <xf numFmtId="164" fontId="29" fillId="6" borderId="7" xfId="1" applyNumberFormat="1" applyFont="1" applyFill="1" applyBorder="1" applyAlignment="1">
      <alignment horizontal="center"/>
    </xf>
    <xf numFmtId="164" fontId="34" fillId="0" borderId="0" xfId="1" applyNumberFormat="1" applyFont="1" applyFill="1" applyBorder="1" applyAlignment="1">
      <alignment horizontal="center"/>
    </xf>
    <xf numFmtId="164" fontId="34" fillId="0" borderId="0" xfId="1" applyNumberFormat="1" applyFont="1" applyBorder="1" applyAlignment="1">
      <alignment horizontal="center"/>
    </xf>
    <xf numFmtId="164" fontId="29" fillId="6" borderId="0" xfId="1" applyNumberFormat="1" applyFont="1" applyFill="1" applyAlignment="1">
      <alignment horizontal="center"/>
    </xf>
    <xf numFmtId="164" fontId="29" fillId="0" borderId="0" xfId="1" applyNumberFormat="1" applyFont="1" applyFill="1" applyAlignment="1">
      <alignment horizontal="center"/>
    </xf>
    <xf numFmtId="164" fontId="34" fillId="6" borderId="0" xfId="1" applyNumberFormat="1" applyFont="1" applyFill="1" applyBorder="1" applyAlignment="1">
      <alignment horizontal="center"/>
    </xf>
    <xf numFmtId="164" fontId="29" fillId="0" borderId="0" xfId="1" applyNumberFormat="1" applyFont="1" applyAlignment="1">
      <alignment horizontal="center"/>
    </xf>
    <xf numFmtId="164" fontId="0" fillId="0" borderId="0" xfId="1" applyNumberFormat="1" applyFont="1" applyProtection="1">
      <protection locked="0"/>
    </xf>
    <xf numFmtId="164" fontId="0" fillId="0" borderId="3" xfId="1" applyNumberFormat="1" applyFont="1" applyBorder="1"/>
    <xf numFmtId="164" fontId="29" fillId="0" borderId="3" xfId="1" applyNumberFormat="1" applyFont="1" applyBorder="1" applyAlignment="1">
      <alignment horizontal="center"/>
    </xf>
    <xf numFmtId="164" fontId="29" fillId="0" borderId="4" xfId="1" applyNumberFormat="1" applyFont="1" applyBorder="1" applyAlignment="1">
      <alignment horizontal="center"/>
    </xf>
    <xf numFmtId="164" fontId="0" fillId="0" borderId="2" xfId="1" applyNumberFormat="1" applyFont="1" applyBorder="1"/>
    <xf numFmtId="0" fontId="0" fillId="2" borderId="17" xfId="0" applyFill="1" applyBorder="1" applyProtection="1">
      <protection locked="0"/>
    </xf>
    <xf numFmtId="0" fontId="0" fillId="2" borderId="0" xfId="0" applyFill="1" applyBorder="1" applyProtection="1">
      <protection locked="0"/>
    </xf>
    <xf numFmtId="164" fontId="0" fillId="4" borderId="0" xfId="0" applyNumberFormat="1" applyFill="1" applyProtection="1">
      <protection locked="0"/>
    </xf>
    <xf numFmtId="164" fontId="0" fillId="0" borderId="0" xfId="1" applyNumberFormat="1" applyFont="1" applyBorder="1" applyAlignment="1" applyProtection="1">
      <protection locked="0"/>
    </xf>
    <xf numFmtId="0" fontId="8" fillId="3" borderId="5" xfId="0" applyFont="1" applyFill="1" applyBorder="1" applyAlignment="1">
      <alignment horizontal="center"/>
    </xf>
    <xf numFmtId="0" fontId="8" fillId="0" borderId="0" xfId="0" applyFont="1" applyAlignment="1">
      <alignment horizontal="center" wrapText="1"/>
    </xf>
    <xf numFmtId="164" fontId="8" fillId="3" borderId="2" xfId="0" applyNumberFormat="1" applyFont="1" applyFill="1" applyBorder="1" applyAlignment="1">
      <alignment horizontal="centerContinuous"/>
    </xf>
    <xf numFmtId="164" fontId="0" fillId="4" borderId="21" xfId="0" applyNumberFormat="1" applyFill="1" applyBorder="1"/>
    <xf numFmtId="164" fontId="29" fillId="0" borderId="5" xfId="1" applyNumberFormat="1" applyFont="1" applyBorder="1" applyAlignment="1">
      <alignment horizontal="center"/>
    </xf>
    <xf numFmtId="164" fontId="8" fillId="3" borderId="3" xfId="0" applyNumberFormat="1" applyFont="1" applyFill="1" applyBorder="1" applyAlignment="1">
      <alignment horizontal="center"/>
    </xf>
    <xf numFmtId="164" fontId="0" fillId="0" borderId="7" xfId="1" applyNumberFormat="1" applyFont="1" applyBorder="1" applyProtection="1"/>
    <xf numFmtId="164" fontId="0" fillId="0" borderId="0" xfId="1" applyNumberFormat="1" applyFont="1" applyBorder="1" applyProtection="1"/>
    <xf numFmtId="164" fontId="0" fillId="0" borderId="7" xfId="1" applyNumberFormat="1" applyFont="1" applyFill="1" applyBorder="1" applyProtection="1"/>
    <xf numFmtId="164" fontId="0" fillId="0" borderId="0" xfId="1" applyNumberFormat="1" applyFont="1" applyFill="1" applyBorder="1" applyProtection="1"/>
    <xf numFmtId="164" fontId="0" fillId="6" borderId="7" xfId="1" applyNumberFormat="1" applyFont="1" applyFill="1" applyBorder="1" applyProtection="1"/>
    <xf numFmtId="164" fontId="0" fillId="6" borderId="0" xfId="1" applyNumberFormat="1" applyFont="1" applyFill="1" applyBorder="1" applyProtection="1"/>
    <xf numFmtId="164" fontId="0" fillId="6" borderId="0" xfId="1" applyNumberFormat="1" applyFont="1" applyFill="1" applyProtection="1"/>
    <xf numFmtId="164" fontId="6" fillId="0" borderId="7" xfId="1" applyNumberFormat="1" applyBorder="1" applyProtection="1"/>
    <xf numFmtId="164" fontId="0" fillId="0" borderId="3" xfId="1" applyNumberFormat="1" applyFont="1" applyBorder="1" applyProtection="1"/>
    <xf numFmtId="164" fontId="0" fillId="0" borderId="4" xfId="1" applyNumberFormat="1" applyFont="1" applyBorder="1" applyProtection="1"/>
    <xf numFmtId="164" fontId="0" fillId="0" borderId="0" xfId="1" applyNumberFormat="1" applyFont="1" applyFill="1" applyProtection="1"/>
    <xf numFmtId="0" fontId="0" fillId="0" borderId="0" xfId="0" applyProtection="1"/>
    <xf numFmtId="0" fontId="0" fillId="0" borderId="0" xfId="0" applyAlignment="1" applyProtection="1">
      <alignment wrapText="1"/>
    </xf>
    <xf numFmtId="0" fontId="0" fillId="0" borderId="0" xfId="0" applyAlignment="1" applyProtection="1"/>
    <xf numFmtId="0" fontId="8" fillId="0" borderId="0" xfId="0" applyFont="1" applyProtection="1"/>
    <xf numFmtId="164" fontId="6" fillId="0" borderId="0" xfId="1" applyNumberFormat="1" applyFill="1" applyBorder="1" applyProtection="1"/>
    <xf numFmtId="0" fontId="0" fillId="0" borderId="0" xfId="0" quotePrefix="1" applyProtection="1"/>
    <xf numFmtId="164" fontId="0" fillId="0" borderId="0" xfId="0" applyNumberFormat="1" applyProtection="1"/>
    <xf numFmtId="0" fontId="0" fillId="0" borderId="1" xfId="0" applyBorder="1" applyAlignment="1" applyProtection="1">
      <alignment horizontal="center"/>
    </xf>
    <xf numFmtId="0" fontId="0" fillId="0" borderId="0" xfId="0" applyFill="1" applyProtection="1"/>
    <xf numFmtId="0" fontId="0" fillId="0" borderId="20" xfId="0" applyFill="1" applyBorder="1" applyAlignment="1" applyProtection="1"/>
    <xf numFmtId="164" fontId="0" fillId="0" borderId="0" xfId="1" applyNumberFormat="1" applyFont="1" applyProtection="1"/>
    <xf numFmtId="165" fontId="0" fillId="4" borderId="8" xfId="2" applyNumberFormat="1" applyFont="1" applyFill="1" applyBorder="1" applyProtection="1"/>
    <xf numFmtId="165" fontId="0" fillId="0" borderId="0" xfId="2" applyNumberFormat="1" applyFont="1" applyBorder="1" applyProtection="1"/>
    <xf numFmtId="165" fontId="0" fillId="0" borderId="1" xfId="2" applyNumberFormat="1" applyFont="1" applyBorder="1" applyAlignment="1" applyProtection="1">
      <alignment horizontal="center"/>
    </xf>
    <xf numFmtId="0" fontId="8" fillId="0" borderId="0" xfId="0" applyFont="1" applyFill="1" applyBorder="1" applyProtection="1"/>
    <xf numFmtId="0" fontId="8" fillId="0" borderId="1" xfId="0" applyFont="1" applyBorder="1" applyAlignment="1" applyProtection="1">
      <alignment horizontal="center"/>
    </xf>
    <xf numFmtId="0" fontId="8" fillId="0" borderId="0" xfId="0" applyFont="1" applyAlignment="1" applyProtection="1">
      <alignment horizontal="center"/>
    </xf>
    <xf numFmtId="164" fontId="10" fillId="4" borderId="0" xfId="0" applyNumberFormat="1" applyFont="1" applyFill="1" applyAlignment="1" applyProtection="1">
      <alignment horizontal="center"/>
    </xf>
    <xf numFmtId="164" fontId="0" fillId="4" borderId="0" xfId="1" applyNumberFormat="1" applyFont="1" applyFill="1" applyProtection="1"/>
    <xf numFmtId="0" fontId="0" fillId="0" borderId="0" xfId="0" applyAlignment="1" applyProtection="1">
      <alignment horizontal="left" indent="1"/>
    </xf>
    <xf numFmtId="164" fontId="0" fillId="4" borderId="0" xfId="0" applyNumberFormat="1" applyFill="1" applyBorder="1" applyProtection="1"/>
    <xf numFmtId="0" fontId="0" fillId="0" borderId="0" xfId="0" applyBorder="1" applyProtection="1"/>
    <xf numFmtId="164" fontId="0" fillId="4" borderId="8" xfId="0" applyNumberFormat="1" applyFill="1" applyBorder="1" applyProtection="1"/>
    <xf numFmtId="0" fontId="22" fillId="0" borderId="0" xfId="0" applyFont="1" applyProtection="1"/>
    <xf numFmtId="0" fontId="0" fillId="0" borderId="0" xfId="0" applyFill="1" applyBorder="1" applyProtection="1"/>
    <xf numFmtId="0" fontId="0" fillId="6" borderId="0" xfId="0" applyFill="1" applyProtection="1"/>
    <xf numFmtId="0" fontId="0" fillId="0" borderId="0" xfId="0" applyFill="1" applyBorder="1" applyAlignment="1" applyProtection="1"/>
    <xf numFmtId="0" fontId="0" fillId="6" borderId="0" xfId="0" applyFill="1" applyBorder="1" applyProtection="1"/>
    <xf numFmtId="0" fontId="0" fillId="0" borderId="0" xfId="0" applyBorder="1" applyAlignment="1"/>
    <xf numFmtId="0" fontId="0" fillId="0" borderId="0" xfId="0" quotePrefix="1" applyFill="1" applyProtection="1">
      <protection locked="0"/>
    </xf>
    <xf numFmtId="164" fontId="6" fillId="0" borderId="29" xfId="1" applyNumberFormat="1" applyBorder="1"/>
    <xf numFmtId="164" fontId="0" fillId="0" borderId="7" xfId="1" applyNumberFormat="1" applyFont="1" applyBorder="1" applyAlignment="1" applyProtection="1">
      <protection locked="0"/>
    </xf>
    <xf numFmtId="164" fontId="6" fillId="0" borderId="20" xfId="1" applyNumberFormat="1" applyBorder="1"/>
    <xf numFmtId="164" fontId="6" fillId="0" borderId="2" xfId="1" applyNumberFormat="1" applyBorder="1"/>
    <xf numFmtId="164" fontId="0" fillId="0" borderId="3" xfId="0" applyNumberFormat="1" applyBorder="1" applyAlignment="1">
      <alignment horizontal="center"/>
    </xf>
    <xf numFmtId="0" fontId="0" fillId="0" borderId="2" xfId="0" applyBorder="1" applyAlignment="1">
      <alignment horizontal="center"/>
    </xf>
    <xf numFmtId="0" fontId="0" fillId="3" borderId="21" xfId="0" applyFill="1" applyBorder="1" applyAlignment="1"/>
    <xf numFmtId="0" fontId="0" fillId="3" borderId="3" xfId="0" applyFill="1" applyBorder="1" applyAlignment="1">
      <alignment horizontal="center"/>
    </xf>
    <xf numFmtId="164" fontId="0" fillId="3" borderId="2" xfId="0" applyNumberFormat="1" applyFill="1" applyBorder="1" applyAlignment="1">
      <alignment horizontal="center"/>
    </xf>
    <xf numFmtId="164" fontId="0" fillId="0" borderId="3" xfId="1" applyNumberFormat="1" applyFont="1" applyFill="1" applyBorder="1"/>
    <xf numFmtId="164" fontId="6" fillId="0" borderId="0" xfId="1" applyNumberFormat="1" applyFont="1" applyFill="1" applyAlignment="1">
      <alignment horizontal="center"/>
    </xf>
    <xf numFmtId="165" fontId="0" fillId="4" borderId="13" xfId="0" applyNumberFormat="1" applyFill="1" applyBorder="1" applyProtection="1"/>
    <xf numFmtId="0" fontId="10" fillId="0" borderId="1" xfId="0" applyFont="1" applyBorder="1" applyProtection="1"/>
    <xf numFmtId="0" fontId="0" fillId="0" borderId="1" xfId="0" applyBorder="1" applyProtection="1"/>
    <xf numFmtId="0" fontId="0" fillId="0" borderId="0" xfId="0" applyAlignment="1" applyProtection="1">
      <alignment horizontal="left" indent="2"/>
    </xf>
    <xf numFmtId="0" fontId="22" fillId="0" borderId="0" xfId="0" applyFont="1" applyAlignment="1">
      <alignment horizontal="right"/>
    </xf>
    <xf numFmtId="0" fontId="0" fillId="0" borderId="0" xfId="0" applyAlignment="1">
      <alignment horizontal="left" indent="2"/>
    </xf>
    <xf numFmtId="164" fontId="0" fillId="0" borderId="9" xfId="0" applyNumberFormat="1" applyFill="1" applyBorder="1" applyAlignment="1">
      <alignment horizontal="center"/>
    </xf>
    <xf numFmtId="164" fontId="0" fillId="0" borderId="9" xfId="1" applyNumberFormat="1" applyFont="1" applyBorder="1" applyAlignment="1">
      <alignment horizontal="center"/>
    </xf>
    <xf numFmtId="0" fontId="0" fillId="0" borderId="9" xfId="0" applyBorder="1" applyAlignment="1">
      <alignment horizontal="center"/>
    </xf>
    <xf numFmtId="0" fontId="19" fillId="0" borderId="0" xfId="0" applyFont="1" applyAlignment="1">
      <alignment horizontal="right"/>
    </xf>
    <xf numFmtId="0" fontId="10" fillId="0" borderId="0" xfId="0" quotePrefix="1" applyFont="1" applyAlignment="1">
      <alignment wrapText="1"/>
    </xf>
    <xf numFmtId="0" fontId="29" fillId="0" borderId="0" xfId="0" applyFont="1" applyAlignment="1">
      <alignment horizontal="left" indent="2"/>
    </xf>
    <xf numFmtId="164" fontId="6" fillId="0" borderId="1" xfId="1" applyNumberFormat="1" applyFill="1" applyBorder="1"/>
    <xf numFmtId="0" fontId="0" fillId="3" borderId="30" xfId="0" applyFill="1" applyBorder="1"/>
    <xf numFmtId="0" fontId="7" fillId="0" borderId="0" xfId="0" applyFont="1" applyAlignment="1">
      <alignment wrapText="1"/>
    </xf>
    <xf numFmtId="41" fontId="0" fillId="2" borderId="0" xfId="1" applyNumberFormat="1" applyFont="1" applyFill="1" applyBorder="1" applyProtection="1">
      <protection locked="0"/>
    </xf>
    <xf numFmtId="41" fontId="0" fillId="2" borderId="0" xfId="0" applyNumberFormat="1" applyFill="1" applyBorder="1" applyProtection="1">
      <protection locked="0"/>
    </xf>
    <xf numFmtId="0" fontId="29" fillId="0" borderId="1" xfId="0" applyFont="1" applyFill="1" applyBorder="1" applyAlignment="1">
      <alignment horizontal="center" wrapText="1"/>
    </xf>
    <xf numFmtId="164" fontId="29" fillId="0" borderId="1" xfId="1" applyNumberFormat="1" applyFont="1" applyFill="1" applyBorder="1"/>
    <xf numFmtId="164" fontId="6" fillId="0" borderId="1" xfId="1" applyNumberFormat="1" applyFont="1" applyFill="1" applyBorder="1"/>
    <xf numFmtId="164" fontId="0" fillId="0" borderId="0" xfId="1" applyNumberFormat="1" applyFont="1" applyFill="1" applyBorder="1" applyAlignment="1">
      <alignment horizontal="center"/>
    </xf>
    <xf numFmtId="0" fontId="21" fillId="0" borderId="0" xfId="0" applyFont="1"/>
    <xf numFmtId="0" fontId="21" fillId="0" borderId="0" xfId="0" applyFont="1" applyBorder="1"/>
    <xf numFmtId="0" fontId="42" fillId="0" borderId="0" xfId="0" applyFont="1" applyAlignment="1">
      <alignment wrapText="1"/>
    </xf>
    <xf numFmtId="0" fontId="42" fillId="0" borderId="0" xfId="0" applyFont="1"/>
    <xf numFmtId="0" fontId="0" fillId="3" borderId="30" xfId="0" applyFill="1" applyBorder="1" applyAlignment="1">
      <alignment horizontal="center"/>
    </xf>
    <xf numFmtId="0" fontId="0" fillId="0" borderId="0" xfId="0" quotePrefix="1" applyFill="1" applyProtection="1"/>
    <xf numFmtId="0" fontId="43" fillId="0" borderId="0" xfId="0" applyFont="1" applyAlignment="1">
      <alignment horizontal="center"/>
    </xf>
    <xf numFmtId="164" fontId="9" fillId="0" borderId="0" xfId="1" applyNumberFormat="1" applyFont="1" applyBorder="1" applyAlignment="1">
      <alignment wrapText="1"/>
    </xf>
    <xf numFmtId="164" fontId="9" fillId="0" borderId="1" xfId="1" applyNumberFormat="1" applyFont="1" applyBorder="1" applyAlignment="1">
      <alignment wrapText="1"/>
    </xf>
    <xf numFmtId="0" fontId="8" fillId="7" borderId="0" xfId="0" applyFont="1" applyFill="1"/>
    <xf numFmtId="164" fontId="6" fillId="7" borderId="31" xfId="1" applyNumberFormat="1" applyFill="1" applyBorder="1"/>
    <xf numFmtId="164" fontId="6" fillId="7" borderId="8" xfId="1" applyNumberFormat="1" applyFill="1" applyBorder="1"/>
    <xf numFmtId="164" fontId="6" fillId="7" borderId="32" xfId="1" applyNumberFormat="1" applyFill="1" applyBorder="1"/>
    <xf numFmtId="164" fontId="6" fillId="7" borderId="26" xfId="1" applyNumberFormat="1" applyFill="1" applyBorder="1"/>
    <xf numFmtId="164" fontId="6" fillId="7" borderId="26" xfId="1" applyNumberFormat="1" applyFill="1" applyBorder="1" applyProtection="1"/>
    <xf numFmtId="164" fontId="6" fillId="7" borderId="8" xfId="1" applyNumberFormat="1" applyFill="1" applyBorder="1" applyProtection="1"/>
    <xf numFmtId="164" fontId="29" fillId="7" borderId="7" xfId="1" applyNumberFormat="1" applyFont="1" applyFill="1" applyBorder="1" applyAlignment="1">
      <alignment horizontal="center"/>
    </xf>
    <xf numFmtId="164" fontId="29" fillId="7" borderId="0" xfId="1" applyNumberFormat="1" applyFont="1" applyFill="1" applyBorder="1" applyAlignment="1">
      <alignment horizontal="center"/>
    </xf>
    <xf numFmtId="164" fontId="0" fillId="7" borderId="4" xfId="1" applyNumberFormat="1" applyFont="1" applyFill="1" applyBorder="1"/>
    <xf numFmtId="164" fontId="0" fillId="7" borderId="2" xfId="1" applyNumberFormat="1" applyFont="1" applyFill="1" applyBorder="1"/>
    <xf numFmtId="0" fontId="10" fillId="0" borderId="0" xfId="0" applyFont="1" applyAlignment="1">
      <alignment wrapText="1"/>
    </xf>
    <xf numFmtId="0" fontId="18" fillId="0" borderId="0" xfId="0" applyFont="1" applyAlignment="1">
      <alignment wrapText="1"/>
    </xf>
    <xf numFmtId="0" fontId="0" fillId="4" borderId="9" xfId="0" applyFill="1" applyBorder="1"/>
    <xf numFmtId="164" fontId="9" fillId="0" borderId="0" xfId="1" applyNumberFormat="1" applyFont="1" applyAlignment="1">
      <alignment wrapText="1"/>
    </xf>
    <xf numFmtId="0" fontId="0" fillId="0" borderId="0" xfId="0" quotePrefix="1" applyAlignment="1">
      <alignment horizontal="center"/>
    </xf>
    <xf numFmtId="164" fontId="0" fillId="0" borderId="0" xfId="1" applyNumberFormat="1" applyFont="1" applyAlignment="1">
      <alignment horizontal="left" indent="1"/>
    </xf>
    <xf numFmtId="164" fontId="0" fillId="0" borderId="0" xfId="1" applyNumberFormat="1" applyFont="1" applyAlignment="1">
      <alignment horizontal="right" wrapText="1"/>
    </xf>
    <xf numFmtId="41" fontId="0" fillId="4" borderId="9" xfId="1" applyNumberFormat="1" applyFont="1" applyFill="1" applyBorder="1"/>
    <xf numFmtId="41" fontId="0" fillId="0" borderId="0" xfId="1" applyNumberFormat="1" applyFont="1" applyFill="1" applyBorder="1"/>
    <xf numFmtId="164" fontId="0" fillId="0" borderId="0" xfId="1" applyNumberFormat="1" applyFont="1" applyFill="1" applyAlignment="1">
      <alignment horizontal="right"/>
    </xf>
    <xf numFmtId="41" fontId="0" fillId="0" borderId="0" xfId="0" applyNumberFormat="1" applyFill="1"/>
    <xf numFmtId="0" fontId="0" fillId="0" borderId="0" xfId="0" applyAlignment="1">
      <alignment horizontal="left" wrapText="1"/>
    </xf>
    <xf numFmtId="0" fontId="46" fillId="0" borderId="0" xfId="0" applyFont="1" applyAlignment="1">
      <alignment wrapText="1"/>
    </xf>
    <xf numFmtId="0" fontId="8" fillId="0" borderId="0" xfId="0" quotePrefix="1" applyFont="1" applyFill="1" applyBorder="1"/>
    <xf numFmtId="0" fontId="23" fillId="0" borderId="0" xfId="0" applyFont="1" applyFill="1" applyAlignment="1">
      <alignment wrapText="1"/>
    </xf>
    <xf numFmtId="0" fontId="8" fillId="3" borderId="10" xfId="0" applyFont="1" applyFill="1" applyBorder="1" applyProtection="1"/>
    <xf numFmtId="0" fontId="8" fillId="3" borderId="9" xfId="0" applyFont="1" applyFill="1" applyBorder="1" applyProtection="1"/>
    <xf numFmtId="0" fontId="9" fillId="0" borderId="0" xfId="0" applyFont="1" applyAlignment="1" applyProtection="1">
      <alignment vertical="center" textRotation="90"/>
    </xf>
    <xf numFmtId="164" fontId="6" fillId="0" borderId="0" xfId="1" applyNumberFormat="1" applyBorder="1" applyProtection="1"/>
    <xf numFmtId="164" fontId="0" fillId="0" borderId="20" xfId="1" applyNumberFormat="1" applyFont="1" applyBorder="1" applyProtection="1"/>
    <xf numFmtId="0" fontId="8" fillId="3" borderId="0" xfId="0" applyFont="1" applyFill="1" applyBorder="1" applyProtection="1"/>
    <xf numFmtId="0" fontId="8" fillId="0" borderId="0" xfId="0" applyFont="1" applyFill="1" applyProtection="1"/>
    <xf numFmtId="164" fontId="6" fillId="0" borderId="7" xfId="1" applyNumberFormat="1" applyFill="1" applyBorder="1" applyProtection="1"/>
    <xf numFmtId="164" fontId="0" fillId="0" borderId="20" xfId="1" applyNumberFormat="1" applyFont="1" applyFill="1" applyBorder="1" applyProtection="1"/>
    <xf numFmtId="0" fontId="0" fillId="3" borderId="9" xfId="0" applyFill="1" applyBorder="1" applyProtection="1"/>
    <xf numFmtId="0" fontId="7" fillId="0" borderId="0" xfId="0" applyFont="1" applyProtection="1"/>
    <xf numFmtId="164" fontId="29" fillId="0" borderId="0" xfId="1" applyNumberFormat="1" applyFont="1" applyBorder="1" applyAlignment="1" applyProtection="1">
      <alignment horizontal="center"/>
    </xf>
    <xf numFmtId="164" fontId="29" fillId="0" borderId="7" xfId="1" applyNumberFormat="1" applyFont="1" applyBorder="1" applyAlignment="1" applyProtection="1">
      <alignment horizontal="center"/>
    </xf>
    <xf numFmtId="164" fontId="8" fillId="3" borderId="5" xfId="0" applyNumberFormat="1" applyFont="1" applyFill="1" applyBorder="1" applyAlignment="1">
      <alignment horizontal="center"/>
    </xf>
    <xf numFmtId="164" fontId="8" fillId="3" borderId="21" xfId="0" applyNumberFormat="1" applyFont="1" applyFill="1" applyBorder="1" applyAlignment="1">
      <alignment horizontal="center"/>
    </xf>
    <xf numFmtId="164" fontId="8" fillId="3" borderId="7" xfId="0" applyNumberFormat="1" applyFont="1" applyFill="1" applyBorder="1" applyAlignment="1">
      <alignment horizontal="center"/>
    </xf>
    <xf numFmtId="164" fontId="8" fillId="3" borderId="20" xfId="0" applyNumberFormat="1" applyFont="1" applyFill="1" applyBorder="1" applyAlignment="1">
      <alignment horizontal="center"/>
    </xf>
    <xf numFmtId="164" fontId="0" fillId="2" borderId="0" xfId="0" applyNumberFormat="1" applyFill="1" applyBorder="1" applyAlignment="1" applyProtection="1">
      <protection locked="0"/>
    </xf>
    <xf numFmtId="164" fontId="0" fillId="0" borderId="0" xfId="1" applyNumberFormat="1" applyFont="1" applyBorder="1" applyAlignment="1"/>
    <xf numFmtId="164" fontId="23" fillId="0" borderId="0" xfId="1" applyNumberFormat="1" applyFont="1" applyBorder="1" applyAlignment="1"/>
    <xf numFmtId="164" fontId="0" fillId="4" borderId="0" xfId="0" applyNumberFormat="1" applyFill="1" applyAlignment="1"/>
    <xf numFmtId="164" fontId="0" fillId="0" borderId="0" xfId="0" applyNumberFormat="1" applyFill="1" applyBorder="1" applyAlignment="1"/>
    <xf numFmtId="0" fontId="8" fillId="0" borderId="0" xfId="0" applyFont="1" applyAlignment="1" applyProtection="1">
      <alignment horizontal="center" wrapText="1"/>
    </xf>
    <xf numFmtId="0" fontId="0" fillId="0" borderId="0" xfId="0" applyAlignment="1">
      <alignment horizontal="left"/>
    </xf>
    <xf numFmtId="0" fontId="0" fillId="0" borderId="0" xfId="0" applyAlignment="1">
      <alignment readingOrder="1"/>
    </xf>
    <xf numFmtId="164" fontId="0" fillId="4" borderId="0" xfId="0" applyNumberFormat="1" applyFill="1" applyProtection="1"/>
    <xf numFmtId="0" fontId="0" fillId="0" borderId="0" xfId="0" applyFill="1" applyBorder="1" applyAlignment="1">
      <alignment horizontal="justify"/>
    </xf>
    <xf numFmtId="164" fontId="6" fillId="6" borderId="7" xfId="1" applyNumberFormat="1" applyFill="1" applyBorder="1" applyProtection="1"/>
    <xf numFmtId="164" fontId="6" fillId="6" borderId="0" xfId="1" applyNumberFormat="1" applyFill="1" applyBorder="1" applyProtection="1"/>
    <xf numFmtId="164" fontId="0" fillId="6" borderId="20" xfId="1" applyNumberFormat="1" applyFont="1" applyFill="1" applyBorder="1" applyProtection="1"/>
    <xf numFmtId="164" fontId="8" fillId="3" borderId="3" xfId="1" applyNumberFormat="1" applyFont="1" applyFill="1" applyBorder="1" applyAlignment="1">
      <alignment horizontal="center"/>
    </xf>
    <xf numFmtId="164" fontId="9" fillId="0" borderId="0" xfId="0" applyNumberFormat="1" applyFont="1" applyAlignment="1">
      <alignment wrapText="1"/>
    </xf>
    <xf numFmtId="164" fontId="9" fillId="0" borderId="0" xfId="1" applyNumberFormat="1" applyFont="1" applyBorder="1" applyAlignment="1">
      <alignment horizontal="center" wrapText="1"/>
    </xf>
    <xf numFmtId="0" fontId="29" fillId="0" borderId="0" xfId="0" applyFont="1" applyFill="1" applyBorder="1" applyAlignment="1">
      <alignment horizontal="center" wrapText="1"/>
    </xf>
    <xf numFmtId="164" fontId="9" fillId="0" borderId="0" xfId="1" applyNumberFormat="1" applyFont="1" applyFill="1" applyBorder="1" applyAlignment="1">
      <alignment wrapText="1"/>
    </xf>
    <xf numFmtId="164" fontId="6" fillId="0" borderId="0" xfId="1" applyNumberFormat="1" applyFont="1" applyBorder="1" applyAlignment="1">
      <alignment horizontal="right"/>
    </xf>
    <xf numFmtId="0" fontId="0" fillId="0" borderId="15" xfId="0" applyBorder="1" applyProtection="1"/>
    <xf numFmtId="0" fontId="0" fillId="0" borderId="16" xfId="0" applyBorder="1" applyProtection="1"/>
    <xf numFmtId="0" fontId="0" fillId="0" borderId="24" xfId="0" applyBorder="1" applyProtection="1"/>
    <xf numFmtId="0" fontId="0" fillId="0" borderId="17" xfId="0" applyBorder="1" applyProtection="1"/>
    <xf numFmtId="0" fontId="0" fillId="0" borderId="18" xfId="0" applyBorder="1" applyProtection="1"/>
    <xf numFmtId="0" fontId="0" fillId="0" borderId="11" xfId="0" applyBorder="1" applyProtection="1"/>
    <xf numFmtId="0" fontId="0" fillId="0" borderId="12" xfId="0" applyBorder="1" applyProtection="1"/>
    <xf numFmtId="164" fontId="10" fillId="0" borderId="1" xfId="1" applyNumberFormat="1" applyFont="1" applyBorder="1"/>
    <xf numFmtId="0" fontId="8" fillId="0" borderId="1" xfId="0" applyFont="1" applyBorder="1" applyAlignment="1">
      <alignment horizontal="center" wrapText="1"/>
    </xf>
    <xf numFmtId="0" fontId="6" fillId="0" borderId="0" xfId="0" applyFont="1" applyFill="1" applyProtection="1"/>
    <xf numFmtId="0" fontId="6" fillId="0" borderId="0" xfId="0" applyFont="1" applyAlignment="1">
      <alignment horizontal="left" wrapText="1" indent="1"/>
    </xf>
    <xf numFmtId="0" fontId="6" fillId="0" borderId="0" xfId="0" applyFont="1"/>
    <xf numFmtId="164" fontId="6" fillId="0" borderId="0" xfId="1" applyNumberFormat="1" applyFont="1" applyAlignment="1">
      <alignment horizontal="center"/>
    </xf>
    <xf numFmtId="164" fontId="6" fillId="0" borderId="1" xfId="1" applyNumberFormat="1" applyFont="1" applyBorder="1"/>
    <xf numFmtId="0" fontId="0" fillId="9" borderId="0" xfId="0" applyFill="1"/>
    <xf numFmtId="0" fontId="0" fillId="9" borderId="0" xfId="0" applyFill="1" applyProtection="1"/>
    <xf numFmtId="0" fontId="6" fillId="0" borderId="0" xfId="0" applyFont="1" applyAlignment="1"/>
    <xf numFmtId="0" fontId="6" fillId="0" borderId="0" xfId="0" applyFont="1" applyAlignment="1">
      <alignment wrapText="1"/>
    </xf>
    <xf numFmtId="0" fontId="0" fillId="0" borderId="0" xfId="0"/>
    <xf numFmtId="0" fontId="8" fillId="0" borderId="0" xfId="0" applyFont="1"/>
    <xf numFmtId="0" fontId="0" fillId="0" borderId="0" xfId="0" applyFill="1" applyBorder="1" applyAlignment="1">
      <alignment horizontal="center"/>
    </xf>
    <xf numFmtId="164" fontId="0" fillId="4" borderId="0" xfId="1" applyNumberFormat="1" applyFont="1" applyFill="1"/>
    <xf numFmtId="0" fontId="0" fillId="0" borderId="0" xfId="0" applyFill="1"/>
    <xf numFmtId="164" fontId="9" fillId="0" borderId="0" xfId="1" applyNumberFormat="1" applyFont="1" applyBorder="1" applyAlignment="1">
      <alignment horizontal="center" wrapText="1"/>
    </xf>
    <xf numFmtId="164" fontId="19" fillId="0" borderId="0" xfId="1" applyNumberFormat="1" applyFont="1" applyBorder="1" applyAlignment="1">
      <alignment horizontal="right"/>
    </xf>
    <xf numFmtId="164" fontId="6" fillId="2" borderId="0" xfId="1" applyNumberFormat="1" applyFill="1" applyBorder="1" applyProtection="1">
      <protection locked="0"/>
    </xf>
    <xf numFmtId="0" fontId="50" fillId="0" borderId="1" xfId="0" applyFont="1" applyBorder="1" applyAlignment="1">
      <alignment horizontal="centerContinuous"/>
    </xf>
    <xf numFmtId="0" fontId="51" fillId="0" borderId="0" xfId="0" applyFont="1" applyFill="1" applyBorder="1" applyAlignment="1">
      <alignment horizontal="center" wrapText="1"/>
    </xf>
    <xf numFmtId="43" fontId="0" fillId="0" borderId="0" xfId="0" applyNumberFormat="1"/>
    <xf numFmtId="0" fontId="53" fillId="4" borderId="39" xfId="0" applyFont="1" applyFill="1" applyBorder="1" applyAlignment="1"/>
    <xf numFmtId="43" fontId="0" fillId="0" borderId="0" xfId="1" applyFont="1"/>
    <xf numFmtId="0" fontId="6" fillId="0" borderId="0" xfId="0" applyFont="1" applyAlignment="1">
      <alignment horizontal="center"/>
    </xf>
    <xf numFmtId="0" fontId="8" fillId="0" borderId="0" xfId="0" applyFont="1" applyAlignment="1">
      <alignment horizontal="right" vertical="top"/>
    </xf>
    <xf numFmtId="0" fontId="8" fillId="0" borderId="0" xfId="0" applyFont="1" applyFill="1" applyBorder="1" applyAlignment="1">
      <alignment horizontal="left"/>
    </xf>
    <xf numFmtId="43" fontId="6" fillId="0" borderId="0" xfId="1" applyFont="1" applyAlignment="1">
      <alignment horizontal="center"/>
    </xf>
    <xf numFmtId="164" fontId="6" fillId="4" borderId="0" xfId="1" applyNumberFormat="1" applyFill="1" applyAlignment="1">
      <alignment horizontal="right"/>
    </xf>
    <xf numFmtId="164" fontId="6" fillId="4" borderId="8" xfId="1" applyNumberFormat="1" applyFill="1" applyBorder="1" applyAlignment="1">
      <alignment horizontal="right"/>
    </xf>
    <xf numFmtId="0" fontId="0" fillId="0" borderId="0" xfId="0"/>
    <xf numFmtId="0" fontId="0" fillId="0" borderId="0" xfId="0" applyFill="1"/>
    <xf numFmtId="164" fontId="6" fillId="12" borderId="0" xfId="1" applyNumberFormat="1" applyFill="1" applyBorder="1" applyProtection="1">
      <protection locked="0"/>
    </xf>
    <xf numFmtId="0" fontId="8" fillId="0" borderId="0" xfId="0" applyFont="1"/>
    <xf numFmtId="0" fontId="0" fillId="0" borderId="0" xfId="0" applyAlignment="1">
      <alignment wrapText="1"/>
    </xf>
    <xf numFmtId="0" fontId="0" fillId="0" borderId="0" xfId="0"/>
    <xf numFmtId="164" fontId="0" fillId="4" borderId="0" xfId="0" applyNumberFormat="1" applyFill="1" applyBorder="1"/>
    <xf numFmtId="164" fontId="9" fillId="0" borderId="0" xfId="1" applyNumberFormat="1" applyFont="1" applyBorder="1" applyAlignment="1">
      <alignment wrapText="1"/>
    </xf>
    <xf numFmtId="0" fontId="0" fillId="0" borderId="0" xfId="0" applyFill="1" applyBorder="1"/>
    <xf numFmtId="0" fontId="0" fillId="0" borderId="17" xfId="0" applyBorder="1" applyAlignment="1">
      <alignment horizontal="center"/>
    </xf>
    <xf numFmtId="0" fontId="0" fillId="0" borderId="0" xfId="0" applyFill="1"/>
    <xf numFmtId="164" fontId="9" fillId="0" borderId="0" xfId="1" applyNumberFormat="1" applyFont="1" applyBorder="1" applyAlignment="1">
      <alignment horizontal="center" wrapText="1"/>
    </xf>
    <xf numFmtId="0" fontId="6" fillId="0" borderId="0" xfId="0" applyFont="1" applyAlignment="1">
      <alignment horizontal="left" vertical="top" wrapText="1"/>
    </xf>
    <xf numFmtId="10" fontId="8" fillId="0" borderId="0" xfId="3" applyNumberFormat="1" applyFont="1" applyFill="1" applyBorder="1" applyAlignment="1">
      <alignment horizontal="center"/>
    </xf>
    <xf numFmtId="0" fontId="54" fillId="0" borderId="0" xfId="0" applyFont="1" applyFill="1" applyBorder="1" applyAlignment="1">
      <alignment horizontal="left"/>
    </xf>
    <xf numFmtId="0" fontId="53" fillId="0" borderId="0" xfId="0" applyFont="1" applyFill="1" applyBorder="1" applyAlignment="1"/>
    <xf numFmtId="0" fontId="8" fillId="0" borderId="17" xfId="0" applyFont="1" applyFill="1" applyBorder="1" applyAlignment="1">
      <alignment horizontal="left"/>
    </xf>
    <xf numFmtId="0" fontId="8" fillId="0" borderId="18" xfId="0" applyFont="1" applyFill="1" applyBorder="1" applyAlignment="1">
      <alignment horizontal="left"/>
    </xf>
    <xf numFmtId="0" fontId="54" fillId="0" borderId="17" xfId="0" applyFont="1" applyFill="1" applyBorder="1" applyAlignment="1">
      <alignment horizontal="left"/>
    </xf>
    <xf numFmtId="0" fontId="53" fillId="0" borderId="17" xfId="0" applyFont="1" applyFill="1" applyBorder="1" applyAlignment="1"/>
    <xf numFmtId="0" fontId="8" fillId="0" borderId="17" xfId="0" applyFont="1" applyBorder="1"/>
    <xf numFmtId="0" fontId="54" fillId="0" borderId="11" xfId="0" applyFont="1" applyFill="1" applyBorder="1" applyAlignment="1">
      <alignment horizontal="left"/>
    </xf>
    <xf numFmtId="10" fontId="8" fillId="0" borderId="1" xfId="3" applyNumberFormat="1" applyFont="1" applyFill="1" applyBorder="1" applyAlignment="1">
      <alignment horizontal="center"/>
    </xf>
    <xf numFmtId="0" fontId="8" fillId="0" borderId="12" xfId="0" applyFont="1" applyFill="1" applyBorder="1" applyAlignment="1">
      <alignment horizontal="left"/>
    </xf>
    <xf numFmtId="0" fontId="6" fillId="0" borderId="0" xfId="0" applyFont="1" applyBorder="1"/>
    <xf numFmtId="0" fontId="14" fillId="0" borderId="15" xfId="0" applyFont="1" applyFill="1" applyBorder="1" applyAlignment="1">
      <alignment horizontal="left" vertical="center"/>
    </xf>
    <xf numFmtId="0" fontId="14" fillId="0" borderId="16" xfId="0" applyFont="1" applyFill="1" applyBorder="1" applyAlignment="1">
      <alignment horizontal="left" vertical="center"/>
    </xf>
    <xf numFmtId="0" fontId="0" fillId="3" borderId="40" xfId="0" applyFill="1" applyBorder="1" applyAlignment="1">
      <alignment horizontal="center"/>
    </xf>
    <xf numFmtId="0" fontId="14" fillId="0" borderId="0" xfId="0" applyFont="1" applyFill="1" applyAlignment="1">
      <alignment horizontal="left" vertical="center"/>
    </xf>
    <xf numFmtId="43" fontId="6" fillId="0" borderId="17" xfId="1" applyFont="1" applyFill="1" applyBorder="1"/>
    <xf numFmtId="43" fontId="6" fillId="0" borderId="0" xfId="1" applyFont="1" applyFill="1" applyBorder="1"/>
    <xf numFmtId="0" fontId="0" fillId="3" borderId="19" xfId="0" applyFill="1" applyBorder="1" applyAlignment="1">
      <alignment horizontal="center"/>
    </xf>
    <xf numFmtId="43" fontId="6" fillId="0" borderId="11" xfId="1" applyFont="1" applyFill="1" applyBorder="1" applyAlignment="1">
      <alignment horizontal="center"/>
    </xf>
    <xf numFmtId="0" fontId="0" fillId="3" borderId="14" xfId="0" applyFill="1" applyBorder="1" applyAlignment="1">
      <alignment horizontal="center"/>
    </xf>
    <xf numFmtId="164" fontId="0" fillId="3" borderId="19" xfId="1" applyNumberFormat="1" applyFont="1" applyFill="1" applyBorder="1" applyAlignment="1">
      <alignment horizontal="center"/>
    </xf>
    <xf numFmtId="164" fontId="0" fillId="0" borderId="39" xfId="0" applyNumberFormat="1" applyBorder="1"/>
    <xf numFmtId="164" fontId="6" fillId="0" borderId="15" xfId="1" applyNumberFormat="1" applyFont="1" applyBorder="1"/>
    <xf numFmtId="164" fontId="6" fillId="0" borderId="24" xfId="1" applyNumberFormat="1" applyFont="1" applyBorder="1"/>
    <xf numFmtId="164" fontId="6" fillId="0" borderId="17" xfId="1" applyNumberFormat="1" applyFont="1" applyBorder="1"/>
    <xf numFmtId="164" fontId="6" fillId="0" borderId="18" xfId="1" applyNumberFormat="1" applyFont="1" applyBorder="1"/>
    <xf numFmtId="164" fontId="0" fillId="0" borderId="10" xfId="0" applyNumberFormat="1" applyBorder="1"/>
    <xf numFmtId="164" fontId="0" fillId="0" borderId="37" xfId="0" applyNumberFormat="1" applyBorder="1"/>
    <xf numFmtId="164" fontId="0" fillId="0" borderId="24" xfId="1" applyNumberFormat="1" applyFont="1" applyBorder="1"/>
    <xf numFmtId="164" fontId="0" fillId="0" borderId="18" xfId="1" applyNumberFormat="1" applyFont="1" applyBorder="1"/>
    <xf numFmtId="0" fontId="8" fillId="0" borderId="0" xfId="0" applyFont="1"/>
    <xf numFmtId="0" fontId="0" fillId="0" borderId="0" xfId="0" applyAlignment="1">
      <alignment wrapText="1"/>
    </xf>
    <xf numFmtId="0" fontId="0" fillId="0" borderId="0" xfId="0"/>
    <xf numFmtId="164" fontId="49" fillId="0" borderId="0" xfId="1" applyNumberFormat="1" applyFont="1" applyFill="1" applyBorder="1" applyProtection="1">
      <protection locked="0"/>
    </xf>
    <xf numFmtId="0" fontId="6" fillId="0" borderId="0" xfId="0" quotePrefix="1" applyFont="1" applyAlignment="1">
      <alignment vertical="top"/>
    </xf>
    <xf numFmtId="0" fontId="55" fillId="0" borderId="0" xfId="0" applyFont="1" applyFill="1" applyBorder="1" applyAlignment="1">
      <alignment horizontal="left"/>
    </xf>
    <xf numFmtId="0" fontId="55" fillId="0" borderId="1" xfId="0" applyFont="1" applyFill="1" applyBorder="1" applyAlignment="1">
      <alignment horizontal="left"/>
    </xf>
    <xf numFmtId="0" fontId="0" fillId="0" borderId="0" xfId="0" applyAlignment="1">
      <alignment wrapText="1"/>
    </xf>
    <xf numFmtId="0" fontId="0" fillId="0" borderId="0" xfId="0"/>
    <xf numFmtId="0" fontId="0" fillId="0" borderId="0" xfId="0" applyFill="1" applyBorder="1"/>
    <xf numFmtId="41" fontId="0" fillId="2" borderId="17" xfId="0" applyNumberFormat="1" applyFill="1" applyBorder="1" applyProtection="1">
      <protection locked="0"/>
    </xf>
    <xf numFmtId="0" fontId="0" fillId="0" borderId="0" xfId="0" applyAlignment="1">
      <alignment wrapText="1"/>
    </xf>
    <xf numFmtId="0" fontId="0" fillId="0" borderId="0" xfId="0"/>
    <xf numFmtId="0" fontId="50" fillId="0" borderId="0" xfId="4" applyFont="1" applyFill="1"/>
    <xf numFmtId="0" fontId="5" fillId="0" borderId="0" xfId="4" applyFill="1"/>
    <xf numFmtId="0" fontId="50" fillId="0" borderId="1" xfId="4" applyFont="1" applyFill="1" applyBorder="1" applyAlignment="1">
      <alignment horizontal="centerContinuous"/>
    </xf>
    <xf numFmtId="0" fontId="51" fillId="0" borderId="0" xfId="4" applyFont="1" applyFill="1" applyBorder="1" applyAlignment="1">
      <alignment horizontal="center" wrapText="1"/>
    </xf>
    <xf numFmtId="164" fontId="5" fillId="0" borderId="0" xfId="4" applyNumberFormat="1" applyFill="1"/>
    <xf numFmtId="0" fontId="56" fillId="0" borderId="0" xfId="4" applyFont="1" applyFill="1" applyBorder="1" applyAlignment="1">
      <alignment horizontal="center"/>
    </xf>
    <xf numFmtId="0" fontId="56" fillId="0" borderId="0" xfId="4" applyFont="1" applyFill="1" applyBorder="1" applyAlignment="1">
      <alignment horizontal="left"/>
    </xf>
    <xf numFmtId="169" fontId="56" fillId="0" borderId="0" xfId="5" applyNumberFormat="1" applyFont="1" applyFill="1"/>
    <xf numFmtId="164" fontId="56" fillId="0" borderId="0" xfId="6" applyNumberFormat="1" applyFont="1" applyFill="1"/>
    <xf numFmtId="168" fontId="56" fillId="0" borderId="0" xfId="4" applyNumberFormat="1" applyFont="1" applyFill="1"/>
    <xf numFmtId="164" fontId="56" fillId="0" borderId="0" xfId="4" applyNumberFormat="1" applyFont="1" applyFill="1"/>
    <xf numFmtId="164" fontId="0" fillId="0" borderId="0" xfId="6" applyNumberFormat="1" applyFont="1" applyFill="1"/>
    <xf numFmtId="170" fontId="56" fillId="0" borderId="0" xfId="5" applyNumberFormat="1" applyFont="1" applyFill="1"/>
    <xf numFmtId="0" fontId="56" fillId="0" borderId="0" xfId="4" applyFont="1" applyFill="1" applyAlignment="1">
      <alignment horizontal="center"/>
    </xf>
    <xf numFmtId="164" fontId="50" fillId="0" borderId="0" xfId="4" applyNumberFormat="1" applyFont="1" applyFill="1"/>
    <xf numFmtId="164" fontId="50" fillId="0" borderId="0" xfId="6" applyNumberFormat="1" applyFont="1" applyFill="1"/>
    <xf numFmtId="43" fontId="50" fillId="0" borderId="0" xfId="4" applyNumberFormat="1" applyFont="1" applyFill="1"/>
    <xf numFmtId="0" fontId="57" fillId="0" borderId="0" xfId="4" applyFont="1" applyFill="1" applyAlignment="1">
      <alignment horizontal="center"/>
    </xf>
    <xf numFmtId="164" fontId="57" fillId="0" borderId="0" xfId="6" applyNumberFormat="1" applyFont="1" applyFill="1" applyAlignment="1">
      <alignment horizontal="center"/>
    </xf>
    <xf numFmtId="43" fontId="0" fillId="0" borderId="0" xfId="6" applyFont="1" applyFill="1"/>
    <xf numFmtId="170" fontId="0" fillId="0" borderId="0" xfId="5" applyNumberFormat="1" applyFont="1" applyFill="1"/>
    <xf numFmtId="164" fontId="0" fillId="0" borderId="0" xfId="6" applyNumberFormat="1" applyFont="1"/>
    <xf numFmtId="0" fontId="0" fillId="0" borderId="0" xfId="0" applyFill="1" applyBorder="1" applyAlignment="1">
      <alignment horizontal="right"/>
    </xf>
    <xf numFmtId="170" fontId="0" fillId="0" borderId="0" xfId="5" applyNumberFormat="1" applyFont="1"/>
    <xf numFmtId="0" fontId="50" fillId="0" borderId="0" xfId="0" applyFont="1" applyAlignment="1">
      <alignment horizontal="center"/>
    </xf>
    <xf numFmtId="2" fontId="0" fillId="0" borderId="0" xfId="0" applyNumberFormat="1" applyFill="1" applyBorder="1"/>
    <xf numFmtId="0" fontId="5" fillId="0" borderId="0" xfId="4" applyFill="1" applyAlignment="1">
      <alignment horizontal="center"/>
    </xf>
    <xf numFmtId="170" fontId="0" fillId="0" borderId="0" xfId="3" applyNumberFormat="1" applyFont="1"/>
    <xf numFmtId="0" fontId="0" fillId="0" borderId="0" xfId="0"/>
    <xf numFmtId="0" fontId="0" fillId="0" borderId="0" xfId="0" applyFill="1"/>
    <xf numFmtId="0" fontId="6" fillId="6" borderId="0" xfId="0" applyFont="1" applyFill="1" applyProtection="1"/>
    <xf numFmtId="0" fontId="6" fillId="0" borderId="0" xfId="0" applyFont="1" applyAlignment="1">
      <alignment wrapText="1"/>
    </xf>
    <xf numFmtId="0" fontId="0" fillId="0" borderId="0" xfId="0" applyFill="1" applyBorder="1"/>
    <xf numFmtId="0" fontId="0" fillId="0" borderId="0" xfId="0" applyFill="1" applyBorder="1" applyAlignment="1">
      <alignment horizontal="center"/>
    </xf>
    <xf numFmtId="0" fontId="0" fillId="0" borderId="0" xfId="0" applyFill="1"/>
    <xf numFmtId="0" fontId="50" fillId="0" borderId="0" xfId="7" applyFont="1" applyFill="1"/>
    <xf numFmtId="0" fontId="4" fillId="0" borderId="0" xfId="7" applyFill="1"/>
    <xf numFmtId="0" fontId="50" fillId="0" borderId="1" xfId="7" applyFont="1" applyFill="1" applyBorder="1" applyAlignment="1">
      <alignment horizontal="centerContinuous"/>
    </xf>
    <xf numFmtId="0" fontId="51" fillId="0" borderId="0" xfId="7" applyFont="1" applyFill="1" applyBorder="1" applyAlignment="1">
      <alignment horizontal="center" wrapText="1"/>
    </xf>
    <xf numFmtId="0" fontId="56" fillId="0" borderId="0" xfId="7" applyFont="1" applyFill="1" applyBorder="1" applyAlignment="1">
      <alignment horizontal="center"/>
    </xf>
    <xf numFmtId="0" fontId="56" fillId="0" borderId="0" xfId="7" applyFont="1" applyFill="1" applyBorder="1" applyAlignment="1">
      <alignment horizontal="left"/>
    </xf>
    <xf numFmtId="170" fontId="56" fillId="0" borderId="0" xfId="8" applyNumberFormat="1" applyFont="1" applyFill="1"/>
    <xf numFmtId="164" fontId="56" fillId="0" borderId="0" xfId="9" applyNumberFormat="1" applyFont="1" applyFill="1"/>
    <xf numFmtId="168" fontId="56" fillId="0" borderId="0" xfId="7" applyNumberFormat="1" applyFont="1" applyFill="1"/>
    <xf numFmtId="164" fontId="56" fillId="0" borderId="0" xfId="7" applyNumberFormat="1" applyFont="1" applyFill="1"/>
    <xf numFmtId="0" fontId="56" fillId="0" borderId="0" xfId="7" applyFont="1" applyFill="1" applyAlignment="1">
      <alignment horizontal="center"/>
    </xf>
    <xf numFmtId="0" fontId="4" fillId="0" borderId="0" xfId="7" applyFont="1" applyFill="1" applyAlignment="1">
      <alignment horizontal="center"/>
    </xf>
    <xf numFmtId="170" fontId="0" fillId="0" borderId="0" xfId="8" applyNumberFormat="1" applyFont="1" applyFill="1"/>
    <xf numFmtId="164" fontId="0" fillId="0" borderId="0" xfId="9" applyNumberFormat="1" applyFont="1" applyFill="1"/>
    <xf numFmtId="164" fontId="4" fillId="0" borderId="0" xfId="7" applyNumberFormat="1" applyFill="1"/>
    <xf numFmtId="0" fontId="4" fillId="0" borderId="0" xfId="7" applyFont="1" applyFill="1"/>
    <xf numFmtId="43" fontId="50" fillId="0" borderId="0" xfId="7" applyNumberFormat="1" applyFont="1" applyFill="1"/>
    <xf numFmtId="164" fontId="4" fillId="0" borderId="0" xfId="7" applyNumberFormat="1" applyFont="1" applyFill="1"/>
    <xf numFmtId="170" fontId="50" fillId="0" borderId="0" xfId="7" applyNumberFormat="1" applyFont="1" applyFill="1"/>
    <xf numFmtId="164" fontId="50" fillId="0" borderId="0" xfId="9" applyNumberFormat="1" applyFont="1" applyFill="1"/>
    <xf numFmtId="0" fontId="57" fillId="0" borderId="0" xfId="7" applyFont="1" applyFill="1" applyAlignment="1">
      <alignment horizontal="center"/>
    </xf>
    <xf numFmtId="164" fontId="57" fillId="0" borderId="0" xfId="9" applyNumberFormat="1" applyFont="1" applyFill="1" applyAlignment="1">
      <alignment horizontal="center"/>
    </xf>
    <xf numFmtId="0" fontId="4" fillId="11" borderId="0" xfId="7" applyFill="1"/>
    <xf numFmtId="0" fontId="58" fillId="11" borderId="0" xfId="7" applyFont="1" applyFill="1"/>
    <xf numFmtId="0" fontId="56" fillId="10" borderId="0" xfId="7" applyFont="1" applyFill="1"/>
    <xf numFmtId="0" fontId="4" fillId="0" borderId="0" xfId="7" applyFill="1" applyAlignment="1">
      <alignment horizontal="center"/>
    </xf>
    <xf numFmtId="0" fontId="4" fillId="0" borderId="0" xfId="7" applyFill="1" applyAlignment="1"/>
    <xf numFmtId="43" fontId="0" fillId="0" borderId="0" xfId="9" applyFont="1" applyFill="1"/>
    <xf numFmtId="168" fontId="4" fillId="0" borderId="0" xfId="7" applyNumberFormat="1" applyFill="1"/>
    <xf numFmtId="164" fontId="0" fillId="0" borderId="0" xfId="6" applyNumberFormat="1" applyFont="1" applyFill="1" applyBorder="1"/>
    <xf numFmtId="43" fontId="0" fillId="0" borderId="0" xfId="6" applyFont="1" applyFill="1" applyBorder="1"/>
    <xf numFmtId="43" fontId="0" fillId="0" borderId="0" xfId="0" applyNumberFormat="1" applyFill="1" applyBorder="1"/>
    <xf numFmtId="43" fontId="50" fillId="0" borderId="0" xfId="0" applyNumberFormat="1" applyFont="1" applyFill="1" applyBorder="1"/>
    <xf numFmtId="0" fontId="50" fillId="0" borderId="0" xfId="0" applyFont="1" applyFill="1" applyBorder="1"/>
    <xf numFmtId="164" fontId="0" fillId="0" borderId="0" xfId="0" applyNumberFormat="1" applyFill="1" applyBorder="1" applyAlignment="1">
      <alignment horizontal="center"/>
    </xf>
    <xf numFmtId="0" fontId="0" fillId="0" borderId="0" xfId="0" applyFill="1" applyBorder="1" applyAlignment="1">
      <alignment horizontal="right" wrapText="1"/>
    </xf>
    <xf numFmtId="0" fontId="50" fillId="0" borderId="0" xfId="0" applyFont="1" applyFill="1" applyBorder="1" applyAlignment="1">
      <alignment horizontal="center" wrapText="1"/>
    </xf>
    <xf numFmtId="0" fontId="0" fillId="0" borderId="0" xfId="0" applyFill="1" applyBorder="1" applyAlignment="1">
      <alignment horizontal="left" wrapText="1"/>
    </xf>
    <xf numFmtId="164" fontId="0" fillId="0" borderId="0" xfId="0" applyNumberFormat="1" applyFill="1" applyBorder="1" applyAlignment="1">
      <alignment horizontal="right" wrapText="1"/>
    </xf>
    <xf numFmtId="164" fontId="0" fillId="3" borderId="18" xfId="1" applyNumberFormat="1" applyFont="1" applyFill="1" applyBorder="1" applyAlignment="1">
      <alignment horizontal="center"/>
    </xf>
    <xf numFmtId="0" fontId="0" fillId="13" borderId="0" xfId="0" applyFill="1" applyBorder="1" applyProtection="1">
      <protection locked="0"/>
    </xf>
    <xf numFmtId="0" fontId="0" fillId="0" borderId="0" xfId="0" applyAlignment="1">
      <alignment wrapText="1"/>
    </xf>
    <xf numFmtId="0" fontId="0" fillId="0" borderId="0" xfId="0"/>
    <xf numFmtId="0" fontId="6" fillId="0" borderId="0" xfId="0" applyFont="1" applyAlignment="1">
      <alignment wrapText="1"/>
    </xf>
    <xf numFmtId="0" fontId="0" fillId="0" borderId="0" xfId="0" applyFill="1" applyBorder="1"/>
    <xf numFmtId="0" fontId="0" fillId="0" borderId="0" xfId="0" applyFill="1" applyBorder="1" applyAlignment="1">
      <alignment horizontal="center"/>
    </xf>
    <xf numFmtId="0" fontId="8" fillId="0" borderId="0" xfId="0" applyFont="1" applyFill="1" applyBorder="1"/>
    <xf numFmtId="0" fontId="0" fillId="0" borderId="17" xfId="0" applyBorder="1" applyAlignment="1">
      <alignment horizontal="center"/>
    </xf>
    <xf numFmtId="0" fontId="0" fillId="0" borderId="0" xfId="0"/>
    <xf numFmtId="0" fontId="6" fillId="0" borderId="0" xfId="0" applyFont="1" applyAlignment="1">
      <alignment wrapText="1"/>
    </xf>
    <xf numFmtId="0" fontId="0" fillId="0" borderId="0" xfId="0" applyFill="1"/>
    <xf numFmtId="0" fontId="61" fillId="0" borderId="0" xfId="11" applyFont="1" applyFill="1" applyBorder="1" applyAlignment="1">
      <alignment horizontal="fill"/>
    </xf>
    <xf numFmtId="0" fontId="60" fillId="0" borderId="0" xfId="11" applyFill="1" applyBorder="1" applyAlignment="1"/>
    <xf numFmtId="0" fontId="62" fillId="0" borderId="0" xfId="12" applyNumberFormat="1" applyFont="1" applyFill="1" applyBorder="1" applyAlignment="1" applyProtection="1"/>
    <xf numFmtId="0" fontId="64" fillId="0" borderId="0" xfId="13" applyFont="1" applyFill="1" applyBorder="1">
      <alignment horizontal="centerContinuous"/>
    </xf>
    <xf numFmtId="171" fontId="59" fillId="0" borderId="0" xfId="10" applyNumberFormat="1" applyFont="1" applyFill="1" applyBorder="1" applyAlignment="1"/>
    <xf numFmtId="0" fontId="59" fillId="0" borderId="0" xfId="14" applyFont="1" applyFill="1" applyBorder="1" applyAlignment="1"/>
    <xf numFmtId="0" fontId="66" fillId="0" borderId="0" xfId="14" applyFont="1" applyFill="1" applyBorder="1" applyAlignment="1"/>
    <xf numFmtId="0" fontId="26" fillId="0" borderId="0" xfId="14" applyFont="1" applyFill="1" applyBorder="1" applyAlignment="1">
      <alignment horizontal="center"/>
    </xf>
    <xf numFmtId="0" fontId="66" fillId="0" borderId="0" xfId="14" applyFont="1" applyFill="1" applyBorder="1" applyAlignment="1">
      <alignment horizontal="centerContinuous"/>
    </xf>
    <xf numFmtId="0" fontId="26" fillId="0" borderId="0" xfId="14" applyFont="1" applyFill="1" applyBorder="1" applyAlignment="1">
      <alignment horizontal="centerContinuous"/>
    </xf>
    <xf numFmtId="171" fontId="67" fillId="0" borderId="0" xfId="10" applyNumberFormat="1" applyFont="1" applyFill="1" applyBorder="1" applyAlignment="1">
      <alignment horizontal="center" wrapText="1"/>
    </xf>
    <xf numFmtId="0" fontId="67" fillId="0" borderId="0" xfId="15" applyFont="1" applyFill="1" applyBorder="1">
      <alignment horizontal="center"/>
    </xf>
    <xf numFmtId="0" fontId="67" fillId="0" borderId="0" xfId="15" applyFont="1" applyFill="1" applyBorder="1" applyAlignment="1">
      <alignment horizontal="center" wrapText="1"/>
    </xf>
    <xf numFmtId="172" fontId="67" fillId="0" borderId="0" xfId="15" applyNumberFormat="1" applyFont="1" applyFill="1" applyBorder="1" applyAlignment="1">
      <alignment horizontal="center" wrapText="1"/>
    </xf>
    <xf numFmtId="171" fontId="67" fillId="0" borderId="0" xfId="10" applyNumberFormat="1" applyFont="1" applyFill="1" applyBorder="1" applyAlignment="1">
      <alignment horizontal="center"/>
    </xf>
    <xf numFmtId="38" fontId="32" fillId="0" borderId="0" xfId="11" applyNumberFormat="1" applyFont="1" applyFill="1" applyBorder="1" applyAlignment="1">
      <alignment horizontal="right" wrapText="1"/>
    </xf>
    <xf numFmtId="38" fontId="32" fillId="0" borderId="0" xfId="11" applyNumberFormat="1" applyFont="1" applyFill="1" applyBorder="1" applyAlignment="1">
      <alignment wrapText="1"/>
    </xf>
    <xf numFmtId="41" fontId="68" fillId="0" borderId="0" xfId="11" applyNumberFormat="1" applyFont="1" applyFill="1" applyBorder="1" applyAlignment="1"/>
    <xf numFmtId="0" fontId="32" fillId="0" borderId="0" xfId="10" applyNumberFormat="1" applyFont="1" applyFill="1" applyBorder="1" applyAlignment="1"/>
    <xf numFmtId="37" fontId="68" fillId="0" borderId="0" xfId="11" applyNumberFormat="1" applyFont="1" applyFill="1" applyBorder="1" applyAlignment="1"/>
    <xf numFmtId="37" fontId="60" fillId="0" borderId="0" xfId="11" applyNumberFormat="1" applyFill="1" applyBorder="1" applyAlignment="1"/>
    <xf numFmtId="0" fontId="32" fillId="10" borderId="0" xfId="10" applyNumberFormat="1" applyFont="1" applyFill="1" applyBorder="1" applyAlignment="1"/>
    <xf numFmtId="38" fontId="32" fillId="10" borderId="0" xfId="11" applyNumberFormat="1" applyFont="1" applyFill="1" applyBorder="1" applyAlignment="1">
      <alignment wrapText="1"/>
    </xf>
    <xf numFmtId="41" fontId="68" fillId="10" borderId="0" xfId="11" applyNumberFormat="1" applyFont="1" applyFill="1" applyBorder="1" applyAlignment="1"/>
    <xf numFmtId="41" fontId="68" fillId="0" borderId="1" xfId="11" applyNumberFormat="1" applyFont="1" applyFill="1" applyBorder="1" applyAlignment="1"/>
    <xf numFmtId="171" fontId="32" fillId="0" borderId="0" xfId="10" applyNumberFormat="1" applyFont="1" applyFill="1" applyBorder="1"/>
    <xf numFmtId="0" fontId="32" fillId="0" borderId="0" xfId="12" applyFont="1" applyFill="1" applyBorder="1"/>
    <xf numFmtId="41" fontId="68" fillId="0" borderId="0" xfId="12" applyNumberFormat="1" applyFont="1" applyFill="1" applyBorder="1"/>
    <xf numFmtId="171" fontId="69" fillId="0" borderId="0" xfId="10" applyNumberFormat="1" applyFont="1" applyFill="1" applyBorder="1"/>
    <xf numFmtId="0" fontId="69" fillId="0" borderId="0" xfId="12" applyFont="1" applyFill="1" applyBorder="1"/>
    <xf numFmtId="0" fontId="34" fillId="0" borderId="0" xfId="11" applyFont="1" applyFill="1" applyBorder="1" applyAlignment="1"/>
    <xf numFmtId="0" fontId="59" fillId="0" borderId="0" xfId="12" applyFill="1" applyBorder="1"/>
    <xf numFmtId="41" fontId="34" fillId="0" borderId="0" xfId="11" applyNumberFormat="1" applyFont="1" applyFill="1" applyBorder="1" applyAlignment="1"/>
    <xf numFmtId="171" fontId="0" fillId="0" borderId="0" xfId="10" applyNumberFormat="1" applyFont="1" applyFill="1" applyBorder="1"/>
    <xf numFmtId="38" fontId="60" fillId="0" borderId="0" xfId="11" applyNumberFormat="1" applyFill="1" applyBorder="1" applyAlignment="1"/>
    <xf numFmtId="38" fontId="70" fillId="0" borderId="0" xfId="11" applyNumberFormat="1" applyFont="1" applyFill="1" applyBorder="1" applyAlignment="1"/>
    <xf numFmtId="172" fontId="60" fillId="0" borderId="0" xfId="3" applyNumberFormat="1" applyFont="1" applyFill="1" applyBorder="1" applyAlignment="1">
      <alignment horizontal="left" vertical="top" wrapText="1"/>
    </xf>
    <xf numFmtId="172" fontId="59" fillId="0" borderId="0" xfId="3" applyNumberFormat="1" applyFont="1" applyFill="1" applyBorder="1" applyAlignment="1"/>
    <xf numFmtId="172" fontId="67" fillId="0" borderId="0" xfId="3" applyNumberFormat="1" applyFont="1" applyFill="1" applyBorder="1" applyAlignment="1">
      <alignment horizontal="center" wrapText="1"/>
    </xf>
    <xf numFmtId="172" fontId="67" fillId="0" borderId="0" xfId="3" applyNumberFormat="1" applyFont="1" applyFill="1" applyBorder="1" applyAlignment="1">
      <alignment horizontal="center"/>
    </xf>
    <xf numFmtId="172" fontId="32" fillId="0" borderId="0" xfId="3" applyNumberFormat="1" applyFont="1" applyFill="1" applyBorder="1" applyAlignment="1">
      <alignment wrapText="1"/>
    </xf>
    <xf numFmtId="172" fontId="32" fillId="0" borderId="0" xfId="3" applyNumberFormat="1" applyFont="1" applyFill="1" applyBorder="1"/>
    <xf numFmtId="172" fontId="69" fillId="0" borderId="0" xfId="3" applyNumberFormat="1" applyFont="1" applyFill="1" applyBorder="1"/>
    <xf numFmtId="172" fontId="59" fillId="0" borderId="0" xfId="3" applyNumberFormat="1" applyFont="1" applyFill="1" applyBorder="1"/>
    <xf numFmtId="172" fontId="32" fillId="0" borderId="0" xfId="3" applyNumberFormat="1" applyFont="1" applyFill="1" applyBorder="1" applyAlignment="1">
      <alignment horizontal="right" wrapText="1"/>
    </xf>
    <xf numFmtId="41" fontId="32" fillId="0" borderId="0" xfId="2" applyNumberFormat="1" applyFont="1" applyFill="1" applyBorder="1" applyAlignment="1">
      <alignment wrapText="1"/>
    </xf>
    <xf numFmtId="41" fontId="0" fillId="0" borderId="0" xfId="3" applyNumberFormat="1" applyFont="1"/>
    <xf numFmtId="43" fontId="6" fillId="0" borderId="0" xfId="0" applyNumberFormat="1" applyFont="1"/>
    <xf numFmtId="0" fontId="0" fillId="0" borderId="0" xfId="0" applyAlignment="1">
      <alignment wrapText="1"/>
    </xf>
    <xf numFmtId="0" fontId="0" fillId="0" borderId="0" xfId="0"/>
    <xf numFmtId="0" fontId="6" fillId="0" borderId="0" xfId="0" applyFont="1" applyAlignment="1">
      <alignment wrapText="1"/>
    </xf>
    <xf numFmtId="0" fontId="0" fillId="0" borderId="0" xfId="0" applyFill="1" applyBorder="1"/>
    <xf numFmtId="0" fontId="0" fillId="0" borderId="0" xfId="0" applyFill="1" applyBorder="1" applyAlignment="1">
      <alignment horizontal="center"/>
    </xf>
    <xf numFmtId="0" fontId="8" fillId="0" borderId="0" xfId="0" applyFont="1" applyFill="1" applyBorder="1"/>
    <xf numFmtId="0" fontId="0" fillId="0" borderId="17" xfId="0" applyBorder="1" applyAlignment="1">
      <alignment horizontal="center"/>
    </xf>
    <xf numFmtId="164" fontId="6" fillId="0" borderId="15" xfId="1" applyNumberFormat="1" applyFont="1" applyFill="1" applyBorder="1"/>
    <xf numFmtId="164" fontId="6" fillId="0" borderId="24" xfId="1" applyNumberFormat="1" applyFont="1" applyFill="1" applyBorder="1"/>
    <xf numFmtId="164" fontId="29" fillId="0" borderId="0" xfId="1" applyNumberFormat="1" applyFont="1" applyBorder="1"/>
    <xf numFmtId="164" fontId="29" fillId="14" borderId="0" xfId="0" applyNumberFormat="1" applyFont="1" applyFill="1" applyAlignment="1">
      <alignment horizontal="center"/>
    </xf>
    <xf numFmtId="164" fontId="6" fillId="6" borderId="0" xfId="1" quotePrefix="1" applyNumberFormat="1" applyFont="1" applyFill="1"/>
    <xf numFmtId="164" fontId="6" fillId="0" borderId="0" xfId="0" applyNumberFormat="1" applyFont="1"/>
    <xf numFmtId="0" fontId="0" fillId="0" borderId="0" xfId="0"/>
    <xf numFmtId="0" fontId="6" fillId="0" borderId="0" xfId="0" applyFont="1" applyAlignment="1">
      <alignment wrapText="1"/>
    </xf>
    <xf numFmtId="0" fontId="0" fillId="0" borderId="0" xfId="0" applyFill="1" applyBorder="1"/>
    <xf numFmtId="0" fontId="0" fillId="0" borderId="0" xfId="0" applyFill="1"/>
    <xf numFmtId="0" fontId="56" fillId="0" borderId="0" xfId="16" applyFont="1" applyFill="1"/>
    <xf numFmtId="170" fontId="56" fillId="0" borderId="0" xfId="16" applyNumberFormat="1" applyFont="1" applyFill="1"/>
    <xf numFmtId="0" fontId="3" fillId="0" borderId="0" xfId="16" applyFill="1"/>
    <xf numFmtId="0" fontId="73" fillId="0" borderId="1" xfId="16" applyFont="1" applyFill="1" applyBorder="1" applyAlignment="1">
      <alignment horizontal="centerContinuous"/>
    </xf>
    <xf numFmtId="0" fontId="73" fillId="0" borderId="0" xfId="16" applyFont="1" applyFill="1" applyBorder="1" applyAlignment="1">
      <alignment horizontal="center" wrapText="1"/>
    </xf>
    <xf numFmtId="0" fontId="51" fillId="0" borderId="0" xfId="16" applyFont="1" applyFill="1" applyBorder="1" applyAlignment="1">
      <alignment horizontal="center" wrapText="1"/>
    </xf>
    <xf numFmtId="0" fontId="56" fillId="0" borderId="0" xfId="16" applyFont="1" applyFill="1" applyBorder="1" applyAlignment="1">
      <alignment horizontal="center" wrapText="1"/>
    </xf>
    <xf numFmtId="0" fontId="56" fillId="0" borderId="0" xfId="16" applyFont="1" applyFill="1" applyBorder="1" applyAlignment="1">
      <alignment horizontal="left" wrapText="1"/>
    </xf>
    <xf numFmtId="168" fontId="56" fillId="0" borderId="0" xfId="16" applyNumberFormat="1" applyFont="1" applyFill="1"/>
    <xf numFmtId="0" fontId="56" fillId="0" borderId="0" xfId="16" applyFont="1" applyFill="1" applyBorder="1" applyAlignment="1">
      <alignment horizontal="center"/>
    </xf>
    <xf numFmtId="0" fontId="56" fillId="0" borderId="0" xfId="16" applyFont="1" applyFill="1" applyBorder="1" applyAlignment="1">
      <alignment horizontal="left"/>
    </xf>
    <xf numFmtId="170" fontId="56" fillId="0" borderId="0" xfId="17" applyNumberFormat="1" applyFont="1" applyFill="1"/>
    <xf numFmtId="164" fontId="56" fillId="0" borderId="0" xfId="18" applyNumberFormat="1" applyFont="1" applyFill="1"/>
    <xf numFmtId="164" fontId="56" fillId="0" borderId="0" xfId="16" applyNumberFormat="1" applyFont="1" applyFill="1"/>
    <xf numFmtId="0" fontId="56" fillId="0" borderId="0" xfId="16" applyFont="1" applyFill="1" applyAlignment="1">
      <alignment horizontal="center"/>
    </xf>
    <xf numFmtId="0" fontId="73" fillId="0" borderId="0" xfId="16" applyFont="1" applyFill="1"/>
    <xf numFmtId="170" fontId="73" fillId="0" borderId="0" xfId="17" applyNumberFormat="1" applyFont="1" applyFill="1"/>
    <xf numFmtId="164" fontId="50" fillId="0" borderId="0" xfId="16" applyNumberFormat="1" applyFont="1" applyFill="1"/>
    <xf numFmtId="164" fontId="73" fillId="0" borderId="0" xfId="18" applyNumberFormat="1" applyFont="1" applyFill="1"/>
    <xf numFmtId="43" fontId="73" fillId="0" borderId="0" xfId="16" applyNumberFormat="1" applyFont="1" applyFill="1"/>
    <xf numFmtId="172" fontId="32" fillId="10" borderId="0" xfId="3" applyNumberFormat="1" applyFont="1" applyFill="1" applyBorder="1" applyAlignment="1">
      <alignment wrapText="1"/>
    </xf>
    <xf numFmtId="41" fontId="32" fillId="10" borderId="0" xfId="2" applyNumberFormat="1" applyFont="1" applyFill="1" applyBorder="1" applyAlignment="1">
      <alignment wrapText="1"/>
    </xf>
    <xf numFmtId="37" fontId="68" fillId="10" borderId="0" xfId="11" applyNumberFormat="1" applyFont="1" applyFill="1" applyBorder="1" applyAlignment="1"/>
    <xf numFmtId="37" fontId="60" fillId="10" borderId="0" xfId="11" applyNumberFormat="1" applyFill="1" applyBorder="1" applyAlignment="1"/>
    <xf numFmtId="0" fontId="60" fillId="10" borderId="0" xfId="11" applyFill="1" applyBorder="1" applyAlignment="1"/>
    <xf numFmtId="0" fontId="56" fillId="10" borderId="0" xfId="16" applyFont="1" applyFill="1" applyBorder="1" applyAlignment="1">
      <alignment horizontal="center"/>
    </xf>
    <xf numFmtId="0" fontId="56" fillId="10" borderId="0" xfId="16" applyFont="1" applyFill="1" applyBorder="1" applyAlignment="1">
      <alignment horizontal="left"/>
    </xf>
    <xf numFmtId="170" fontId="56" fillId="10" borderId="0" xfId="17" applyNumberFormat="1" applyFont="1" applyFill="1"/>
    <xf numFmtId="168" fontId="56" fillId="10" borderId="0" xfId="16" applyNumberFormat="1" applyFont="1" applyFill="1"/>
    <xf numFmtId="164" fontId="56" fillId="10" borderId="0" xfId="18" applyNumberFormat="1" applyFont="1" applyFill="1"/>
    <xf numFmtId="164" fontId="56" fillId="10" borderId="0" xfId="16" applyNumberFormat="1" applyFont="1" applyFill="1"/>
    <xf numFmtId="0" fontId="56" fillId="10" borderId="0" xfId="16" applyFont="1" applyFill="1"/>
    <xf numFmtId="0" fontId="0" fillId="0" borderId="0" xfId="0"/>
    <xf numFmtId="0" fontId="0" fillId="0" borderId="0" xfId="0" applyFill="1"/>
    <xf numFmtId="0" fontId="0" fillId="0" borderId="0" xfId="0" applyFill="1" applyBorder="1"/>
    <xf numFmtId="0" fontId="0" fillId="0" borderId="0" xfId="0" applyFill="1" applyAlignment="1">
      <alignment horizontal="right"/>
    </xf>
    <xf numFmtId="0" fontId="6" fillId="0" borderId="0" xfId="0" applyFont="1" applyFill="1"/>
    <xf numFmtId="0" fontId="0" fillId="0" borderId="0" xfId="0"/>
    <xf numFmtId="164" fontId="6" fillId="0" borderId="17" xfId="1" applyNumberFormat="1" applyFont="1" applyFill="1" applyBorder="1"/>
    <xf numFmtId="164" fontId="6" fillId="0" borderId="18" xfId="1" applyNumberFormat="1" applyFont="1" applyFill="1" applyBorder="1"/>
    <xf numFmtId="0" fontId="0" fillId="0" borderId="0" xfId="0" applyFill="1"/>
    <xf numFmtId="0" fontId="0" fillId="0" borderId="0" xfId="0" applyFill="1" applyBorder="1"/>
    <xf numFmtId="0" fontId="56" fillId="0" borderId="0" xfId="19" applyFont="1" applyFill="1"/>
    <xf numFmtId="0" fontId="73" fillId="0" borderId="1" xfId="19" applyFont="1" applyFill="1" applyBorder="1" applyAlignment="1">
      <alignment horizontal="centerContinuous"/>
    </xf>
    <xf numFmtId="0" fontId="73" fillId="0" borderId="0" xfId="19" applyFont="1" applyFill="1" applyBorder="1" applyAlignment="1">
      <alignment horizontal="center" wrapText="1"/>
    </xf>
    <xf numFmtId="0" fontId="56" fillId="0" borderId="0" xfId="19" applyFont="1" applyFill="1" applyBorder="1" applyAlignment="1">
      <alignment horizontal="center" wrapText="1"/>
    </xf>
    <xf numFmtId="0" fontId="56" fillId="0" borderId="0" xfId="19" applyFont="1" applyFill="1" applyBorder="1" applyAlignment="1">
      <alignment horizontal="left"/>
    </xf>
    <xf numFmtId="168" fontId="56" fillId="0" borderId="0" xfId="19" applyNumberFormat="1" applyFont="1" applyFill="1"/>
    <xf numFmtId="0" fontId="56" fillId="0" borderId="0" xfId="19" applyFont="1" applyFill="1" applyBorder="1" applyAlignment="1">
      <alignment horizontal="center"/>
    </xf>
    <xf numFmtId="170" fontId="56" fillId="0" borderId="0" xfId="20" applyNumberFormat="1" applyFont="1" applyFill="1"/>
    <xf numFmtId="164" fontId="56" fillId="0" borderId="0" xfId="21" applyNumberFormat="1" applyFont="1" applyFill="1"/>
    <xf numFmtId="164" fontId="56" fillId="0" borderId="0" xfId="19" applyNumberFormat="1" applyFont="1" applyFill="1"/>
    <xf numFmtId="0" fontId="6" fillId="0" borderId="0" xfId="19" applyFont="1" applyFill="1" applyBorder="1" applyAlignment="1">
      <alignment horizontal="center"/>
    </xf>
    <xf numFmtId="0" fontId="56" fillId="0" borderId="0" xfId="19" applyFont="1" applyFill="1" applyAlignment="1">
      <alignment horizontal="center"/>
    </xf>
    <xf numFmtId="0" fontId="73" fillId="0" borderId="0" xfId="19" applyFont="1" applyFill="1"/>
    <xf numFmtId="173" fontId="73" fillId="0" borderId="0" xfId="19" applyNumberFormat="1" applyFont="1" applyFill="1"/>
    <xf numFmtId="164" fontId="73" fillId="0" borderId="0" xfId="19" applyNumberFormat="1" applyFont="1" applyFill="1"/>
    <xf numFmtId="43" fontId="73" fillId="0" borderId="0" xfId="19" applyNumberFormat="1" applyFont="1" applyFill="1"/>
    <xf numFmtId="0" fontId="0" fillId="0" borderId="0" xfId="0"/>
    <xf numFmtId="0" fontId="0" fillId="0" borderId="0" xfId="0" applyFill="1"/>
    <xf numFmtId="0" fontId="32" fillId="0" borderId="0" xfId="10" applyNumberFormat="1" applyFont="1" applyFill="1" applyBorder="1" applyAlignment="1">
      <alignment horizontal="right"/>
    </xf>
    <xf numFmtId="41" fontId="0" fillId="0" borderId="0" xfId="3" applyNumberFormat="1" applyFont="1" applyFill="1"/>
    <xf numFmtId="0" fontId="0" fillId="0" borderId="0" xfId="0"/>
    <xf numFmtId="0" fontId="6" fillId="0" borderId="0" xfId="0" applyFont="1" applyFill="1" applyProtection="1">
      <protection locked="0"/>
    </xf>
    <xf numFmtId="0" fontId="8" fillId="0" borderId="0" xfId="0" applyFont="1"/>
    <xf numFmtId="0" fontId="0" fillId="0" borderId="0" xfId="0"/>
    <xf numFmtId="0" fontId="0" fillId="0" borderId="0" xfId="0" applyProtection="1"/>
    <xf numFmtId="164" fontId="0" fillId="4" borderId="0" xfId="1" applyNumberFormat="1" applyFont="1" applyFill="1"/>
    <xf numFmtId="164" fontId="0" fillId="0" borderId="0" xfId="0" applyNumberFormat="1" applyAlignment="1">
      <alignment wrapText="1"/>
    </xf>
    <xf numFmtId="0" fontId="6" fillId="0" borderId="0" xfId="0" quotePrefix="1" applyFont="1"/>
    <xf numFmtId="0" fontId="0" fillId="0" borderId="0" xfId="0"/>
    <xf numFmtId="0" fontId="0" fillId="0" borderId="0" xfId="0" applyFill="1"/>
    <xf numFmtId="164" fontId="0" fillId="13" borderId="0" xfId="1" applyNumberFormat="1" applyFont="1" applyFill="1" applyProtection="1">
      <protection locked="0"/>
    </xf>
    <xf numFmtId="0" fontId="74" fillId="0" borderId="0" xfId="7" applyFont="1" applyFill="1" applyBorder="1" applyAlignment="1">
      <alignment horizontal="center" wrapText="1"/>
    </xf>
    <xf numFmtId="0" fontId="1" fillId="0" borderId="0" xfId="7" applyFont="1" applyFill="1"/>
    <xf numFmtId="0" fontId="0" fillId="0" borderId="0" xfId="0"/>
    <xf numFmtId="0" fontId="8" fillId="0" borderId="0" xfId="0" applyFont="1"/>
    <xf numFmtId="164" fontId="19" fillId="0" borderId="0" xfId="1" applyNumberFormat="1" applyFont="1" applyBorder="1" applyAlignment="1">
      <alignment horizontal="left"/>
    </xf>
    <xf numFmtId="0" fontId="0" fillId="0" borderId="16" xfId="0" applyBorder="1" applyAlignment="1">
      <alignment horizontal="center"/>
    </xf>
    <xf numFmtId="0" fontId="0" fillId="0" borderId="1" xfId="0" applyBorder="1" applyAlignment="1">
      <alignment horizontal="center"/>
    </xf>
    <xf numFmtId="164" fontId="29" fillId="0" borderId="42" xfId="0" applyNumberFormat="1" applyFont="1" applyFill="1" applyBorder="1" applyAlignment="1">
      <alignment horizontal="center"/>
    </xf>
    <xf numFmtId="164" fontId="0" fillId="2" borderId="0" xfId="1" applyNumberFormat="1" applyFont="1" applyFill="1" applyProtection="1">
      <protection locked="0"/>
    </xf>
    <xf numFmtId="0" fontId="8" fillId="0" borderId="0" xfId="0" applyFont="1" applyAlignment="1" applyProtection="1">
      <alignment vertical="center"/>
    </xf>
    <xf numFmtId="0" fontId="8" fillId="0" borderId="1" xfId="0" applyFont="1" applyBorder="1" applyProtection="1"/>
    <xf numFmtId="0" fontId="8" fillId="0" borderId="0" xfId="0" applyFont="1" applyAlignment="1">
      <alignment vertical="center"/>
    </xf>
    <xf numFmtId="164" fontId="35" fillId="0" borderId="0" xfId="1" applyNumberFormat="1" applyFont="1" applyBorder="1" applyAlignment="1">
      <alignment wrapText="1"/>
    </xf>
    <xf numFmtId="0" fontId="0" fillId="0" borderId="45" xfId="0" applyBorder="1" applyAlignment="1">
      <alignment horizontal="center"/>
    </xf>
    <xf numFmtId="0" fontId="0" fillId="0" borderId="46" xfId="0" applyBorder="1" applyAlignment="1">
      <alignment horizontal="center"/>
    </xf>
    <xf numFmtId="164" fontId="0" fillId="0" borderId="47" xfId="1" applyNumberFormat="1" applyFont="1" applyBorder="1"/>
    <xf numFmtId="164" fontId="0" fillId="0" borderId="48" xfId="1" applyNumberFormat="1" applyFont="1" applyBorder="1"/>
    <xf numFmtId="164" fontId="0" fillId="0" borderId="49" xfId="0" applyNumberFormat="1" applyBorder="1"/>
    <xf numFmtId="164" fontId="0" fillId="0" borderId="50" xfId="0" applyNumberFormat="1" applyBorder="1"/>
    <xf numFmtId="0" fontId="0" fillId="0" borderId="48" xfId="0" applyBorder="1"/>
    <xf numFmtId="164" fontId="0" fillId="0" borderId="48" xfId="0" applyNumberFormat="1" applyBorder="1"/>
    <xf numFmtId="164" fontId="0" fillId="0" borderId="47" xfId="0" applyNumberFormat="1" applyBorder="1"/>
    <xf numFmtId="0" fontId="0" fillId="0" borderId="47" xfId="0" applyBorder="1"/>
    <xf numFmtId="0" fontId="0" fillId="0" borderId="46" xfId="0" applyFill="1" applyBorder="1" applyAlignment="1">
      <alignment horizontal="center"/>
    </xf>
    <xf numFmtId="164" fontId="0" fillId="0" borderId="47" xfId="1" applyNumberFormat="1" applyFont="1" applyFill="1" applyBorder="1"/>
    <xf numFmtId="164" fontId="0" fillId="0" borderId="48" xfId="0" applyNumberFormat="1" applyFill="1" applyBorder="1"/>
    <xf numFmtId="164" fontId="0" fillId="0" borderId="50" xfId="0" applyNumberFormat="1" applyFill="1" applyBorder="1"/>
    <xf numFmtId="0" fontId="0" fillId="0" borderId="45" xfId="0" applyFill="1" applyBorder="1" applyAlignment="1">
      <alignment horizontal="center"/>
    </xf>
    <xf numFmtId="164" fontId="0" fillId="0" borderId="47" xfId="0" applyNumberFormat="1" applyFill="1" applyBorder="1"/>
    <xf numFmtId="164" fontId="0" fillId="0" borderId="49" xfId="0" applyNumberFormat="1" applyFill="1" applyBorder="1"/>
    <xf numFmtId="164" fontId="0" fillId="0" borderId="48" xfId="1" applyNumberFormat="1" applyFont="1" applyFill="1" applyBorder="1"/>
    <xf numFmtId="0" fontId="6" fillId="0" borderId="0" xfId="0" applyFont="1" applyAlignment="1">
      <alignment vertical="center"/>
    </xf>
    <xf numFmtId="0" fontId="0" fillId="0" borderId="43" xfId="0" applyBorder="1"/>
    <xf numFmtId="0" fontId="0" fillId="0" borderId="44" xfId="0" applyBorder="1"/>
    <xf numFmtId="164" fontId="0" fillId="0" borderId="49" xfId="1" applyNumberFormat="1" applyFont="1" applyBorder="1"/>
    <xf numFmtId="164" fontId="0" fillId="0" borderId="50" xfId="1" applyNumberFormat="1" applyFont="1" applyBorder="1"/>
    <xf numFmtId="164" fontId="6" fillId="0" borderId="24" xfId="1" applyNumberFormat="1" applyBorder="1" applyAlignment="1">
      <alignment horizontal="center"/>
    </xf>
    <xf numFmtId="164" fontId="6" fillId="0" borderId="18" xfId="1" applyNumberFormat="1" applyBorder="1" applyAlignment="1">
      <alignment horizontal="center"/>
    </xf>
    <xf numFmtId="164" fontId="6" fillId="0" borderId="12" xfId="1" applyNumberFormat="1" applyBorder="1" applyAlignment="1">
      <alignment horizontal="center"/>
    </xf>
    <xf numFmtId="0" fontId="0" fillId="0" borderId="16" xfId="0" applyFill="1" applyBorder="1"/>
    <xf numFmtId="0" fontId="0" fillId="0" borderId="16" xfId="0" applyBorder="1"/>
    <xf numFmtId="164" fontId="0" fillId="0" borderId="27" xfId="1" applyNumberFormat="1" applyFont="1" applyBorder="1"/>
    <xf numFmtId="0" fontId="37" fillId="0" borderId="0" xfId="0" applyFont="1" applyAlignment="1">
      <alignment vertical="center"/>
    </xf>
    <xf numFmtId="0" fontId="35" fillId="0" borderId="0" xfId="0" applyFont="1"/>
    <xf numFmtId="164" fontId="0" fillId="0" borderId="51" xfId="0" applyNumberFormat="1" applyBorder="1" applyAlignment="1">
      <alignment horizontal="center"/>
    </xf>
    <xf numFmtId="41" fontId="0" fillId="0" borderId="52" xfId="0" applyNumberFormat="1" applyBorder="1" applyAlignment="1">
      <alignment horizontal="center"/>
    </xf>
    <xf numFmtId="164" fontId="0" fillId="0" borderId="53" xfId="1" applyNumberFormat="1" applyFont="1" applyBorder="1"/>
    <xf numFmtId="164" fontId="0" fillId="0" borderId="54" xfId="1" applyNumberFormat="1" applyFont="1" applyBorder="1"/>
    <xf numFmtId="164" fontId="0" fillId="0" borderId="47" xfId="1" applyNumberFormat="1" applyFont="1" applyBorder="1" applyProtection="1">
      <protection locked="0"/>
    </xf>
    <xf numFmtId="164" fontId="0" fillId="0" borderId="48" xfId="1" applyNumberFormat="1" applyFont="1" applyBorder="1" applyProtection="1">
      <protection locked="0"/>
    </xf>
    <xf numFmtId="164" fontId="0" fillId="0" borderId="47" xfId="1" applyNumberFormat="1" applyFont="1" applyFill="1" applyBorder="1" applyProtection="1">
      <protection locked="0"/>
    </xf>
    <xf numFmtId="164" fontId="0" fillId="0" borderId="48" xfId="1" applyNumberFormat="1" applyFont="1" applyFill="1" applyBorder="1" applyProtection="1">
      <protection locked="0"/>
    </xf>
    <xf numFmtId="164" fontId="0" fillId="6" borderId="47" xfId="1" applyNumberFormat="1" applyFont="1" applyFill="1" applyBorder="1" applyProtection="1">
      <protection locked="0"/>
    </xf>
    <xf numFmtId="164" fontId="0" fillId="6" borderId="48" xfId="1" applyNumberFormat="1" applyFont="1" applyFill="1" applyBorder="1" applyProtection="1">
      <protection locked="0"/>
    </xf>
    <xf numFmtId="164" fontId="6" fillId="0" borderId="47" xfId="1" applyNumberFormat="1" applyBorder="1" applyProtection="1">
      <protection locked="0"/>
    </xf>
    <xf numFmtId="164" fontId="6" fillId="0" borderId="48" xfId="1" applyNumberFormat="1" applyBorder="1" applyProtection="1">
      <protection locked="0"/>
    </xf>
    <xf numFmtId="164" fontId="49" fillId="0" borderId="48" xfId="1" applyNumberFormat="1" applyFont="1" applyFill="1" applyBorder="1" applyProtection="1">
      <protection locked="0"/>
    </xf>
    <xf numFmtId="164" fontId="0" fillId="0" borderId="47" xfId="1" applyNumberFormat="1" applyFont="1" applyBorder="1" applyAlignment="1" applyProtection="1">
      <protection locked="0"/>
    </xf>
    <xf numFmtId="164" fontId="0" fillId="0" borderId="47" xfId="1" applyNumberFormat="1" applyFont="1" applyBorder="1" applyProtection="1"/>
    <xf numFmtId="164" fontId="0" fillId="0" borderId="48" xfId="1" applyNumberFormat="1" applyFont="1" applyBorder="1" applyProtection="1"/>
    <xf numFmtId="164" fontId="0" fillId="0" borderId="47" xfId="1" applyNumberFormat="1" applyFont="1" applyFill="1" applyBorder="1" applyProtection="1"/>
    <xf numFmtId="164" fontId="0" fillId="0" borderId="48" xfId="1" applyNumberFormat="1" applyFont="1" applyFill="1" applyBorder="1" applyProtection="1"/>
    <xf numFmtId="164" fontId="0" fillId="6" borderId="47" xfId="1" applyNumberFormat="1" applyFont="1" applyFill="1" applyBorder="1" applyProtection="1"/>
    <xf numFmtId="164" fontId="0" fillId="6" borderId="48" xfId="1" applyNumberFormat="1" applyFont="1" applyFill="1" applyBorder="1" applyProtection="1"/>
    <xf numFmtId="164" fontId="6" fillId="7" borderId="49" xfId="1" applyNumberFormat="1" applyFill="1" applyBorder="1"/>
    <xf numFmtId="164" fontId="6" fillId="7" borderId="50" xfId="1" applyNumberFormat="1" applyFill="1" applyBorder="1"/>
    <xf numFmtId="164" fontId="6" fillId="0" borderId="47" xfId="1" applyNumberFormat="1" applyBorder="1"/>
    <xf numFmtId="164" fontId="6" fillId="0" borderId="48" xfId="1" applyNumberFormat="1" applyBorder="1"/>
    <xf numFmtId="164" fontId="6" fillId="0" borderId="51" xfId="1" applyNumberFormat="1" applyBorder="1"/>
    <xf numFmtId="164" fontId="6" fillId="0" borderId="52" xfId="1" applyNumberFormat="1" applyBorder="1"/>
    <xf numFmtId="0" fontId="0" fillId="0" borderId="52" xfId="0" applyBorder="1" applyAlignment="1">
      <alignment horizontal="center"/>
    </xf>
    <xf numFmtId="0" fontId="0" fillId="0" borderId="51" xfId="0" applyBorder="1" applyAlignment="1">
      <alignment horizontal="center"/>
    </xf>
    <xf numFmtId="164" fontId="0" fillId="0" borderId="51" xfId="1" applyNumberFormat="1" applyFont="1" applyBorder="1"/>
    <xf numFmtId="164" fontId="0" fillId="0" borderId="52" xfId="1" applyNumberFormat="1" applyFont="1" applyBorder="1"/>
    <xf numFmtId="0" fontId="55" fillId="0" borderId="0" xfId="0" applyFont="1" applyFill="1" applyBorder="1" applyAlignment="1"/>
    <xf numFmtId="164" fontId="6" fillId="2" borderId="0" xfId="1" applyNumberFormat="1" applyFont="1" applyFill="1" applyProtection="1">
      <protection locked="0"/>
    </xf>
    <xf numFmtId="0" fontId="6" fillId="0" borderId="0" xfId="0" applyFont="1"/>
    <xf numFmtId="0" fontId="0" fillId="0" borderId="0" xfId="0" applyFill="1"/>
    <xf numFmtId="0" fontId="8" fillId="0" borderId="0" xfId="0" applyFont="1" applyAlignment="1">
      <alignment horizontal="right" vertical="center"/>
    </xf>
    <xf numFmtId="0" fontId="55" fillId="4" borderId="39" xfId="0" applyFont="1" applyFill="1" applyBorder="1" applyAlignment="1">
      <alignment vertical="center"/>
    </xf>
    <xf numFmtId="0" fontId="8" fillId="0" borderId="0" xfId="0" applyFont="1" applyFill="1" applyBorder="1" applyAlignment="1">
      <alignment vertical="center" wrapText="1"/>
    </xf>
    <xf numFmtId="164" fontId="0" fillId="13" borderId="0" xfId="1" applyNumberFormat="1" applyFont="1" applyFill="1" applyBorder="1" applyAlignment="1" applyProtection="1">
      <alignment vertical="center"/>
      <protection locked="0"/>
    </xf>
    <xf numFmtId="0" fontId="55" fillId="0" borderId="17" xfId="0" applyFont="1" applyFill="1" applyBorder="1" applyAlignment="1"/>
    <xf numFmtId="0" fontId="55" fillId="0" borderId="17" xfId="0" applyFont="1" applyFill="1" applyBorder="1" applyAlignment="1">
      <alignment vertical="center"/>
    </xf>
    <xf numFmtId="0" fontId="10" fillId="0" borderId="0" xfId="0" applyFont="1" applyFill="1" applyAlignment="1">
      <alignment horizontal="left" vertical="center"/>
    </xf>
    <xf numFmtId="164" fontId="0" fillId="0" borderId="0" xfId="1" quotePrefix="1" applyNumberFormat="1" applyFont="1" applyFill="1" applyProtection="1">
      <protection locked="0"/>
    </xf>
    <xf numFmtId="0" fontId="6" fillId="0" borderId="0" xfId="0" applyFont="1"/>
    <xf numFmtId="0" fontId="0" fillId="0" borderId="0" xfId="0"/>
    <xf numFmtId="0" fontId="0" fillId="0" borderId="0" xfId="0" applyFill="1"/>
    <xf numFmtId="10" fontId="8" fillId="13" borderId="0" xfId="3" applyNumberFormat="1" applyFont="1" applyFill="1" applyBorder="1" applyAlignment="1" applyProtection="1">
      <alignment horizontal="center"/>
      <protection locked="0"/>
    </xf>
    <xf numFmtId="0" fontId="6" fillId="0" borderId="0" xfId="0" applyFont="1" applyAlignment="1">
      <alignment horizontal="right"/>
    </xf>
    <xf numFmtId="0" fontId="77" fillId="0" borderId="0" xfId="0" applyFont="1" applyAlignment="1">
      <alignment horizontal="right"/>
    </xf>
    <xf numFmtId="0" fontId="78" fillId="0" borderId="1" xfId="0" applyFont="1" applyBorder="1" applyAlignment="1">
      <alignment horizontal="centerContinuous"/>
    </xf>
    <xf numFmtId="164" fontId="0" fillId="15" borderId="0" xfId="0" applyNumberFormat="1" applyFill="1" applyBorder="1"/>
    <xf numFmtId="0" fontId="6" fillId="0" borderId="0" xfId="0" applyFont="1" applyFill="1" applyBorder="1"/>
    <xf numFmtId="41" fontId="6" fillId="0" borderId="0" xfId="1" quotePrefix="1" applyNumberFormat="1" applyFont="1" applyFill="1" applyBorder="1" applyAlignment="1">
      <alignment horizontal="center"/>
    </xf>
    <xf numFmtId="164" fontId="29" fillId="0" borderId="0" xfId="0" applyNumberFormat="1" applyFont="1" applyFill="1" applyBorder="1" applyAlignment="1">
      <alignment horizontal="center"/>
    </xf>
    <xf numFmtId="164" fontId="6" fillId="0" borderId="0" xfId="0" applyNumberFormat="1" applyFont="1" applyFill="1"/>
    <xf numFmtId="164" fontId="8" fillId="2" borderId="16" xfId="1" applyNumberFormat="1" applyFont="1" applyFill="1" applyBorder="1" applyAlignment="1">
      <alignment vertical="center"/>
    </xf>
    <xf numFmtId="164" fontId="6" fillId="4" borderId="5" xfId="0" applyNumberFormat="1" applyFont="1" applyFill="1" applyBorder="1" applyAlignment="1">
      <alignment vertical="center"/>
    </xf>
    <xf numFmtId="0" fontId="6" fillId="2" borderId="0" xfId="0" applyFont="1" applyFill="1" applyBorder="1" applyAlignment="1">
      <alignment horizontal="left" vertical="center"/>
    </xf>
    <xf numFmtId="0" fontId="16" fillId="0" borderId="0" xfId="0" applyFont="1" applyAlignment="1">
      <alignment vertical="center" wrapText="1"/>
    </xf>
    <xf numFmtId="0" fontId="84" fillId="0" borderId="0" xfId="0" applyFont="1" applyAlignment="1">
      <alignment horizontal="center" vertical="center"/>
    </xf>
    <xf numFmtId="0" fontId="79" fillId="0" borderId="0" xfId="0" applyFont="1" applyAlignment="1" applyProtection="1">
      <alignment horizontal="left" vertical="center"/>
      <protection locked="0"/>
    </xf>
    <xf numFmtId="0" fontId="0" fillId="0" borderId="0" xfId="0" applyAlignment="1">
      <alignment wrapText="1"/>
    </xf>
    <xf numFmtId="0" fontId="0" fillId="0" borderId="0" xfId="0" applyAlignment="1">
      <alignment vertical="top" wrapText="1"/>
    </xf>
    <xf numFmtId="0" fontId="43" fillId="0" borderId="0" xfId="0" applyFont="1" applyAlignment="1">
      <alignment horizontal="center" wrapText="1"/>
    </xf>
    <xf numFmtId="0" fontId="8" fillId="0" borderId="0" xfId="0" applyFont="1" applyAlignment="1">
      <alignment wrapText="1"/>
    </xf>
    <xf numFmtId="0" fontId="0" fillId="0" borderId="0" xfId="0"/>
    <xf numFmtId="0" fontId="14" fillId="4" borderId="15" xfId="0" applyFont="1" applyFill="1" applyBorder="1" applyAlignment="1">
      <alignment horizontal="center" wrapText="1"/>
    </xf>
    <xf numFmtId="0" fontId="14" fillId="4" borderId="16" xfId="0" applyFont="1" applyFill="1" applyBorder="1" applyAlignment="1">
      <alignment horizontal="center"/>
    </xf>
    <xf numFmtId="0" fontId="14" fillId="4" borderId="24" xfId="0" applyFont="1" applyFill="1" applyBorder="1" applyAlignment="1">
      <alignment horizontal="center"/>
    </xf>
    <xf numFmtId="0" fontId="14" fillId="4" borderId="11" xfId="0" applyFont="1" applyFill="1" applyBorder="1" applyAlignment="1">
      <alignment horizontal="center"/>
    </xf>
    <xf numFmtId="0" fontId="14" fillId="4" borderId="1" xfId="0" applyFont="1" applyFill="1" applyBorder="1" applyAlignment="1">
      <alignment horizontal="center"/>
    </xf>
    <xf numFmtId="0" fontId="14" fillId="4" borderId="12" xfId="0" applyFont="1" applyFill="1" applyBorder="1" applyAlignment="1">
      <alignment horizontal="center"/>
    </xf>
    <xf numFmtId="0" fontId="0" fillId="10" borderId="0" xfId="0" applyFill="1" applyAlignment="1">
      <alignment horizontal="left" vertical="top" wrapText="1"/>
    </xf>
    <xf numFmtId="0" fontId="9" fillId="0" borderId="0" xfId="0" applyFont="1" applyAlignment="1">
      <alignment wrapText="1"/>
    </xf>
    <xf numFmtId="0" fontId="8" fillId="0" borderId="0" xfId="0" applyFont="1"/>
    <xf numFmtId="164" fontId="16" fillId="4" borderId="3" xfId="0" applyNumberFormat="1" applyFont="1" applyFill="1" applyBorder="1" applyAlignment="1">
      <alignment horizontal="center" vertical="center"/>
    </xf>
    <xf numFmtId="0" fontId="6" fillId="0" borderId="2" xfId="0" applyFont="1" applyBorder="1" applyAlignment="1">
      <alignment horizontal="center" vertical="center"/>
    </xf>
    <xf numFmtId="0" fontId="8" fillId="2" borderId="22" xfId="0" applyFont="1" applyFill="1" applyBorder="1" applyAlignment="1">
      <alignment horizontal="center" vertical="center"/>
    </xf>
    <xf numFmtId="0" fontId="8" fillId="2" borderId="23" xfId="0" applyFont="1" applyFill="1" applyBorder="1" applyAlignment="1">
      <alignment horizontal="center" vertical="center"/>
    </xf>
    <xf numFmtId="0" fontId="11" fillId="4" borderId="15" xfId="0" applyFont="1" applyFill="1" applyBorder="1" applyAlignment="1">
      <alignment horizontal="center" wrapText="1"/>
    </xf>
    <xf numFmtId="0" fontId="0" fillId="0" borderId="24" xfId="0" applyBorder="1" applyAlignment="1">
      <alignment horizontal="center" wrapText="1"/>
    </xf>
    <xf numFmtId="0" fontId="0" fillId="0" borderId="22" xfId="0" applyBorder="1" applyAlignment="1">
      <alignment horizontal="center" wrapText="1"/>
    </xf>
    <xf numFmtId="0" fontId="0" fillId="0" borderId="23" xfId="0" applyBorder="1" applyAlignment="1">
      <alignment horizontal="center" wrapText="1"/>
    </xf>
    <xf numFmtId="164" fontId="8" fillId="0" borderId="16" xfId="0" applyNumberFormat="1" applyFont="1" applyBorder="1" applyAlignment="1" applyProtection="1">
      <alignment horizontal="center"/>
      <protection locked="0"/>
    </xf>
    <xf numFmtId="0" fontId="8" fillId="0" borderId="33" xfId="0" applyFont="1" applyBorder="1" applyAlignment="1" applyProtection="1">
      <alignment horizontal="center"/>
      <protection locked="0"/>
    </xf>
    <xf numFmtId="0" fontId="6" fillId="4" borderId="16" xfId="0" applyFont="1" applyFill="1" applyBorder="1" applyAlignment="1">
      <alignment horizontal="left" vertical="center"/>
    </xf>
    <xf numFmtId="0" fontId="6" fillId="0" borderId="16" xfId="0" applyFont="1" applyBorder="1" applyAlignment="1">
      <alignment horizontal="left" vertical="center"/>
    </xf>
    <xf numFmtId="0" fontId="6" fillId="0" borderId="24" xfId="0" applyFont="1" applyBorder="1" applyAlignment="1">
      <alignment horizontal="left" vertical="center"/>
    </xf>
    <xf numFmtId="0" fontId="29" fillId="4" borderId="4" xfId="0" applyFont="1" applyFill="1" applyBorder="1" applyAlignment="1">
      <alignment horizontal="center" vertical="center"/>
    </xf>
    <xf numFmtId="0" fontId="27" fillId="0" borderId="4" xfId="0" applyFont="1" applyBorder="1" applyAlignment="1">
      <alignment horizontal="center" vertical="center"/>
    </xf>
    <xf numFmtId="0" fontId="27" fillId="0" borderId="23" xfId="0" applyFont="1" applyBorder="1" applyAlignment="1">
      <alignment horizontal="center" vertical="center"/>
    </xf>
    <xf numFmtId="0" fontId="6" fillId="4" borderId="15" xfId="0" applyFont="1" applyFill="1" applyBorder="1" applyAlignment="1">
      <alignment horizontal="center" vertical="center" wrapText="1"/>
    </xf>
    <xf numFmtId="0" fontId="6" fillId="4" borderId="16" xfId="0" applyFont="1" applyFill="1" applyBorder="1" applyAlignment="1">
      <alignment horizontal="center" vertical="center" wrapText="1"/>
    </xf>
    <xf numFmtId="0" fontId="6" fillId="4" borderId="24" xfId="0" applyFont="1" applyFill="1" applyBorder="1" applyAlignment="1">
      <alignment horizontal="center" vertical="center" wrapText="1"/>
    </xf>
    <xf numFmtId="0" fontId="6" fillId="0" borderId="22" xfId="0" applyFont="1" applyBorder="1" applyAlignment="1">
      <alignment horizontal="center" vertical="center" wrapText="1"/>
    </xf>
    <xf numFmtId="0" fontId="6" fillId="0" borderId="4" xfId="0" applyFont="1" applyBorder="1" applyAlignment="1">
      <alignment horizontal="center" vertical="center" wrapText="1"/>
    </xf>
    <xf numFmtId="0" fontId="6" fillId="0" borderId="23" xfId="0" applyFont="1" applyBorder="1" applyAlignment="1">
      <alignment horizontal="center" vertical="center" wrapText="1"/>
    </xf>
    <xf numFmtId="0" fontId="8" fillId="3" borderId="6" xfId="0" applyFont="1" applyFill="1" applyBorder="1" applyAlignment="1">
      <alignment horizontal="center"/>
    </xf>
    <xf numFmtId="0" fontId="0" fillId="3" borderId="6" xfId="0" applyFill="1" applyBorder="1" applyAlignment="1"/>
    <xf numFmtId="164" fontId="82" fillId="4" borderId="3" xfId="0" applyNumberFormat="1" applyFont="1" applyFill="1" applyBorder="1" applyAlignment="1">
      <alignment horizontal="center" vertical="center" wrapText="1"/>
    </xf>
    <xf numFmtId="164" fontId="81" fillId="4" borderId="2" xfId="0" applyNumberFormat="1" applyFont="1" applyFill="1" applyBorder="1" applyAlignment="1">
      <alignment horizontal="center" vertical="center" wrapText="1"/>
    </xf>
    <xf numFmtId="164" fontId="6" fillId="4" borderId="5" xfId="0" applyNumberFormat="1" applyFont="1" applyFill="1" applyBorder="1" applyAlignment="1">
      <alignment horizontal="left" vertical="center"/>
    </xf>
    <xf numFmtId="164" fontId="6" fillId="4" borderId="21" xfId="0" applyNumberFormat="1" applyFont="1" applyFill="1" applyBorder="1" applyAlignment="1">
      <alignment horizontal="left" vertical="center"/>
    </xf>
    <xf numFmtId="0" fontId="9" fillId="0" borderId="0" xfId="0" applyFont="1" applyAlignment="1">
      <alignment vertical="center" textRotation="90"/>
    </xf>
    <xf numFmtId="164" fontId="8" fillId="2" borderId="15" xfId="1" applyNumberFormat="1" applyFont="1" applyFill="1" applyBorder="1" applyAlignment="1">
      <alignment vertical="center"/>
    </xf>
    <xf numFmtId="164" fontId="8" fillId="2" borderId="16" xfId="1" applyNumberFormat="1" applyFont="1" applyFill="1" applyBorder="1" applyAlignment="1">
      <alignment vertical="center"/>
    </xf>
    <xf numFmtId="164" fontId="8" fillId="2" borderId="16" xfId="0" applyNumberFormat="1" applyFont="1" applyFill="1" applyBorder="1" applyAlignment="1">
      <alignment vertical="center"/>
    </xf>
    <xf numFmtId="0" fontId="8" fillId="2" borderId="16" xfId="0" applyFont="1" applyFill="1" applyBorder="1" applyAlignment="1">
      <alignment vertical="center"/>
    </xf>
    <xf numFmtId="0" fontId="11" fillId="4" borderId="34" xfId="0" applyFont="1" applyFill="1" applyBorder="1" applyAlignment="1">
      <alignment horizontal="center" wrapText="1"/>
    </xf>
    <xf numFmtId="0" fontId="11" fillId="4" borderId="6" xfId="0" applyFont="1" applyFill="1" applyBorder="1" applyAlignment="1">
      <alignment horizontal="center" wrapText="1"/>
    </xf>
    <xf numFmtId="0" fontId="11" fillId="4" borderId="22" xfId="0" applyFont="1" applyFill="1" applyBorder="1" applyAlignment="1">
      <alignment horizontal="center" wrapText="1"/>
    </xf>
    <xf numFmtId="0" fontId="11" fillId="4" borderId="4" xfId="0" applyFont="1" applyFill="1" applyBorder="1" applyAlignment="1">
      <alignment horizontal="center" wrapText="1"/>
    </xf>
    <xf numFmtId="0" fontId="8" fillId="2" borderId="5" xfId="0" applyFont="1" applyFill="1" applyBorder="1" applyAlignment="1">
      <alignment horizontal="center" vertical="center"/>
    </xf>
    <xf numFmtId="0" fontId="0" fillId="0" borderId="6" xfId="0" applyBorder="1" applyAlignment="1">
      <alignment vertical="center"/>
    </xf>
    <xf numFmtId="0" fontId="0" fillId="0" borderId="21" xfId="0" applyBorder="1" applyAlignment="1">
      <alignment vertical="center"/>
    </xf>
    <xf numFmtId="164" fontId="8" fillId="0" borderId="35" xfId="0" applyNumberFormat="1" applyFont="1" applyBorder="1" applyAlignment="1" applyProtection="1">
      <alignment horizontal="center"/>
      <protection locked="0"/>
    </xf>
    <xf numFmtId="0" fontId="8" fillId="0" borderId="16" xfId="0" applyFont="1" applyBorder="1" applyAlignment="1" applyProtection="1">
      <alignment horizontal="center"/>
      <protection locked="0"/>
    </xf>
    <xf numFmtId="164" fontId="8" fillId="0" borderId="43" xfId="0" applyNumberFormat="1" applyFont="1" applyBorder="1" applyAlignment="1" applyProtection="1">
      <alignment horizontal="center"/>
      <protection locked="0"/>
    </xf>
    <xf numFmtId="0" fontId="8" fillId="0" borderId="44" xfId="0" applyFont="1" applyBorder="1" applyAlignment="1" applyProtection="1">
      <alignment horizontal="center"/>
      <protection locked="0"/>
    </xf>
    <xf numFmtId="164" fontId="8" fillId="0" borderId="43" xfId="0" applyNumberFormat="1" applyFont="1" applyBorder="1" applyAlignment="1">
      <alignment horizontal="center"/>
    </xf>
    <xf numFmtId="164" fontId="8" fillId="0" borderId="16" xfId="0" applyNumberFormat="1" applyFont="1" applyBorder="1" applyAlignment="1">
      <alignment horizontal="center"/>
    </xf>
    <xf numFmtId="41" fontId="8" fillId="0" borderId="43" xfId="0" applyNumberFormat="1" applyFont="1" applyBorder="1" applyAlignment="1">
      <alignment horizontal="center"/>
    </xf>
    <xf numFmtId="41" fontId="8" fillId="0" borderId="44" xfId="0" applyNumberFormat="1" applyFont="1" applyBorder="1" applyAlignment="1">
      <alignment horizontal="center"/>
    </xf>
    <xf numFmtId="164" fontId="8" fillId="0" borderId="35" xfId="1" applyNumberFormat="1" applyFont="1" applyBorder="1" applyAlignment="1">
      <alignment horizontal="center"/>
    </xf>
    <xf numFmtId="0" fontId="8" fillId="0" borderId="16" xfId="0" applyFont="1" applyBorder="1" applyAlignment="1">
      <alignment horizontal="center"/>
    </xf>
    <xf numFmtId="164" fontId="8" fillId="2" borderId="36" xfId="1" applyNumberFormat="1" applyFont="1" applyFill="1" applyBorder="1" applyAlignment="1">
      <alignment horizontal="center" vertical="center"/>
    </xf>
    <xf numFmtId="164" fontId="8" fillId="2" borderId="25" xfId="1" applyNumberFormat="1" applyFont="1" applyFill="1" applyBorder="1" applyAlignment="1">
      <alignment horizontal="center" vertical="center"/>
    </xf>
    <xf numFmtId="164" fontId="8" fillId="2" borderId="55" xfId="1" applyNumberFormat="1" applyFont="1" applyFill="1" applyBorder="1" applyAlignment="1">
      <alignment horizontal="center" vertical="center"/>
    </xf>
    <xf numFmtId="0" fontId="9" fillId="0" borderId="0" xfId="0" applyFont="1" applyAlignment="1">
      <alignment horizontal="center" vertical="center" textRotation="90"/>
    </xf>
    <xf numFmtId="0" fontId="8" fillId="4" borderId="6" xfId="0" applyFont="1" applyFill="1" applyBorder="1" applyAlignment="1">
      <alignment horizontal="center"/>
    </xf>
    <xf numFmtId="0" fontId="8" fillId="4" borderId="21" xfId="0" applyFont="1" applyFill="1" applyBorder="1" applyAlignment="1">
      <alignment horizontal="center"/>
    </xf>
    <xf numFmtId="0" fontId="8" fillId="4" borderId="0" xfId="0" applyFont="1" applyFill="1" applyBorder="1" applyAlignment="1">
      <alignment horizontal="center"/>
    </xf>
    <xf numFmtId="0" fontId="8" fillId="4" borderId="20" xfId="0" applyFont="1" applyFill="1" applyBorder="1" applyAlignment="1">
      <alignment horizontal="center"/>
    </xf>
    <xf numFmtId="0" fontId="8" fillId="3" borderId="7" xfId="0" applyFont="1" applyFill="1" applyBorder="1" applyAlignment="1">
      <alignment horizontal="center"/>
    </xf>
    <xf numFmtId="0" fontId="8" fillId="3" borderId="0" xfId="0" applyFont="1" applyFill="1" applyBorder="1" applyAlignment="1">
      <alignment horizontal="center"/>
    </xf>
    <xf numFmtId="0" fontId="8" fillId="3" borderId="20" xfId="0" applyFont="1" applyFill="1" applyBorder="1" applyAlignment="1">
      <alignment horizontal="center"/>
    </xf>
    <xf numFmtId="0" fontId="8" fillId="4" borderId="5" xfId="0" applyFont="1" applyFill="1" applyBorder="1" applyAlignment="1">
      <alignment horizontal="center"/>
    </xf>
    <xf numFmtId="0" fontId="8" fillId="4" borderId="7" xfId="0" applyFont="1" applyFill="1" applyBorder="1" applyAlignment="1">
      <alignment horizontal="center"/>
    </xf>
    <xf numFmtId="0" fontId="8" fillId="3" borderId="5" xfId="0" applyFont="1" applyFill="1" applyBorder="1" applyAlignment="1">
      <alignment horizontal="center"/>
    </xf>
    <xf numFmtId="0" fontId="8" fillId="3" borderId="21" xfId="0" applyFont="1" applyFill="1" applyBorder="1" applyAlignment="1">
      <alignment horizontal="center"/>
    </xf>
    <xf numFmtId="0" fontId="8" fillId="2" borderId="5" xfId="0" applyFont="1" applyFill="1" applyBorder="1" applyAlignment="1">
      <alignment horizontal="center" vertical="center" wrapText="1"/>
    </xf>
    <xf numFmtId="0" fontId="0" fillId="0" borderId="21" xfId="0" applyBorder="1" applyAlignment="1">
      <alignment horizontal="center" vertical="center" wrapText="1"/>
    </xf>
    <xf numFmtId="0" fontId="0" fillId="0" borderId="7" xfId="0" applyBorder="1" applyAlignment="1">
      <alignment horizontal="center" vertical="center" wrapText="1"/>
    </xf>
    <xf numFmtId="0" fontId="0" fillId="0" borderId="20" xfId="0" applyBorder="1" applyAlignment="1">
      <alignment horizontal="center" vertical="center" wrapText="1"/>
    </xf>
    <xf numFmtId="0" fontId="0" fillId="3" borderId="0" xfId="0" applyFill="1" applyBorder="1" applyAlignment="1"/>
    <xf numFmtId="164" fontId="30" fillId="3" borderId="5" xfId="0" applyNumberFormat="1" applyFont="1" applyFill="1" applyBorder="1" applyAlignment="1">
      <alignment horizontal="center"/>
    </xf>
    <xf numFmtId="164" fontId="30" fillId="3" borderId="21" xfId="0" applyNumberFormat="1" applyFont="1" applyFill="1" applyBorder="1" applyAlignment="1">
      <alignment horizontal="center"/>
    </xf>
    <xf numFmtId="164" fontId="30" fillId="3" borderId="7" xfId="0" applyNumberFormat="1" applyFont="1" applyFill="1" applyBorder="1" applyAlignment="1">
      <alignment horizontal="center" vertical="center"/>
    </xf>
    <xf numFmtId="164" fontId="30" fillId="3" borderId="20" xfId="0" applyNumberFormat="1" applyFont="1" applyFill="1" applyBorder="1" applyAlignment="1">
      <alignment horizontal="center" vertical="center"/>
    </xf>
    <xf numFmtId="0" fontId="8" fillId="3" borderId="20" xfId="0" applyFont="1" applyFill="1" applyBorder="1" applyAlignment="1"/>
    <xf numFmtId="0" fontId="8" fillId="3" borderId="0" xfId="0" applyFont="1" applyFill="1" applyBorder="1" applyAlignment="1" applyProtection="1">
      <alignment horizontal="left"/>
    </xf>
    <xf numFmtId="0" fontId="8" fillId="3" borderId="10" xfId="0" applyFont="1" applyFill="1" applyBorder="1" applyProtection="1"/>
    <xf numFmtId="0" fontId="8" fillId="3" borderId="9" xfId="0" applyFont="1" applyFill="1" applyBorder="1" applyProtection="1"/>
    <xf numFmtId="0" fontId="14" fillId="4" borderId="10" xfId="0" applyFont="1" applyFill="1" applyBorder="1" applyAlignment="1" applyProtection="1">
      <alignment horizontal="center" vertical="center"/>
    </xf>
    <xf numFmtId="0" fontId="14" fillId="4" borderId="9" xfId="0" applyFont="1" applyFill="1" applyBorder="1" applyAlignment="1" applyProtection="1">
      <alignment horizontal="center" vertical="center"/>
    </xf>
    <xf numFmtId="0" fontId="14" fillId="4" borderId="37" xfId="0" applyFont="1" applyFill="1" applyBorder="1" applyAlignment="1" applyProtection="1">
      <alignment horizontal="center" vertical="center"/>
    </xf>
    <xf numFmtId="0" fontId="8" fillId="4" borderId="10" xfId="0" applyFont="1" applyFill="1" applyBorder="1" applyAlignment="1" applyProtection="1">
      <alignment horizontal="left" vertical="center" wrapText="1"/>
    </xf>
    <xf numFmtId="0" fontId="8" fillId="4" borderId="9" xfId="0" applyFont="1" applyFill="1" applyBorder="1" applyAlignment="1" applyProtection="1">
      <alignment horizontal="left" vertical="center" wrapText="1"/>
    </xf>
    <xf numFmtId="0" fontId="8" fillId="4" borderId="37" xfId="0" applyFont="1" applyFill="1" applyBorder="1" applyAlignment="1" applyProtection="1">
      <alignment horizontal="left" vertical="center" wrapText="1"/>
    </xf>
    <xf numFmtId="0" fontId="8" fillId="4" borderId="10" xfId="0" applyFont="1" applyFill="1" applyBorder="1" applyAlignment="1" applyProtection="1">
      <alignment vertical="center"/>
    </xf>
    <xf numFmtId="0" fontId="8" fillId="4" borderId="9" xfId="0" applyFont="1" applyFill="1" applyBorder="1" applyAlignment="1" applyProtection="1">
      <alignment vertical="center"/>
    </xf>
    <xf numFmtId="0" fontId="8" fillId="4" borderId="37" xfId="0" applyFont="1" applyFill="1" applyBorder="1" applyAlignment="1" applyProtection="1">
      <alignment vertical="center"/>
    </xf>
    <xf numFmtId="0" fontId="0" fillId="0" borderId="0" xfId="0" applyAlignment="1" applyProtection="1">
      <alignment wrapText="1"/>
    </xf>
    <xf numFmtId="0" fontId="0" fillId="0" borderId="0" xfId="0" applyProtection="1"/>
    <xf numFmtId="0" fontId="6" fillId="0" borderId="0" xfId="0" applyFont="1" applyAlignment="1" applyProtection="1">
      <alignment vertical="top" wrapText="1"/>
    </xf>
    <xf numFmtId="0" fontId="0" fillId="0" borderId="0" xfId="0" applyAlignment="1" applyProtection="1">
      <alignment vertical="top" wrapText="1"/>
    </xf>
    <xf numFmtId="0" fontId="14" fillId="4" borderId="10" xfId="0" applyFont="1" applyFill="1" applyBorder="1" applyAlignment="1">
      <alignment horizontal="center" vertical="center"/>
    </xf>
    <xf numFmtId="0" fontId="14" fillId="4" borderId="9" xfId="0" applyFont="1" applyFill="1" applyBorder="1" applyAlignment="1">
      <alignment horizontal="center" vertical="center"/>
    </xf>
    <xf numFmtId="0" fontId="14" fillId="4" borderId="37" xfId="0" applyFont="1" applyFill="1" applyBorder="1" applyAlignment="1">
      <alignment horizontal="center" vertical="center"/>
    </xf>
    <xf numFmtId="0" fontId="0" fillId="0" borderId="0" xfId="0" applyAlignment="1"/>
    <xf numFmtId="0" fontId="8" fillId="4" borderId="10" xfId="0" applyFont="1" applyFill="1" applyBorder="1" applyAlignment="1">
      <alignment horizontal="left" vertical="center" wrapText="1"/>
    </xf>
    <xf numFmtId="0" fontId="8" fillId="4" borderId="9" xfId="0" applyFont="1" applyFill="1" applyBorder="1" applyAlignment="1">
      <alignment horizontal="left" vertical="center" wrapText="1"/>
    </xf>
    <xf numFmtId="0" fontId="8" fillId="4" borderId="37" xfId="0" applyFont="1" applyFill="1" applyBorder="1" applyAlignment="1">
      <alignment horizontal="left" vertical="center" wrapText="1"/>
    </xf>
    <xf numFmtId="0" fontId="6" fillId="0" borderId="0" xfId="0" applyFont="1" applyAlignment="1">
      <alignment wrapText="1"/>
    </xf>
    <xf numFmtId="0" fontId="8" fillId="4" borderId="10" xfId="0" applyFont="1" applyFill="1" applyBorder="1" applyAlignment="1">
      <alignment vertical="center"/>
    </xf>
    <xf numFmtId="0" fontId="8" fillId="4" borderId="9" xfId="0" applyFont="1" applyFill="1" applyBorder="1" applyAlignment="1">
      <alignment vertical="center"/>
    </xf>
    <xf numFmtId="0" fontId="8" fillId="4" borderId="37" xfId="0" applyFont="1" applyFill="1" applyBorder="1" applyAlignment="1">
      <alignment vertical="center"/>
    </xf>
    <xf numFmtId="0" fontId="8" fillId="4" borderId="10" xfId="0" applyFont="1" applyFill="1" applyBorder="1" applyAlignment="1">
      <alignment vertical="center" wrapText="1"/>
    </xf>
    <xf numFmtId="0" fontId="23" fillId="0" borderId="0" xfId="0" applyFont="1" applyAlignment="1">
      <alignment horizontal="center" vertical="center" wrapText="1"/>
    </xf>
    <xf numFmtId="0" fontId="75" fillId="0" borderId="0" xfId="0" applyFont="1" applyAlignment="1">
      <alignment horizontal="center" wrapText="1"/>
    </xf>
    <xf numFmtId="164" fontId="23" fillId="0" borderId="0" xfId="1" applyNumberFormat="1" applyFont="1" applyBorder="1" applyAlignment="1">
      <alignment horizontal="left" vertical="center" wrapText="1"/>
    </xf>
    <xf numFmtId="0" fontId="8" fillId="4" borderId="9" xfId="0" applyFont="1" applyFill="1" applyBorder="1" applyAlignment="1">
      <alignment vertical="center" wrapText="1"/>
    </xf>
    <xf numFmtId="0" fontId="8" fillId="4" borderId="37" xfId="0" applyFont="1" applyFill="1" applyBorder="1" applyAlignment="1">
      <alignment vertical="center" wrapText="1"/>
    </xf>
    <xf numFmtId="0" fontId="8" fillId="4" borderId="15" xfId="0" applyFont="1" applyFill="1" applyBorder="1" applyAlignment="1">
      <alignment vertical="center" wrapText="1"/>
    </xf>
    <xf numFmtId="0" fontId="8" fillId="4" borderId="16" xfId="0" applyFont="1" applyFill="1" applyBorder="1" applyAlignment="1">
      <alignment vertical="center" wrapText="1"/>
    </xf>
    <xf numFmtId="0" fontId="8" fillId="4" borderId="24" xfId="0" applyFont="1" applyFill="1" applyBorder="1" applyAlignment="1">
      <alignment vertical="center" wrapText="1"/>
    </xf>
    <xf numFmtId="0" fontId="8" fillId="4" borderId="17" xfId="0" applyFont="1" applyFill="1" applyBorder="1" applyAlignment="1">
      <alignment vertical="center" wrapText="1"/>
    </xf>
    <xf numFmtId="0" fontId="8" fillId="4" borderId="0" xfId="0" applyFont="1" applyFill="1" applyBorder="1" applyAlignment="1">
      <alignment vertical="center" wrapText="1"/>
    </xf>
    <xf numFmtId="0" fontId="8" fillId="4" borderId="18" xfId="0" applyFont="1" applyFill="1" applyBorder="1" applyAlignment="1">
      <alignment vertical="center" wrapText="1"/>
    </xf>
    <xf numFmtId="0" fontId="8" fillId="4" borderId="11" xfId="0" applyFont="1" applyFill="1" applyBorder="1" applyAlignment="1">
      <alignment vertical="center" wrapText="1"/>
    </xf>
    <xf numFmtId="0" fontId="8" fillId="4" borderId="1" xfId="0" applyFont="1" applyFill="1" applyBorder="1" applyAlignment="1">
      <alignment vertical="center" wrapText="1"/>
    </xf>
    <xf numFmtId="0" fontId="8" fillId="4" borderId="12" xfId="0" applyFont="1" applyFill="1" applyBorder="1" applyAlignment="1">
      <alignment vertical="center" wrapText="1"/>
    </xf>
    <xf numFmtId="0" fontId="6" fillId="0" borderId="0" xfId="0" applyFont="1" applyAlignment="1">
      <alignment vertical="top" wrapText="1"/>
    </xf>
    <xf numFmtId="0" fontId="0" fillId="0" borderId="0" xfId="0" applyFill="1" applyAlignment="1">
      <alignment vertical="top" wrapText="1"/>
    </xf>
    <xf numFmtId="0" fontId="8" fillId="0" borderId="18" xfId="0" applyFont="1" applyBorder="1" applyAlignment="1">
      <alignment horizontal="center" vertical="center"/>
    </xf>
    <xf numFmtId="0" fontId="16" fillId="0" borderId="0" xfId="0" applyFont="1" applyAlignment="1">
      <alignment wrapText="1"/>
    </xf>
    <xf numFmtId="164" fontId="0" fillId="4" borderId="16" xfId="0" applyNumberFormat="1" applyFill="1" applyBorder="1"/>
    <xf numFmtId="164" fontId="0" fillId="4" borderId="0" xfId="0" applyNumberFormat="1" applyFill="1" applyBorder="1"/>
    <xf numFmtId="0" fontId="6" fillId="0" borderId="0" xfId="0" applyFont="1"/>
    <xf numFmtId="164" fontId="0" fillId="2" borderId="16" xfId="1" applyNumberFormat="1" applyFont="1" applyFill="1" applyBorder="1" applyProtection="1">
      <protection locked="0"/>
    </xf>
    <xf numFmtId="164" fontId="0" fillId="2" borderId="0" xfId="1" applyNumberFormat="1" applyFont="1" applyFill="1" applyBorder="1" applyProtection="1">
      <protection locked="0"/>
    </xf>
    <xf numFmtId="0" fontId="0" fillId="2" borderId="16" xfId="0" applyFill="1" applyBorder="1" applyProtection="1">
      <protection locked="0"/>
    </xf>
    <xf numFmtId="0" fontId="0" fillId="2" borderId="0" xfId="0" applyFill="1" applyBorder="1" applyProtection="1">
      <protection locked="0"/>
    </xf>
    <xf numFmtId="164" fontId="35" fillId="0" borderId="0" xfId="1" applyNumberFormat="1" applyFont="1" applyBorder="1" applyAlignment="1">
      <alignment horizontal="left" wrapText="1"/>
    </xf>
    <xf numFmtId="164" fontId="0" fillId="2" borderId="0" xfId="1" applyNumberFormat="1" applyFont="1" applyFill="1" applyProtection="1">
      <protection locked="0"/>
    </xf>
    <xf numFmtId="0" fontId="0" fillId="2" borderId="0" xfId="0" applyFill="1" applyProtection="1">
      <protection locked="0"/>
    </xf>
    <xf numFmtId="0" fontId="0" fillId="0" borderId="0" xfId="0" applyFill="1" applyAlignment="1">
      <alignment wrapText="1"/>
    </xf>
    <xf numFmtId="0" fontId="8" fillId="0" borderId="0" xfId="0" applyFont="1" applyAlignment="1">
      <alignment horizontal="center" wrapText="1"/>
    </xf>
    <xf numFmtId="0" fontId="8" fillId="0" borderId="38" xfId="0" applyFont="1" applyBorder="1" applyAlignment="1">
      <alignment horizontal="center" wrapText="1"/>
    </xf>
    <xf numFmtId="164" fontId="0" fillId="4" borderId="0" xfId="0" applyNumberFormat="1" applyFill="1"/>
    <xf numFmtId="0" fontId="8" fillId="0" borderId="0" xfId="0" applyFont="1" applyFill="1" applyBorder="1" applyAlignment="1" applyProtection="1">
      <alignment horizontal="center" wrapText="1"/>
      <protection locked="0"/>
    </xf>
    <xf numFmtId="0" fontId="0" fillId="0" borderId="1" xfId="0" applyBorder="1" applyAlignment="1" applyProtection="1">
      <alignment horizontal="center" wrapText="1"/>
      <protection locked="0"/>
    </xf>
    <xf numFmtId="0" fontId="8" fillId="0" borderId="0" xfId="0" applyFont="1" applyAlignment="1" applyProtection="1">
      <alignment horizontal="center" wrapText="1"/>
    </xf>
    <xf numFmtId="0" fontId="0" fillId="0" borderId="1" xfId="0" applyBorder="1" applyAlignment="1" applyProtection="1">
      <alignment horizontal="center" wrapText="1"/>
    </xf>
    <xf numFmtId="0" fontId="8" fillId="0" borderId="0" xfId="0" applyFont="1" applyFill="1" applyBorder="1" applyAlignment="1" applyProtection="1">
      <alignment horizontal="center" wrapText="1"/>
    </xf>
    <xf numFmtId="0" fontId="8" fillId="0" borderId="0" xfId="0" applyFont="1" applyBorder="1" applyAlignment="1">
      <alignment horizontal="center" wrapText="1"/>
    </xf>
    <xf numFmtId="0" fontId="0" fillId="0" borderId="1" xfId="0" applyBorder="1" applyAlignment="1">
      <alignment horizontal="center" wrapText="1"/>
    </xf>
    <xf numFmtId="0" fontId="8" fillId="0" borderId="1" xfId="0" applyFont="1" applyBorder="1" applyAlignment="1">
      <alignment horizontal="center" wrapText="1"/>
    </xf>
    <xf numFmtId="0" fontId="18" fillId="0" borderId="0" xfId="0" applyFont="1" applyAlignment="1">
      <alignment wrapText="1"/>
    </xf>
    <xf numFmtId="0" fontId="18" fillId="0" borderId="0" xfId="0" quotePrefix="1" applyFont="1" applyAlignment="1">
      <alignment wrapText="1"/>
    </xf>
    <xf numFmtId="0" fontId="8" fillId="0" borderId="16" xfId="0" applyFont="1" applyBorder="1" applyAlignment="1" applyProtection="1">
      <alignment horizontal="center" wrapText="1"/>
    </xf>
    <xf numFmtId="0" fontId="8" fillId="0" borderId="16" xfId="0" applyFont="1" applyFill="1" applyBorder="1" applyAlignment="1" applyProtection="1">
      <alignment horizontal="center" wrapText="1"/>
    </xf>
    <xf numFmtId="0" fontId="8" fillId="0" borderId="16" xfId="0" applyFont="1" applyBorder="1" applyAlignment="1">
      <alignment horizontal="center" wrapText="1"/>
    </xf>
    <xf numFmtId="0" fontId="8" fillId="0" borderId="16" xfId="0" applyFont="1" applyFill="1" applyBorder="1" applyAlignment="1">
      <alignment horizontal="center" wrapText="1"/>
    </xf>
    <xf numFmtId="0" fontId="10" fillId="2" borderId="0" xfId="0" applyFont="1" applyFill="1" applyBorder="1" applyProtection="1">
      <protection locked="0"/>
    </xf>
    <xf numFmtId="164" fontId="0" fillId="0" borderId="0" xfId="1" applyNumberFormat="1" applyFont="1" applyAlignment="1">
      <alignment horizontal="right"/>
    </xf>
    <xf numFmtId="164" fontId="0" fillId="0" borderId="0" xfId="1" applyNumberFormat="1" applyFont="1" applyAlignment="1">
      <alignment horizontal="right" wrapText="1"/>
    </xf>
    <xf numFmtId="0" fontId="8" fillId="0" borderId="0" xfId="0" applyFont="1" applyAlignment="1" applyProtection="1">
      <alignment horizontal="center" wrapText="1"/>
      <protection locked="0"/>
    </xf>
    <xf numFmtId="0" fontId="0" fillId="0" borderId="0" xfId="0" applyFill="1"/>
    <xf numFmtId="0" fontId="8" fillId="0" borderId="0" xfId="0" applyFont="1" applyFill="1" applyBorder="1" applyAlignment="1">
      <alignment horizontal="center"/>
    </xf>
    <xf numFmtId="0" fontId="23" fillId="0" borderId="0" xfId="0" applyFont="1" applyAlignment="1">
      <alignment wrapText="1"/>
    </xf>
    <xf numFmtId="0" fontId="8" fillId="0" borderId="38" xfId="0" applyFont="1" applyBorder="1" applyAlignment="1" applyProtection="1">
      <alignment horizontal="center" wrapText="1"/>
    </xf>
    <xf numFmtId="0" fontId="35" fillId="0" borderId="0" xfId="0" applyFont="1" applyAlignment="1">
      <alignment wrapText="1"/>
    </xf>
    <xf numFmtId="164" fontId="0" fillId="4" borderId="0" xfId="1" applyNumberFormat="1" applyFont="1" applyFill="1" applyProtection="1">
      <protection locked="0"/>
    </xf>
    <xf numFmtId="167" fontId="0" fillId="2" borderId="0" xfId="1" applyNumberFormat="1" applyFont="1" applyFill="1" applyProtection="1">
      <protection locked="0"/>
    </xf>
    <xf numFmtId="164" fontId="0" fillId="4" borderId="0" xfId="1" applyNumberFormat="1" applyFont="1" applyFill="1"/>
    <xf numFmtId="166" fontId="0" fillId="4" borderId="0" xfId="0" applyNumberFormat="1" applyFill="1"/>
    <xf numFmtId="166" fontId="0" fillId="4" borderId="0" xfId="1" applyNumberFormat="1" applyFont="1" applyFill="1"/>
    <xf numFmtId="0" fontId="46" fillId="0" borderId="0" xfId="0" applyFont="1" applyAlignment="1">
      <alignment wrapText="1"/>
    </xf>
    <xf numFmtId="0" fontId="0" fillId="0" borderId="0" xfId="0" applyFill="1" applyBorder="1"/>
    <xf numFmtId="164" fontId="0" fillId="2" borderId="1" xfId="1" applyNumberFormat="1" applyFont="1" applyFill="1" applyBorder="1" applyProtection="1">
      <protection locked="0"/>
    </xf>
    <xf numFmtId="0" fontId="0" fillId="0" borderId="0" xfId="0" applyAlignment="1">
      <alignment horizontal="left" wrapText="1"/>
    </xf>
    <xf numFmtId="0" fontId="46" fillId="0" borderId="0" xfId="0" applyFont="1" applyFill="1" applyAlignment="1">
      <alignment wrapText="1"/>
    </xf>
    <xf numFmtId="0" fontId="0" fillId="0" borderId="43" xfId="0" applyFill="1" applyBorder="1" applyAlignment="1">
      <alignment horizontal="center"/>
    </xf>
    <xf numFmtId="0" fontId="0" fillId="0" borderId="44" xfId="0" applyFill="1" applyBorder="1" applyAlignment="1">
      <alignment horizontal="center"/>
    </xf>
    <xf numFmtId="0" fontId="8" fillId="0" borderId="0" xfId="0" applyFont="1" applyFill="1" applyBorder="1"/>
    <xf numFmtId="0" fontId="8" fillId="0" borderId="0" xfId="0" applyFont="1" applyAlignment="1"/>
    <xf numFmtId="0" fontId="0" fillId="0" borderId="43" xfId="0" applyBorder="1" applyAlignment="1">
      <alignment horizontal="center"/>
    </xf>
    <xf numFmtId="0" fontId="0" fillId="0" borderId="44" xfId="0" applyBorder="1" applyAlignment="1">
      <alignment horizontal="center"/>
    </xf>
    <xf numFmtId="0" fontId="0" fillId="0" borderId="16" xfId="0" applyBorder="1" applyAlignment="1">
      <alignment horizontal="center"/>
    </xf>
    <xf numFmtId="0" fontId="0" fillId="0" borderId="16" xfId="0" applyFill="1" applyBorder="1" applyAlignment="1">
      <alignment horizontal="center"/>
    </xf>
    <xf numFmtId="0" fontId="26" fillId="5" borderId="10" xfId="0" applyFont="1" applyFill="1" applyBorder="1"/>
    <xf numFmtId="0" fontId="26" fillId="5" borderId="9" xfId="0" applyFont="1" applyFill="1" applyBorder="1"/>
    <xf numFmtId="0" fontId="26" fillId="5" borderId="37" xfId="0" applyFont="1" applyFill="1" applyBorder="1"/>
    <xf numFmtId="0" fontId="8" fillId="8" borderId="10" xfId="0" applyFont="1" applyFill="1" applyBorder="1" applyAlignment="1">
      <alignment vertical="center" wrapText="1"/>
    </xf>
    <xf numFmtId="0" fontId="8" fillId="8" borderId="9" xfId="0" applyFont="1" applyFill="1" applyBorder="1" applyAlignment="1">
      <alignment vertical="center" wrapText="1"/>
    </xf>
    <xf numFmtId="0" fontId="8" fillId="8" borderId="37" xfId="0" applyFont="1" applyFill="1" applyBorder="1" applyAlignment="1">
      <alignment vertical="center" wrapText="1"/>
    </xf>
    <xf numFmtId="0" fontId="38" fillId="0" borderId="0" xfId="0" applyFont="1" applyAlignment="1">
      <alignment wrapText="1"/>
    </xf>
    <xf numFmtId="0" fontId="10" fillId="0" borderId="0" xfId="0" applyFont="1" applyAlignment="1">
      <alignment wrapText="1"/>
    </xf>
    <xf numFmtId="164" fontId="9" fillId="0" borderId="0" xfId="0" applyNumberFormat="1" applyFont="1" applyAlignment="1">
      <alignment wrapText="1"/>
    </xf>
    <xf numFmtId="0" fontId="0" fillId="0" borderId="1" xfId="0" applyBorder="1" applyAlignment="1">
      <alignment wrapText="1"/>
    </xf>
    <xf numFmtId="0" fontId="10" fillId="0" borderId="0" xfId="0" quotePrefix="1" applyFont="1" applyAlignment="1">
      <alignment wrapText="1"/>
    </xf>
    <xf numFmtId="0" fontId="8" fillId="0" borderId="0" xfId="0" applyFont="1" applyBorder="1" applyAlignment="1">
      <alignment horizontal="center"/>
    </xf>
    <xf numFmtId="164" fontId="16" fillId="0" borderId="0" xfId="1" applyNumberFormat="1" applyFont="1" applyBorder="1" applyAlignment="1">
      <alignment horizontal="center" vertical="center" wrapText="1"/>
    </xf>
    <xf numFmtId="0" fontId="16" fillId="0" borderId="0" xfId="0" applyFont="1" applyAlignment="1">
      <alignment horizontal="center" vertical="center" wrapText="1"/>
    </xf>
    <xf numFmtId="0" fontId="0" fillId="0" borderId="0" xfId="0" applyBorder="1" applyAlignment="1">
      <alignment horizontal="center" wrapText="1"/>
    </xf>
    <xf numFmtId="0" fontId="16" fillId="0" borderId="0" xfId="0" applyFont="1" applyAlignment="1">
      <alignment horizontal="center"/>
    </xf>
    <xf numFmtId="0" fontId="0" fillId="4" borderId="9" xfId="0" applyFill="1" applyBorder="1" applyAlignment="1">
      <alignment vertical="center"/>
    </xf>
    <xf numFmtId="0" fontId="0" fillId="4" borderId="37" xfId="0" applyFill="1" applyBorder="1" applyAlignment="1">
      <alignment vertical="center"/>
    </xf>
    <xf numFmtId="0" fontId="16" fillId="0" borderId="0" xfId="0" applyFont="1"/>
    <xf numFmtId="0" fontId="0" fillId="4" borderId="17" xfId="0" applyFill="1" applyBorder="1" applyAlignment="1">
      <alignment horizontal="center"/>
    </xf>
    <xf numFmtId="0" fontId="0" fillId="4" borderId="0" xfId="0" applyFill="1" applyBorder="1" applyAlignment="1">
      <alignment horizontal="center"/>
    </xf>
    <xf numFmtId="0" fontId="0" fillId="4" borderId="18" xfId="0" applyFill="1" applyBorder="1" applyAlignment="1">
      <alignment horizontal="center"/>
    </xf>
    <xf numFmtId="164" fontId="6" fillId="2" borderId="0" xfId="1" applyNumberFormat="1" applyFill="1" applyBorder="1" applyProtection="1">
      <protection locked="0"/>
    </xf>
    <xf numFmtId="164" fontId="19" fillId="0" borderId="0" xfId="1" applyNumberFormat="1" applyFont="1" applyBorder="1" applyAlignment="1">
      <alignment horizontal="left"/>
    </xf>
    <xf numFmtId="0" fontId="0" fillId="0" borderId="15" xfId="0" applyBorder="1" applyAlignment="1">
      <alignment horizontal="center"/>
    </xf>
    <xf numFmtId="0" fontId="0" fillId="0" borderId="24" xfId="0" applyBorder="1" applyAlignment="1">
      <alignment horizontal="center"/>
    </xf>
    <xf numFmtId="0" fontId="0" fillId="0" borderId="15" xfId="0" applyFill="1" applyBorder="1" applyAlignment="1">
      <alignment horizontal="center"/>
    </xf>
    <xf numFmtId="0" fontId="0" fillId="0" borderId="24" xfId="0" applyFill="1" applyBorder="1" applyAlignment="1">
      <alignment horizontal="center"/>
    </xf>
    <xf numFmtId="164" fontId="9" fillId="0" borderId="0" xfId="1" applyNumberFormat="1" applyFont="1" applyBorder="1" applyAlignment="1">
      <alignment horizontal="center" wrapText="1"/>
    </xf>
    <xf numFmtId="0" fontId="14" fillId="5" borderId="0" xfId="0" applyFont="1" applyFill="1" applyAlignment="1">
      <alignment horizontal="left"/>
    </xf>
    <xf numFmtId="164" fontId="16" fillId="0" borderId="0" xfId="0" applyNumberFormat="1" applyFont="1" applyAlignment="1">
      <alignment horizontal="center" vertical="center" wrapText="1"/>
    </xf>
    <xf numFmtId="0" fontId="8" fillId="4" borderId="1" xfId="0" applyFont="1" applyFill="1" applyBorder="1" applyAlignment="1">
      <alignment vertical="center"/>
    </xf>
    <xf numFmtId="0" fontId="6" fillId="0" borderId="0" xfId="0" applyFont="1" applyAlignment="1">
      <alignment horizontal="left" vertical="top" wrapText="1"/>
    </xf>
    <xf numFmtId="164" fontId="36" fillId="0" borderId="0" xfId="1" applyNumberFormat="1" applyFont="1" applyBorder="1" applyAlignment="1">
      <alignment horizontal="left"/>
    </xf>
    <xf numFmtId="0" fontId="8" fillId="0" borderId="10" xfId="0" applyFont="1" applyFill="1" applyBorder="1" applyAlignment="1">
      <alignment horizontal="center" wrapText="1"/>
    </xf>
    <xf numFmtId="0" fontId="8" fillId="0" borderId="9" xfId="0" applyFont="1" applyFill="1" applyBorder="1" applyAlignment="1">
      <alignment horizontal="center" wrapText="1"/>
    </xf>
    <xf numFmtId="0" fontId="8" fillId="0" borderId="37" xfId="0" applyFont="1" applyFill="1" applyBorder="1" applyAlignment="1">
      <alignment horizontal="center" wrapText="1"/>
    </xf>
    <xf numFmtId="164" fontId="19" fillId="0" borderId="0" xfId="1" applyNumberFormat="1" applyFont="1" applyBorder="1" applyAlignment="1">
      <alignment horizontal="right"/>
    </xf>
    <xf numFmtId="0" fontId="9" fillId="0" borderId="17" xfId="0" applyFont="1" applyBorder="1" applyAlignment="1">
      <alignment horizontal="center"/>
    </xf>
    <xf numFmtId="0" fontId="9" fillId="0" borderId="0" xfId="0" applyFont="1" applyBorder="1" applyAlignment="1">
      <alignment horizontal="center"/>
    </xf>
    <xf numFmtId="0" fontId="9" fillId="0" borderId="18" xfId="0" applyFont="1" applyBorder="1" applyAlignment="1">
      <alignment horizontal="center"/>
    </xf>
    <xf numFmtId="164" fontId="35" fillId="0" borderId="0" xfId="0" applyNumberFormat="1" applyFont="1" applyAlignment="1">
      <alignment wrapText="1"/>
    </xf>
    <xf numFmtId="164" fontId="35" fillId="0" borderId="0" xfId="1" applyNumberFormat="1" applyFont="1" applyBorder="1" applyAlignment="1">
      <alignment wrapText="1"/>
    </xf>
    <xf numFmtId="164" fontId="35" fillId="0" borderId="0" xfId="1" applyNumberFormat="1" applyFont="1" applyAlignment="1">
      <alignment wrapText="1"/>
    </xf>
    <xf numFmtId="0" fontId="6" fillId="0" borderId="1" xfId="0" applyFont="1" applyBorder="1" applyAlignment="1">
      <alignment vertical="top" wrapText="1"/>
    </xf>
    <xf numFmtId="0" fontId="0" fillId="0" borderId="1" xfId="0" applyBorder="1" applyAlignment="1">
      <alignment horizontal="center"/>
    </xf>
    <xf numFmtId="0" fontId="42" fillId="0" borderId="0" xfId="0" applyFont="1"/>
    <xf numFmtId="0" fontId="42" fillId="0" borderId="0" xfId="0" applyFont="1" applyAlignment="1">
      <alignment wrapText="1"/>
    </xf>
    <xf numFmtId="0" fontId="8" fillId="0" borderId="18" xfId="0" applyFont="1" applyBorder="1" applyAlignment="1">
      <alignment vertical="center"/>
    </xf>
    <xf numFmtId="0" fontId="8" fillId="4" borderId="15" xfId="0" applyFont="1" applyFill="1" applyBorder="1" applyAlignment="1">
      <alignment vertical="center"/>
    </xf>
    <xf numFmtId="0" fontId="8" fillId="4" borderId="16" xfId="0" applyFont="1" applyFill="1" applyBorder="1" applyAlignment="1">
      <alignment vertical="center"/>
    </xf>
    <xf numFmtId="0" fontId="8" fillId="4" borderId="24" xfId="0" applyFont="1" applyFill="1" applyBorder="1" applyAlignment="1">
      <alignment vertical="center"/>
    </xf>
    <xf numFmtId="0" fontId="8" fillId="4" borderId="11" xfId="0" applyFont="1" applyFill="1" applyBorder="1" applyAlignment="1">
      <alignment vertical="center"/>
    </xf>
    <xf numFmtId="0" fontId="8" fillId="4" borderId="12" xfId="0" applyFont="1" applyFill="1" applyBorder="1" applyAlignment="1">
      <alignment vertical="center"/>
    </xf>
    <xf numFmtId="164" fontId="0" fillId="2" borderId="0" xfId="1" applyNumberFormat="1" applyFont="1" applyFill="1" applyAlignment="1" applyProtection="1">
      <protection locked="0"/>
    </xf>
    <xf numFmtId="0" fontId="0" fillId="0" borderId="0" xfId="0" applyAlignment="1" applyProtection="1">
      <protection locked="0"/>
    </xf>
    <xf numFmtId="0" fontId="14" fillId="5" borderId="0" xfId="0" applyFont="1" applyFill="1" applyAlignment="1">
      <alignment horizontal="left" vertical="center"/>
    </xf>
    <xf numFmtId="0" fontId="26" fillId="4" borderId="10" xfId="0" applyFont="1" applyFill="1" applyBorder="1" applyAlignment="1">
      <alignment horizontal="center"/>
    </xf>
    <xf numFmtId="0" fontId="26" fillId="4" borderId="9" xfId="0" applyFont="1" applyFill="1" applyBorder="1" applyAlignment="1">
      <alignment horizontal="center"/>
    </xf>
    <xf numFmtId="0" fontId="26" fillId="4" borderId="37" xfId="0" applyFont="1" applyFill="1" applyBorder="1" applyAlignment="1">
      <alignment horizontal="center"/>
    </xf>
    <xf numFmtId="0" fontId="52" fillId="0" borderId="0" xfId="0" applyFont="1" applyAlignment="1">
      <alignment horizontal="left" vertical="top" wrapText="1" readingOrder="1"/>
    </xf>
    <xf numFmtId="0" fontId="8" fillId="4" borderId="10" xfId="0" applyFont="1" applyFill="1" applyBorder="1" applyAlignment="1">
      <alignment horizontal="left" vertical="center"/>
    </xf>
    <xf numFmtId="0" fontId="8" fillId="4" borderId="9" xfId="0" applyFont="1" applyFill="1" applyBorder="1" applyAlignment="1">
      <alignment horizontal="left" vertical="center"/>
    </xf>
    <xf numFmtId="0" fontId="8" fillId="4" borderId="37" xfId="0" applyFont="1" applyFill="1" applyBorder="1" applyAlignment="1">
      <alignment horizontal="left" vertical="center"/>
    </xf>
    <xf numFmtId="0" fontId="55" fillId="0" borderId="15" xfId="0" applyFont="1" applyFill="1" applyBorder="1" applyAlignment="1">
      <alignment horizontal="center" vertical="center"/>
    </xf>
    <xf numFmtId="0" fontId="55" fillId="0" borderId="16" xfId="0" applyFont="1" applyFill="1" applyBorder="1" applyAlignment="1">
      <alignment horizontal="center" vertical="center"/>
    </xf>
    <xf numFmtId="0" fontId="55" fillId="0" borderId="24" xfId="0" applyFont="1" applyFill="1" applyBorder="1" applyAlignment="1">
      <alignment horizontal="center" vertical="center"/>
    </xf>
    <xf numFmtId="0" fontId="26" fillId="4" borderId="10" xfId="0" applyFont="1" applyFill="1" applyBorder="1" applyAlignment="1">
      <alignment horizontal="center" vertical="center"/>
    </xf>
    <xf numFmtId="0" fontId="26" fillId="4" borderId="9" xfId="0" applyFont="1" applyFill="1" applyBorder="1" applyAlignment="1">
      <alignment horizontal="center" vertical="center"/>
    </xf>
    <xf numFmtId="0" fontId="26" fillId="4" borderId="37" xfId="0" applyFont="1" applyFill="1" applyBorder="1" applyAlignment="1">
      <alignment horizontal="center" vertical="center"/>
    </xf>
    <xf numFmtId="171" fontId="60" fillId="0" borderId="0" xfId="10" applyNumberFormat="1" applyFont="1" applyFill="1" applyBorder="1" applyAlignment="1">
      <alignment horizontal="left" vertical="top" wrapText="1"/>
    </xf>
    <xf numFmtId="0" fontId="26" fillId="0" borderId="0" xfId="14" applyFont="1" applyFill="1" applyBorder="1" applyAlignment="1">
      <alignment horizontal="center"/>
    </xf>
  </cellXfs>
  <cellStyles count="22">
    <cellStyle name="BigTitle" xfId="13"/>
    <cellStyle name="columnheader1" xfId="15"/>
    <cellStyle name="Comma" xfId="1" builtinId="3"/>
    <cellStyle name="Comma 2" xfId="6"/>
    <cellStyle name="Comma 3" xfId="9"/>
    <cellStyle name="Comma 3 2" xfId="10"/>
    <cellStyle name="Comma 4" xfId="18"/>
    <cellStyle name="Comma 5" xfId="21"/>
    <cellStyle name="Currency" xfId="2" builtinId="4"/>
    <cellStyle name="Normal" xfId="0" builtinId="0"/>
    <cellStyle name="Normal 2" xfId="4"/>
    <cellStyle name="Normal 2 3" xfId="11"/>
    <cellStyle name="Normal 3" xfId="7"/>
    <cellStyle name="Normal 4" xfId="16"/>
    <cellStyle name="Normal 5" xfId="12"/>
    <cellStyle name="Normal 6" xfId="19"/>
    <cellStyle name="Percent" xfId="3" builtinId="5"/>
    <cellStyle name="Percent 2" xfId="5"/>
    <cellStyle name="Percent 3" xfId="8"/>
    <cellStyle name="Percent 4" xfId="17"/>
    <cellStyle name="Percent 5" xfId="20"/>
    <cellStyle name="sectionhead" xfId="14"/>
  </cellStyles>
  <dxfs count="38">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b/>
        <i val="0"/>
        <color rgb="FFFF0000"/>
      </font>
      <fill>
        <patternFill>
          <bgColor theme="2" tint="-9.9948118533890809E-2"/>
        </patternFill>
      </fill>
    </dxf>
    <dxf>
      <font>
        <b/>
        <i val="0"/>
        <color rgb="FFFF0000"/>
      </font>
      <fill>
        <patternFill>
          <bgColor theme="2" tint="-9.9948118533890809E-2"/>
        </patternFill>
      </fill>
    </dxf>
  </dxfs>
  <tableStyles count="0" defaultTableStyle="TableStyleMedium9" defaultPivotStyle="PivotStyleLight16"/>
  <colors>
    <mruColors>
      <color rgb="FFFFCC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32" Type="http://schemas.openxmlformats.org/officeDocument/2006/relationships/customXml" Target="../customXml/item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3.xml"/><Relationship Id="rId28"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2.xml"/><Relationship Id="rId27" Type="http://schemas.openxmlformats.org/officeDocument/2006/relationships/calcChain" Target="calcChain.xml"/><Relationship Id="rId30" Type="http://schemas.openxmlformats.org/officeDocument/2006/relationships/customXml" Target="../customXml/item3.xml"/></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19050</xdr:colOff>
      <xdr:row>96</xdr:row>
      <xdr:rowOff>9525</xdr:rowOff>
    </xdr:from>
    <xdr:to>
      <xdr:col>11</xdr:col>
      <xdr:colOff>0</xdr:colOff>
      <xdr:row>106</xdr:row>
      <xdr:rowOff>150497</xdr:rowOff>
    </xdr:to>
    <xdr:sp macro="" textlink="">
      <xdr:nvSpPr>
        <xdr:cNvPr id="18434" name="Text Box 2"/>
        <xdr:cNvSpPr txBox="1">
          <a:spLocks noChangeArrowheads="1"/>
        </xdr:cNvSpPr>
      </xdr:nvSpPr>
      <xdr:spPr bwMode="auto">
        <a:xfrm>
          <a:off x="304800" y="17526000"/>
          <a:ext cx="6629400" cy="1762125"/>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Worksheets have been created such that they can be printed for offline review.  On the Conversion Worksheet, once all the detail fund data has been entered and the grand totals are as you expected, those detail fund columns can be hidden so that one sees the account titles on the left and then the column "Total Governmental Funds."  By hiding detail columns you will be able to fit the conversion worksheet to legal size paper.  Please note that to hide columns, you must unprotect the worksheet.  We suggest, that once fund detail is verified, that you unprotect the worksheet, hide the detail fund columns, and then re-protect the worksheet in order not to overwrite formulas and mapping.  All other worksheets fit on standard 8.5x11 paper.  Some worksheets result in such complicated entries that a work section is presented below the final entry to accumulate all activity.  These work sections are not defined in the normal print range.  If you wish to print the work sections, you will need to select the work section for printing or redefine your print ranges.  Please note that the work sections may be larger than regular 8.5x11 paper.           </a:t>
          </a:r>
        </a:p>
        <a:p>
          <a:pPr algn="l" rtl="0">
            <a:defRPr sz="1000"/>
          </a:pPr>
          <a:r>
            <a:rPr lang="en-US" sz="1000" b="0" i="0" u="none" strike="noStrike" baseline="0">
              <a:solidFill>
                <a:srgbClr val="000000"/>
              </a:solidFill>
              <a:latin typeface="Arial"/>
              <a:cs typeface="Arial"/>
            </a:rPr>
            <a:t>         </a:t>
          </a:r>
        </a:p>
        <a:p>
          <a:pPr algn="l" rtl="0">
            <a:defRPr sz="1000"/>
          </a:pPr>
          <a:r>
            <a:rPr lang="en-US" sz="1000" b="0" i="0" u="none" strike="noStrike" baseline="0">
              <a:solidFill>
                <a:srgbClr val="000000"/>
              </a:solidFill>
              <a:latin typeface="Arial"/>
              <a:cs typeface="Arial"/>
            </a:rPr>
            <a:t>         </a:t>
          </a:r>
        </a:p>
        <a:p>
          <a:pPr algn="l" rtl="0">
            <a:defRPr sz="1000"/>
          </a:pPr>
          <a:r>
            <a:rPr lang="en-US" sz="1000" b="0" i="0" u="none" strike="noStrike" baseline="0">
              <a:solidFill>
                <a:srgbClr val="000000"/>
              </a:solidFill>
              <a:latin typeface="Arial"/>
              <a:cs typeface="Arial"/>
            </a:rPr>
            <a:t>         </a:t>
          </a:r>
        </a:p>
        <a:p>
          <a:pPr algn="l" rtl="0">
            <a:defRPr sz="1000"/>
          </a:pPr>
          <a:r>
            <a:rPr lang="en-US" sz="1000" b="0" i="0" u="none" strike="noStrike" baseline="0">
              <a:solidFill>
                <a:srgbClr val="000000"/>
              </a:solidFill>
              <a:latin typeface="Arial"/>
              <a:cs typeface="Arial"/>
            </a:rPr>
            <a:t>         </a:t>
          </a:r>
        </a:p>
        <a:p>
          <a:pPr algn="l" rtl="0">
            <a:defRPr sz="1000"/>
          </a:pPr>
          <a:r>
            <a:rPr lang="en-US" sz="1000" b="0" i="0" u="none" strike="noStrike" baseline="0">
              <a:solidFill>
                <a:srgbClr val="000000"/>
              </a:solidFill>
              <a:latin typeface="Arial"/>
              <a:cs typeface="Arial"/>
            </a:rPr>
            <a:t>         </a:t>
          </a:r>
        </a:p>
        <a:p>
          <a:pPr algn="l" rtl="0">
            <a:defRPr sz="1000"/>
          </a:pPr>
          <a:r>
            <a:rPr lang="en-US" sz="1000" b="0" i="0" u="none" strike="noStrike" baseline="0">
              <a:solidFill>
                <a:srgbClr val="000000"/>
              </a:solidFill>
              <a:latin typeface="Arial"/>
              <a:cs typeface="Arial"/>
            </a:rPr>
            <a:t>         </a:t>
          </a:r>
        </a:p>
        <a:p>
          <a:pPr algn="l" rtl="0">
            <a:defRPr sz="1000"/>
          </a:pPr>
          <a:r>
            <a:rPr lang="en-US" sz="1000" b="0" i="0" u="none" strike="noStrike" baseline="0">
              <a:solidFill>
                <a:srgbClr val="000000"/>
              </a:solidFill>
              <a:latin typeface="Arial"/>
              <a:cs typeface="Arial"/>
            </a:rPr>
            <a:t>         </a:t>
          </a:r>
        </a:p>
        <a:p>
          <a:pPr algn="l" rtl="0">
            <a:defRPr sz="1000"/>
          </a:pPr>
          <a:r>
            <a:rPr lang="en-US" sz="1000" b="0" i="0" u="none" strike="noStrike" baseline="0">
              <a:solidFill>
                <a:srgbClr val="000000"/>
              </a:solidFill>
              <a:latin typeface="Arial"/>
              <a:cs typeface="Arial"/>
            </a:rPr>
            <a:t>         </a:t>
          </a:r>
        </a:p>
        <a:p>
          <a:pPr algn="l" rtl="0">
            <a:defRPr sz="1000"/>
          </a:pPr>
          <a:r>
            <a:rPr lang="en-US" sz="1000" b="0" i="0" u="none" strike="noStrike" baseline="0">
              <a:solidFill>
                <a:srgbClr val="000000"/>
              </a:solidFill>
              <a:latin typeface="Arial"/>
              <a:cs typeface="Arial"/>
            </a:rPr>
            <a:t>         </a:t>
          </a:r>
        </a:p>
        <a:p>
          <a:pPr algn="l" rtl="0">
            <a:defRPr sz="1000"/>
          </a:pPr>
          <a:r>
            <a:rPr lang="en-US" sz="1000" b="0" i="0" u="none" strike="noStrike" baseline="0">
              <a:solidFill>
                <a:srgbClr val="000000"/>
              </a:solidFill>
              <a:latin typeface="Arial"/>
              <a:cs typeface="Arial"/>
            </a:rPr>
            <a:t>         </a:t>
          </a:r>
        </a:p>
        <a:p>
          <a:pPr algn="l" rtl="0">
            <a:defRPr sz="1000"/>
          </a:pPr>
          <a:r>
            <a:rPr lang="en-US" sz="1000" b="0" i="0" u="none" strike="noStrike" baseline="0">
              <a:solidFill>
                <a:srgbClr val="000000"/>
              </a:solidFill>
              <a:latin typeface="Arial"/>
              <a:cs typeface="Arial"/>
            </a:rPr>
            <a:t>         </a:t>
          </a:r>
        </a:p>
        <a:p>
          <a:pPr algn="l" rtl="0">
            <a:defRPr sz="1000"/>
          </a:pPr>
          <a:endParaRPr lang="en-US" sz="1000" b="0" i="0" u="none" strike="noStrike" baseline="0">
            <a:solidFill>
              <a:srgbClr val="000000"/>
            </a:solidFill>
            <a:latin typeface="Arial"/>
            <a:cs typeface="Aria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14</xdr:col>
      <xdr:colOff>0</xdr:colOff>
      <xdr:row>23</xdr:row>
      <xdr:rowOff>9525</xdr:rowOff>
    </xdr:from>
    <xdr:to>
      <xdr:col>14</xdr:col>
      <xdr:colOff>0</xdr:colOff>
      <xdr:row>40</xdr:row>
      <xdr:rowOff>9525</xdr:rowOff>
    </xdr:to>
    <xdr:sp macro="" textlink="">
      <xdr:nvSpPr>
        <xdr:cNvPr id="21533" name="AutoShape 1"/>
        <xdr:cNvSpPr>
          <a:spLocks/>
        </xdr:cNvSpPr>
      </xdr:nvSpPr>
      <xdr:spPr bwMode="auto">
        <a:xfrm>
          <a:off x="7315200" y="3962400"/>
          <a:ext cx="0" cy="2752725"/>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14</xdr:col>
      <xdr:colOff>0</xdr:colOff>
      <xdr:row>45</xdr:row>
      <xdr:rowOff>9525</xdr:rowOff>
    </xdr:from>
    <xdr:to>
      <xdr:col>14</xdr:col>
      <xdr:colOff>0</xdr:colOff>
      <xdr:row>62</xdr:row>
      <xdr:rowOff>9525</xdr:rowOff>
    </xdr:to>
    <xdr:sp macro="" textlink="">
      <xdr:nvSpPr>
        <xdr:cNvPr id="21534" name="AutoShape 2"/>
        <xdr:cNvSpPr>
          <a:spLocks/>
        </xdr:cNvSpPr>
      </xdr:nvSpPr>
      <xdr:spPr bwMode="auto">
        <a:xfrm>
          <a:off x="7315200" y="7400925"/>
          <a:ext cx="0" cy="2752725"/>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12</xdr:col>
      <xdr:colOff>0</xdr:colOff>
      <xdr:row>159</xdr:row>
      <xdr:rowOff>133350</xdr:rowOff>
    </xdr:from>
    <xdr:to>
      <xdr:col>13</xdr:col>
      <xdr:colOff>142875</xdr:colOff>
      <xdr:row>198</xdr:row>
      <xdr:rowOff>95250</xdr:rowOff>
    </xdr:to>
    <xdr:sp macro="" textlink="">
      <xdr:nvSpPr>
        <xdr:cNvPr id="22627" name="AutoShape 6"/>
        <xdr:cNvSpPr>
          <a:spLocks/>
        </xdr:cNvSpPr>
      </xdr:nvSpPr>
      <xdr:spPr bwMode="auto">
        <a:xfrm>
          <a:off x="8715375" y="28527375"/>
          <a:ext cx="285750" cy="6010275"/>
        </a:xfrm>
        <a:prstGeom prst="rightBrace">
          <a:avLst>
            <a:gd name="adj1" fmla="val 17527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85725</xdr:colOff>
      <xdr:row>212</xdr:row>
      <xdr:rowOff>0</xdr:rowOff>
    </xdr:from>
    <xdr:to>
      <xdr:col>13</xdr:col>
      <xdr:colOff>28575</xdr:colOff>
      <xdr:row>216</xdr:row>
      <xdr:rowOff>0</xdr:rowOff>
    </xdr:to>
    <xdr:sp macro="" textlink="">
      <xdr:nvSpPr>
        <xdr:cNvPr id="22628" name="AutoShape 28"/>
        <xdr:cNvSpPr>
          <a:spLocks/>
        </xdr:cNvSpPr>
      </xdr:nvSpPr>
      <xdr:spPr bwMode="auto">
        <a:xfrm>
          <a:off x="8801100" y="36490275"/>
          <a:ext cx="85725" cy="647700"/>
        </a:xfrm>
        <a:prstGeom prst="rightBrace">
          <a:avLst>
            <a:gd name="adj1" fmla="val 62963"/>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76200</xdr:colOff>
      <xdr:row>217</xdr:row>
      <xdr:rowOff>0</xdr:rowOff>
    </xdr:from>
    <xdr:to>
      <xdr:col>13</xdr:col>
      <xdr:colOff>9525</xdr:colOff>
      <xdr:row>221</xdr:row>
      <xdr:rowOff>133350</xdr:rowOff>
    </xdr:to>
    <xdr:sp macro="" textlink="">
      <xdr:nvSpPr>
        <xdr:cNvPr id="22629" name="AutoShape 29"/>
        <xdr:cNvSpPr>
          <a:spLocks/>
        </xdr:cNvSpPr>
      </xdr:nvSpPr>
      <xdr:spPr bwMode="auto">
        <a:xfrm>
          <a:off x="8791575" y="37195125"/>
          <a:ext cx="76200" cy="781050"/>
        </a:xfrm>
        <a:prstGeom prst="rightBrace">
          <a:avLst>
            <a:gd name="adj1" fmla="val 85417"/>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85725</xdr:colOff>
      <xdr:row>223</xdr:row>
      <xdr:rowOff>28575</xdr:rowOff>
    </xdr:from>
    <xdr:to>
      <xdr:col>13</xdr:col>
      <xdr:colOff>28575</xdr:colOff>
      <xdr:row>226</xdr:row>
      <xdr:rowOff>152400</xdr:rowOff>
    </xdr:to>
    <xdr:sp macro="" textlink="">
      <xdr:nvSpPr>
        <xdr:cNvPr id="22630" name="AutoShape 30"/>
        <xdr:cNvSpPr>
          <a:spLocks/>
        </xdr:cNvSpPr>
      </xdr:nvSpPr>
      <xdr:spPr bwMode="auto">
        <a:xfrm>
          <a:off x="8801100" y="38080950"/>
          <a:ext cx="85725" cy="609600"/>
        </a:xfrm>
        <a:prstGeom prst="rightBrace">
          <a:avLst>
            <a:gd name="adj1" fmla="val 59259"/>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9525</xdr:colOff>
      <xdr:row>232</xdr:row>
      <xdr:rowOff>9525</xdr:rowOff>
    </xdr:from>
    <xdr:to>
      <xdr:col>12</xdr:col>
      <xdr:colOff>95250</xdr:colOff>
      <xdr:row>247</xdr:row>
      <xdr:rowOff>152400</xdr:rowOff>
    </xdr:to>
    <xdr:sp macro="" textlink="">
      <xdr:nvSpPr>
        <xdr:cNvPr id="22631" name="AutoShape 31"/>
        <xdr:cNvSpPr>
          <a:spLocks/>
        </xdr:cNvSpPr>
      </xdr:nvSpPr>
      <xdr:spPr bwMode="auto">
        <a:xfrm>
          <a:off x="8724900" y="39309675"/>
          <a:ext cx="85725" cy="2571750"/>
        </a:xfrm>
        <a:prstGeom prst="rightBrace">
          <a:avLst>
            <a:gd name="adj1" fmla="val 25000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85725</xdr:colOff>
      <xdr:row>249</xdr:row>
      <xdr:rowOff>9525</xdr:rowOff>
    </xdr:from>
    <xdr:to>
      <xdr:col>13</xdr:col>
      <xdr:colOff>28575</xdr:colOff>
      <xdr:row>303</xdr:row>
      <xdr:rowOff>0</xdr:rowOff>
    </xdr:to>
    <xdr:sp macro="" textlink="">
      <xdr:nvSpPr>
        <xdr:cNvPr id="22632" name="AutoShape 32"/>
        <xdr:cNvSpPr>
          <a:spLocks/>
        </xdr:cNvSpPr>
      </xdr:nvSpPr>
      <xdr:spPr bwMode="auto">
        <a:xfrm>
          <a:off x="8801100" y="41957625"/>
          <a:ext cx="85725" cy="8734425"/>
        </a:xfrm>
        <a:prstGeom prst="rightBrace">
          <a:avLst>
            <a:gd name="adj1" fmla="val 849074"/>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28575</xdr:colOff>
      <xdr:row>307</xdr:row>
      <xdr:rowOff>0</xdr:rowOff>
    </xdr:from>
    <xdr:to>
      <xdr:col>12</xdr:col>
      <xdr:colOff>104775</xdr:colOff>
      <xdr:row>331</xdr:row>
      <xdr:rowOff>0</xdr:rowOff>
    </xdr:to>
    <xdr:sp macro="" textlink="">
      <xdr:nvSpPr>
        <xdr:cNvPr id="22633" name="AutoShape 34"/>
        <xdr:cNvSpPr>
          <a:spLocks/>
        </xdr:cNvSpPr>
      </xdr:nvSpPr>
      <xdr:spPr bwMode="auto">
        <a:xfrm>
          <a:off x="8743950" y="51120675"/>
          <a:ext cx="76200" cy="3724275"/>
        </a:xfrm>
        <a:prstGeom prst="rightBrace">
          <a:avLst>
            <a:gd name="adj1" fmla="val 40729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M:\SHPNC\Health\val2016\gasb75\GASB6768-2017DAB.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Retirement\Ken\C00751\2014%20Valuations\LGERS201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Nayak%20Preeta/Illustratives%202018/TSERS%202018%20JE%20Templat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PlanInfo"/>
      <sheetName val="QuickChecks"/>
      <sheetName val="TOL"/>
      <sheetName val="ExhibitsGASB74"/>
      <sheetName val="Import"/>
      <sheetName val="BM_GASB"/>
      <sheetName val="BM_GASBExhibits"/>
      <sheetName val="BM_Adjust"/>
      <sheetName val="TPL_Adjust"/>
      <sheetName val="ExhibitsDeferredAmounts"/>
      <sheetName val="ReviewGASB7475"/>
      <sheetName val="ExhibitsGASB75"/>
      <sheetName val="Adjust"/>
      <sheetName val="Buffer"/>
      <sheetName val="Template"/>
      <sheetName val="FullPlan"/>
      <sheetName val="ER_Input"/>
      <sheetName val="ER_Allocation"/>
      <sheetName val="ER_ChangeProportion"/>
      <sheetName val="ER_ShareContributions"/>
      <sheetName val="ER_AllocationofChanges"/>
      <sheetName val="ER_Schedule1"/>
      <sheetName val="ER_Schedule2"/>
      <sheetName val="ER_NPLExpense"/>
      <sheetName val="ER_DATA"/>
      <sheetName val="DeveloperInfo"/>
      <sheetName val="ER_DATADAB"/>
    </sheetNames>
    <sheetDataSet>
      <sheetData sheetId="0" refreshError="1"/>
      <sheetData sheetId="1" refreshError="1"/>
      <sheetData sheetId="2">
        <row r="22">
          <cell r="C22">
            <v>0.5</v>
          </cell>
        </row>
      </sheetData>
      <sheetData sheetId="3" refreshError="1"/>
      <sheetData sheetId="4" refreshError="1"/>
      <sheetData sheetId="5" refreshError="1"/>
      <sheetData sheetId="6" refreshError="1"/>
      <sheetData sheetId="7" refreshError="1"/>
      <sheetData sheetId="8" refreshError="1"/>
      <sheetData sheetId="9" refreshError="1"/>
      <sheetData sheetId="10">
        <row r="63">
          <cell r="E63">
            <v>0</v>
          </cell>
        </row>
      </sheetData>
      <sheetData sheetId="11">
        <row r="87">
          <cell r="G87">
            <v>0</v>
          </cell>
        </row>
      </sheetData>
      <sheetData sheetId="12">
        <row r="102">
          <cell r="G102">
            <v>0</v>
          </cell>
          <cell r="H102">
            <v>0</v>
          </cell>
        </row>
        <row r="198">
          <cell r="G198">
            <v>1</v>
          </cell>
          <cell r="H198">
            <v>1</v>
          </cell>
          <cell r="I198">
            <v>1</v>
          </cell>
          <cell r="J198">
            <v>1</v>
          </cell>
          <cell r="K198">
            <v>1</v>
          </cell>
          <cell r="L198">
            <v>1</v>
          </cell>
        </row>
        <row r="200">
          <cell r="G200">
            <v>1.0011874999999999</v>
          </cell>
          <cell r="H200">
            <v>1.0011874999999999</v>
          </cell>
          <cell r="I200">
            <v>1.0014916666666667</v>
          </cell>
          <cell r="J200">
            <v>1.0014916666666667</v>
          </cell>
          <cell r="K200">
            <v>1.0019083333333334</v>
          </cell>
          <cell r="L200">
            <v>1.0010749999999999</v>
          </cell>
        </row>
        <row r="202">
          <cell r="G202">
            <v>1</v>
          </cell>
          <cell r="H202">
            <v>1</v>
          </cell>
          <cell r="K202">
            <v>1</v>
          </cell>
          <cell r="L202">
            <v>1</v>
          </cell>
        </row>
        <row r="203">
          <cell r="G203">
            <v>0</v>
          </cell>
          <cell r="H203">
            <v>0</v>
          </cell>
          <cell r="K203">
            <v>0</v>
          </cell>
          <cell r="L203">
            <v>0</v>
          </cell>
        </row>
      </sheetData>
      <sheetData sheetId="13" refreshError="1"/>
      <sheetData sheetId="14" refreshError="1"/>
      <sheetData sheetId="15" refreshError="1"/>
      <sheetData sheetId="16">
        <row r="16">
          <cell r="B16">
            <v>10200</v>
          </cell>
          <cell r="C16" t="str">
            <v>North Carolina Education Lottery</v>
          </cell>
          <cell r="D16">
            <v>14975730.874654653</v>
          </cell>
          <cell r="E16">
            <v>14490295.222239299</v>
          </cell>
          <cell r="F16">
            <v>158330013.72638756</v>
          </cell>
          <cell r="G16">
            <v>151278761.46977487</v>
          </cell>
          <cell r="H16">
            <v>838417.64999999991</v>
          </cell>
          <cell r="I16">
            <v>841156.22</v>
          </cell>
          <cell r="J16">
            <v>2390510.6998846033</v>
          </cell>
          <cell r="K16">
            <v>2268067.4093609732</v>
          </cell>
          <cell r="L16">
            <v>838417.64999999991</v>
          </cell>
          <cell r="M16">
            <v>841156.22</v>
          </cell>
          <cell r="R16" t="str">
            <v>FALSE</v>
          </cell>
        </row>
        <row r="17">
          <cell r="B17">
            <v>10400</v>
          </cell>
          <cell r="C17" t="str">
            <v>Department Of Justice</v>
          </cell>
          <cell r="D17">
            <v>48456417.241442516</v>
          </cell>
          <cell r="E17">
            <v>49675505.990434676</v>
          </cell>
          <cell r="F17">
            <v>461834540.907691</v>
          </cell>
          <cell r="G17">
            <v>444204788.96117777</v>
          </cell>
          <cell r="H17">
            <v>2712836.9099999992</v>
          </cell>
          <cell r="I17">
            <v>2883644.55</v>
          </cell>
          <cell r="J17">
            <v>7734886.855491274</v>
          </cell>
          <cell r="K17">
            <v>7775369.2697373014</v>
          </cell>
          <cell r="L17">
            <v>2712836.9099999992</v>
          </cell>
          <cell r="M17">
            <v>2883644.55</v>
          </cell>
          <cell r="R17" t="str">
            <v>FALSE</v>
          </cell>
        </row>
        <row r="18">
          <cell r="B18">
            <v>10500</v>
          </cell>
          <cell r="C18" t="str">
            <v>State Auditor</v>
          </cell>
          <cell r="D18">
            <v>10650191.389903858</v>
          </cell>
          <cell r="E18">
            <v>10658895.868428385</v>
          </cell>
          <cell r="F18">
            <v>104202614.37525001</v>
          </cell>
          <cell r="G18">
            <v>108596288.01285191</v>
          </cell>
          <cell r="H18">
            <v>596251.93000000005</v>
          </cell>
          <cell r="I18">
            <v>618744.92000000004</v>
          </cell>
          <cell r="J18">
            <v>1700043.6697531901</v>
          </cell>
          <cell r="K18">
            <v>1668364.5135022155</v>
          </cell>
          <cell r="L18">
            <v>596251.93000000005</v>
          </cell>
          <cell r="M18">
            <v>618744.92000000004</v>
          </cell>
        </row>
        <row r="19">
          <cell r="B19">
            <v>10700</v>
          </cell>
          <cell r="C19" t="str">
            <v>Department Of Cultural Resources</v>
          </cell>
          <cell r="D19">
            <v>59688092.194989361</v>
          </cell>
          <cell r="E19">
            <v>73703706.398630381</v>
          </cell>
          <cell r="F19">
            <v>633740389.29310656</v>
          </cell>
          <cell r="G19">
            <v>632811246.22669399</v>
          </cell>
          <cell r="H19">
            <v>3341643.25</v>
          </cell>
          <cell r="I19">
            <v>4278472.5999999996</v>
          </cell>
          <cell r="J19">
            <v>9527750.2141351178</v>
          </cell>
          <cell r="K19">
            <v>11536340.141316326</v>
          </cell>
          <cell r="L19">
            <v>3341643.25</v>
          </cell>
          <cell r="M19">
            <v>4278472.5999999996</v>
          </cell>
        </row>
        <row r="20">
          <cell r="B20">
            <v>10800</v>
          </cell>
          <cell r="C20" t="str">
            <v>Administrative Office Of The Courts</v>
          </cell>
          <cell r="D20">
            <v>286711519.34386814</v>
          </cell>
          <cell r="E20">
            <v>308803068.14306355</v>
          </cell>
          <cell r="F20">
            <v>2770283572.9092622</v>
          </cell>
          <cell r="G20">
            <v>2759371409.8694439</v>
          </cell>
          <cell r="H20">
            <v>16051570.390000001</v>
          </cell>
          <cell r="I20">
            <v>17925902.649999999</v>
          </cell>
          <cell r="J20">
            <v>45766511.197904631</v>
          </cell>
          <cell r="K20">
            <v>48334845.082453884</v>
          </cell>
          <cell r="L20">
            <v>16051570.390000001</v>
          </cell>
          <cell r="M20">
            <v>17925902.649999999</v>
          </cell>
        </row>
        <row r="21">
          <cell r="B21">
            <v>10850</v>
          </cell>
          <cell r="C21" t="str">
            <v>Office Of Administrative Hearing</v>
          </cell>
          <cell r="D21">
            <v>2932282.8311099024</v>
          </cell>
          <cell r="E21">
            <v>3126395.5021694922</v>
          </cell>
          <cell r="F21">
            <v>19725979.857292328</v>
          </cell>
          <cell r="G21">
            <v>19455666.992133986</v>
          </cell>
          <cell r="H21">
            <v>164164.12</v>
          </cell>
          <cell r="I21">
            <v>181486.09000000003</v>
          </cell>
          <cell r="J21">
            <v>468067.53817401151</v>
          </cell>
          <cell r="K21">
            <v>489353.43541934754</v>
          </cell>
          <cell r="L21">
            <v>164164.12</v>
          </cell>
          <cell r="M21">
            <v>181486.09000000003</v>
          </cell>
        </row>
        <row r="22">
          <cell r="B22">
            <v>10900</v>
          </cell>
          <cell r="C22" t="str">
            <v>Department Of Administration</v>
          </cell>
          <cell r="D22">
            <v>32838686.69139161</v>
          </cell>
          <cell r="E22">
            <v>32230361.246005923</v>
          </cell>
          <cell r="F22">
            <v>266733548.8190397</v>
          </cell>
          <cell r="G22">
            <v>241548865.51702979</v>
          </cell>
          <cell r="H22">
            <v>1838476.8499999996</v>
          </cell>
          <cell r="I22">
            <v>1870960.42</v>
          </cell>
          <cell r="J22">
            <v>5241896.5433458379</v>
          </cell>
          <cell r="K22">
            <v>5044799.3510721689</v>
          </cell>
          <cell r="L22">
            <v>1838476.8499999996</v>
          </cell>
          <cell r="M22">
            <v>1870960.42</v>
          </cell>
        </row>
        <row r="23">
          <cell r="B23">
            <v>10910</v>
          </cell>
          <cell r="C23" t="str">
            <v>Office Of State Budget &amp; Management</v>
          </cell>
          <cell r="D23">
            <v>4089885.4944516718</v>
          </cell>
          <cell r="E23">
            <v>4144742.9740233603</v>
          </cell>
          <cell r="F23">
            <v>40166172.460000008</v>
          </cell>
          <cell r="G23">
            <v>39725870.880236961</v>
          </cell>
          <cell r="H23">
            <v>228972.61</v>
          </cell>
          <cell r="I23">
            <v>240600.77999999997</v>
          </cell>
          <cell r="J23">
            <v>652850.60993826203</v>
          </cell>
          <cell r="K23">
            <v>648748.44269097759</v>
          </cell>
          <cell r="L23">
            <v>228972.61</v>
          </cell>
          <cell r="M23">
            <v>240600.77999999997</v>
          </cell>
        </row>
        <row r="24">
          <cell r="B24">
            <v>10930</v>
          </cell>
          <cell r="C24" t="str">
            <v>Information Technology Services</v>
          </cell>
          <cell r="D24">
            <v>41708073.068568595</v>
          </cell>
          <cell r="E24">
            <v>46206051.086654365</v>
          </cell>
          <cell r="F24">
            <v>355223499.50040084</v>
          </cell>
          <cell r="G24">
            <v>374889331.17624676</v>
          </cell>
          <cell r="H24">
            <v>2335030.2499999995</v>
          </cell>
          <cell r="I24">
            <v>2682243.9900000002</v>
          </cell>
          <cell r="J24">
            <v>6657678.0643623378</v>
          </cell>
          <cell r="K24">
            <v>7232319.0782246618</v>
          </cell>
          <cell r="L24">
            <v>2335030.2499999995</v>
          </cell>
          <cell r="M24">
            <v>2682243.9900000002</v>
          </cell>
        </row>
        <row r="25">
          <cell r="B25">
            <v>10940</v>
          </cell>
          <cell r="C25" t="str">
            <v>Office Of State Controller</v>
          </cell>
          <cell r="D25">
            <v>11456263.140553921</v>
          </cell>
          <cell r="E25">
            <v>11653756.02277201</v>
          </cell>
          <cell r="F25">
            <v>97490247.369223759</v>
          </cell>
          <cell r="G25">
            <v>94706182.262014896</v>
          </cell>
          <cell r="H25">
            <v>641379.92999999993</v>
          </cell>
          <cell r="I25">
            <v>676496.18</v>
          </cell>
          <cell r="J25">
            <v>1828713.392849301</v>
          </cell>
          <cell r="K25">
            <v>1824083.2106254825</v>
          </cell>
          <cell r="L25">
            <v>641379.92999999993</v>
          </cell>
          <cell r="M25">
            <v>676496.18</v>
          </cell>
        </row>
        <row r="26">
          <cell r="B26">
            <v>10950</v>
          </cell>
          <cell r="C26" t="str">
            <v>N.C. School Of Science &amp; Mathematics</v>
          </cell>
          <cell r="D26">
            <v>12394349.681556093</v>
          </cell>
          <cell r="E26">
            <v>12682591.762005161</v>
          </cell>
          <cell r="F26">
            <v>127757506.78350005</v>
          </cell>
          <cell r="G26">
            <v>113049748.22566591</v>
          </cell>
          <cell r="H26">
            <v>693898.79</v>
          </cell>
          <cell r="I26">
            <v>736219.71</v>
          </cell>
          <cell r="J26">
            <v>1978456.0620020102</v>
          </cell>
          <cell r="K26">
            <v>1985119.8750931034</v>
          </cell>
          <cell r="L26">
            <v>693898.79</v>
          </cell>
          <cell r="M26">
            <v>736219.71</v>
          </cell>
        </row>
        <row r="27">
          <cell r="B27">
            <v>11300</v>
          </cell>
          <cell r="C27" t="str">
            <v>Environment And Natural Resources</v>
          </cell>
          <cell r="D27">
            <v>93179025.575646952</v>
          </cell>
          <cell r="E27">
            <v>81194635.437710226</v>
          </cell>
          <cell r="F27">
            <v>742415346.24827659</v>
          </cell>
          <cell r="G27">
            <v>656458329.85469723</v>
          </cell>
          <cell r="H27">
            <v>5216636.1899999995</v>
          </cell>
          <cell r="I27">
            <v>4713318.2299999995</v>
          </cell>
          <cell r="J27">
            <v>14873762.055939842</v>
          </cell>
          <cell r="K27">
            <v>12708844.342148412</v>
          </cell>
          <cell r="L27">
            <v>5216636.1899999995</v>
          </cell>
          <cell r="M27">
            <v>4713318.2299999995</v>
          </cell>
        </row>
        <row r="28">
          <cell r="B28">
            <v>11310</v>
          </cell>
          <cell r="C28" t="str">
            <v>N.C. Housing Finance Agency</v>
          </cell>
          <cell r="D28">
            <v>7870979.3122089263</v>
          </cell>
          <cell r="E28">
            <v>8658743.4512076192</v>
          </cell>
          <cell r="F28">
            <v>71497564.273457065</v>
          </cell>
          <cell r="G28">
            <v>69037817.777353898</v>
          </cell>
          <cell r="H28">
            <v>440657.49000000005</v>
          </cell>
          <cell r="I28">
            <v>502636.82000000007</v>
          </cell>
          <cell r="J28">
            <v>1256410.1493203212</v>
          </cell>
          <cell r="K28">
            <v>1355294.2522220642</v>
          </cell>
          <cell r="L28">
            <v>440657.49000000005</v>
          </cell>
          <cell r="M28">
            <v>502636.82000000007</v>
          </cell>
        </row>
        <row r="29">
          <cell r="B29">
            <v>11600</v>
          </cell>
          <cell r="C29" t="str">
            <v>Wildlife Resources Commission</v>
          </cell>
          <cell r="D29">
            <v>29330348.527560178</v>
          </cell>
          <cell r="E29">
            <v>31149712.080897264</v>
          </cell>
          <cell r="F29">
            <v>305189205.14313018</v>
          </cell>
          <cell r="G29">
            <v>298796434.34960705</v>
          </cell>
          <cell r="H29">
            <v>1642062.2200000002</v>
          </cell>
          <cell r="I29">
            <v>1808229.1400000001</v>
          </cell>
          <cell r="J29">
            <v>4681875.8011431014</v>
          </cell>
          <cell r="K29">
            <v>4875652.6832683003</v>
          </cell>
          <cell r="L29">
            <v>1642062.2200000002</v>
          </cell>
          <cell r="M29">
            <v>1808229.1400000001</v>
          </cell>
        </row>
        <row r="30">
          <cell r="B30">
            <v>11900</v>
          </cell>
          <cell r="C30" t="str">
            <v>State Board Of Elections</v>
          </cell>
          <cell r="D30">
            <v>3260834.5901388275</v>
          </cell>
          <cell r="E30">
            <v>3119302.9500287012</v>
          </cell>
          <cell r="F30">
            <v>35457958.022800013</v>
          </cell>
          <cell r="G30">
            <v>31083791.338324968</v>
          </cell>
          <cell r="H30">
            <v>182558.12</v>
          </cell>
          <cell r="I30">
            <v>181074.37</v>
          </cell>
          <cell r="J30">
            <v>520512.82461767999</v>
          </cell>
          <cell r="K30">
            <v>488243.28644632781</v>
          </cell>
          <cell r="L30">
            <v>182558.12</v>
          </cell>
          <cell r="M30">
            <v>181074.37</v>
          </cell>
        </row>
        <row r="31">
          <cell r="B31">
            <v>12100</v>
          </cell>
          <cell r="C31" t="str">
            <v>Governor's Office</v>
          </cell>
          <cell r="D31">
            <v>4139446.725301947</v>
          </cell>
          <cell r="E31">
            <v>4041501.9990039971</v>
          </cell>
          <cell r="F31">
            <v>41849957.136910535</v>
          </cell>
          <cell r="G31">
            <v>38584651.542408958</v>
          </cell>
          <cell r="H31">
            <v>231747.3</v>
          </cell>
          <cell r="I31">
            <v>234607.68</v>
          </cell>
          <cell r="J31">
            <v>660761.85337864386</v>
          </cell>
          <cell r="K31">
            <v>632588.83468018367</v>
          </cell>
          <cell r="L31">
            <v>231747.3</v>
          </cell>
          <cell r="M31">
            <v>234607.68</v>
          </cell>
        </row>
        <row r="32">
          <cell r="B32">
            <v>12150</v>
          </cell>
          <cell r="C32" t="str">
            <v>Lt. Governor's Office</v>
          </cell>
          <cell r="D32">
            <v>482209.63304405403</v>
          </cell>
          <cell r="E32">
            <v>487342.67370080575</v>
          </cell>
          <cell r="F32">
            <v>6257049.967699999</v>
          </cell>
          <cell r="G32">
            <v>5747250.1479969798</v>
          </cell>
          <cell r="H32">
            <v>26996.550000000003</v>
          </cell>
          <cell r="I32">
            <v>28290.060000000005</v>
          </cell>
          <cell r="J32">
            <v>76973.023689291018</v>
          </cell>
          <cell r="K32">
            <v>76280.435868222557</v>
          </cell>
          <cell r="L32">
            <v>26996.550000000003</v>
          </cell>
          <cell r="M32">
            <v>28290.060000000005</v>
          </cell>
        </row>
        <row r="33">
          <cell r="B33">
            <v>12160</v>
          </cell>
          <cell r="C33" t="str">
            <v>General Assembly</v>
          </cell>
          <cell r="D33">
            <v>29198582.196214709</v>
          </cell>
          <cell r="E33">
            <v>30898721.489326231</v>
          </cell>
          <cell r="F33">
            <v>274894843.96160227</v>
          </cell>
          <cell r="G33">
            <v>253684135.76642466</v>
          </cell>
          <cell r="H33">
            <v>1634685.2699999998</v>
          </cell>
          <cell r="I33">
            <v>1793659.2300000002</v>
          </cell>
          <cell r="J33">
            <v>4660842.5155156879</v>
          </cell>
          <cell r="K33">
            <v>4836366.8321474204</v>
          </cell>
          <cell r="L33">
            <v>1634685.2699999998</v>
          </cell>
          <cell r="M33">
            <v>1793659.2300000002</v>
          </cell>
        </row>
        <row r="34">
          <cell r="B34">
            <v>12220</v>
          </cell>
          <cell r="C34" t="str">
            <v>Health &amp; Human Services</v>
          </cell>
          <cell r="D34">
            <v>739808734.56060016</v>
          </cell>
          <cell r="E34">
            <v>768162877.03299952</v>
          </cell>
          <cell r="F34">
            <v>6788464923.7811136</v>
          </cell>
          <cell r="G34">
            <v>6496161497.4463596</v>
          </cell>
          <cell r="H34">
            <v>41418259.039999999</v>
          </cell>
          <cell r="I34">
            <v>44591567.810000002</v>
          </cell>
          <cell r="J34">
            <v>118092446.41463858</v>
          </cell>
          <cell r="K34">
            <v>120235313.34306827</v>
          </cell>
          <cell r="L34">
            <v>41418259.039999999</v>
          </cell>
          <cell r="M34">
            <v>44591567.810000002</v>
          </cell>
        </row>
        <row r="35">
          <cell r="B35">
            <v>12510</v>
          </cell>
          <cell r="C35" t="str">
            <v>Department Of Commerce</v>
          </cell>
          <cell r="D35">
            <v>90710903.822350562</v>
          </cell>
          <cell r="E35">
            <v>92734462.561328247</v>
          </cell>
          <cell r="F35">
            <v>760563563.3649689</v>
          </cell>
          <cell r="G35">
            <v>711960958.10496521</v>
          </cell>
          <cell r="H35">
            <v>5078458.17</v>
          </cell>
          <cell r="I35">
            <v>5383200.8799999999</v>
          </cell>
          <cell r="J35">
            <v>14479786.529185524</v>
          </cell>
          <cell r="K35">
            <v>14515095.03665242</v>
          </cell>
          <cell r="L35">
            <v>5078458.17</v>
          </cell>
          <cell r="M35">
            <v>5383200.8799999999</v>
          </cell>
        </row>
        <row r="36">
          <cell r="B36">
            <v>12600</v>
          </cell>
          <cell r="C36" t="str">
            <v>Insurance Department</v>
          </cell>
          <cell r="D36">
            <v>24576496.259212378</v>
          </cell>
          <cell r="E36">
            <v>25180424.711299349</v>
          </cell>
          <cell r="F36">
            <v>204541993.27083603</v>
          </cell>
          <cell r="G36">
            <v>195618821.8723667</v>
          </cell>
          <cell r="H36">
            <v>1375917.37</v>
          </cell>
          <cell r="I36">
            <v>1461714.2400000002</v>
          </cell>
          <cell r="J36">
            <v>3923039.0666776677</v>
          </cell>
          <cell r="K36">
            <v>3941320.7091815174</v>
          </cell>
          <cell r="L36">
            <v>1375917.37</v>
          </cell>
          <cell r="M36">
            <v>1461714.2400000002</v>
          </cell>
        </row>
        <row r="37">
          <cell r="B37">
            <v>12700</v>
          </cell>
          <cell r="C37" t="str">
            <v>Labor Department</v>
          </cell>
          <cell r="D37">
            <v>18566805.173220485</v>
          </cell>
          <cell r="E37">
            <v>19360866.299166773</v>
          </cell>
          <cell r="F37">
            <v>161789949.37498331</v>
          </cell>
          <cell r="G37">
            <v>149482887.22850388</v>
          </cell>
          <cell r="H37">
            <v>1039464.27</v>
          </cell>
          <cell r="I37">
            <v>1123891.05</v>
          </cell>
          <cell r="J37">
            <v>2963738.2509573107</v>
          </cell>
          <cell r="K37">
            <v>3030424.7909829211</v>
          </cell>
          <cell r="L37">
            <v>1039464.27</v>
          </cell>
          <cell r="M37">
            <v>1123891.05</v>
          </cell>
        </row>
        <row r="38">
          <cell r="B38">
            <v>13500</v>
          </cell>
          <cell r="C38" t="str">
            <v>Revenue Department</v>
          </cell>
          <cell r="D38">
            <v>66890494.755946077</v>
          </cell>
          <cell r="E38">
            <v>69806460.109092668</v>
          </cell>
          <cell r="F38">
            <v>602068278.6938957</v>
          </cell>
          <cell r="G38">
            <v>611760613.93434072</v>
          </cell>
          <cell r="H38">
            <v>3744870.41</v>
          </cell>
          <cell r="I38">
            <v>4052238.9099999997</v>
          </cell>
          <cell r="J38">
            <v>10677438.368319469</v>
          </cell>
          <cell r="K38">
            <v>10926330.672220949</v>
          </cell>
          <cell r="L38">
            <v>3744870.41</v>
          </cell>
          <cell r="M38">
            <v>4052238.9099999997</v>
          </cell>
        </row>
        <row r="39">
          <cell r="B39">
            <v>13700</v>
          </cell>
          <cell r="C39" t="str">
            <v>Secretary Of State</v>
          </cell>
          <cell r="D39">
            <v>8215291.8745223125</v>
          </cell>
          <cell r="E39">
            <v>8234028.9155859202</v>
          </cell>
          <cell r="F39">
            <v>72996997.871200055</v>
          </cell>
          <cell r="G39">
            <v>64846347.784430966</v>
          </cell>
          <cell r="H39">
            <v>459933.8600000001</v>
          </cell>
          <cell r="I39">
            <v>477982.3</v>
          </cell>
          <cell r="J39">
            <v>1311371.264153644</v>
          </cell>
          <cell r="K39">
            <v>1288816.5730753315</v>
          </cell>
          <cell r="L39">
            <v>459933.8600000001</v>
          </cell>
          <cell r="M39">
            <v>477982.3</v>
          </cell>
        </row>
        <row r="40">
          <cell r="B40">
            <v>14300</v>
          </cell>
          <cell r="C40" t="str">
            <v>State Treasurer</v>
          </cell>
          <cell r="D40">
            <v>22019719.941444062</v>
          </cell>
          <cell r="E40">
            <v>24252138.284615919</v>
          </cell>
          <cell r="F40">
            <v>207837874.1576499</v>
          </cell>
          <cell r="G40">
            <v>224564201.97455668</v>
          </cell>
          <cell r="H40">
            <v>1232776.0161748636</v>
          </cell>
          <cell r="I40">
            <v>1407827.56</v>
          </cell>
          <cell r="J40">
            <v>3514911.9978892696</v>
          </cell>
          <cell r="K40">
            <v>3796022.3450956354</v>
          </cell>
          <cell r="L40">
            <v>1232776.0161748636</v>
          </cell>
          <cell r="M40">
            <v>1407827.56</v>
          </cell>
        </row>
        <row r="41">
          <cell r="B41">
            <v>14300.1</v>
          </cell>
          <cell r="C41" t="str">
            <v>State Health Plan (subset of Department of Treasurer)</v>
          </cell>
          <cell r="D41">
            <v>2748644.3648243649</v>
          </cell>
          <cell r="E41">
            <v>3273071.7267948729</v>
          </cell>
          <cell r="F41">
            <v>21766640.335700005</v>
          </cell>
          <cell r="G41">
            <v>26444047.544841971</v>
          </cell>
          <cell r="H41">
            <v>153883.10382513664</v>
          </cell>
          <cell r="I41">
            <v>190000.59</v>
          </cell>
          <cell r="J41">
            <v>438754.12955040071</v>
          </cell>
          <cell r="K41">
            <v>512311.66778788896</v>
          </cell>
          <cell r="L41">
            <v>153883.10382513664</v>
          </cell>
          <cell r="M41">
            <v>190000.59</v>
          </cell>
        </row>
        <row r="42">
          <cell r="B42">
            <v>18400</v>
          </cell>
          <cell r="C42" t="str">
            <v>Department Of Agriculture</v>
          </cell>
          <cell r="D42">
            <v>86411074.754145712</v>
          </cell>
          <cell r="E42">
            <v>90169346.643171906</v>
          </cell>
          <cell r="F42">
            <v>796113367.33703518</v>
          </cell>
          <cell r="G42">
            <v>762848436.49386168</v>
          </cell>
          <cell r="H42">
            <v>4837731.8500000006</v>
          </cell>
          <cell r="I42">
            <v>5234296.8600000003</v>
          </cell>
          <cell r="J42">
            <v>13793423.540877914</v>
          </cell>
          <cell r="K42">
            <v>14113594.879065957</v>
          </cell>
          <cell r="L42">
            <v>4837731.8500000006</v>
          </cell>
          <cell r="M42">
            <v>5234296.8600000003</v>
          </cell>
        </row>
        <row r="43">
          <cell r="B43">
            <v>18600</v>
          </cell>
          <cell r="C43" t="str">
            <v>Barber Examiners, State Board Of</v>
          </cell>
          <cell r="D43">
            <v>341227.81246102566</v>
          </cell>
          <cell r="E43">
            <v>253406.45553738324</v>
          </cell>
          <cell r="F43">
            <v>3353264.1546999998</v>
          </cell>
          <cell r="G43">
            <v>2285168.7105169981</v>
          </cell>
          <cell r="H43">
            <v>19103.669999999998</v>
          </cell>
          <cell r="I43">
            <v>14710.149999999994</v>
          </cell>
          <cell r="J43">
            <v>54468.709648543896</v>
          </cell>
          <cell r="K43">
            <v>39663.989885031471</v>
          </cell>
          <cell r="L43">
            <v>19103.669999999998</v>
          </cell>
          <cell r="M43">
            <v>14710.149999999994</v>
          </cell>
        </row>
        <row r="44">
          <cell r="B44">
            <v>18690</v>
          </cell>
          <cell r="C44" t="str">
            <v>N.C. Real Estate Commission</v>
          </cell>
          <cell r="D44">
            <v>191655.31184619563</v>
          </cell>
          <cell r="E44">
            <v>60640.528378328927</v>
          </cell>
          <cell r="F44">
            <v>707488.27860000008</v>
          </cell>
          <cell r="G44">
            <v>0</v>
          </cell>
          <cell r="H44">
            <v>10729.84</v>
          </cell>
          <cell r="I44">
            <v>3520.16</v>
          </cell>
          <cell r="J44">
            <v>30593.102766920303</v>
          </cell>
          <cell r="K44">
            <v>9491.6496863521061</v>
          </cell>
          <cell r="L44">
            <v>10729.84</v>
          </cell>
          <cell r="M44">
            <v>3520.16</v>
          </cell>
        </row>
        <row r="45">
          <cell r="B45">
            <v>18740</v>
          </cell>
          <cell r="C45" t="str">
            <v>N.C. Auctioneers Licensing Board</v>
          </cell>
          <cell r="D45">
            <v>103961.96445097496</v>
          </cell>
          <cell r="E45">
            <v>130201.52764722815</v>
          </cell>
          <cell r="F45">
            <v>1012516.5645999999</v>
          </cell>
          <cell r="G45">
            <v>1057611.949054999</v>
          </cell>
          <cell r="H45">
            <v>5820.32</v>
          </cell>
          <cell r="I45">
            <v>7558.1499999999978</v>
          </cell>
          <cell r="J45">
            <v>16594.995628673081</v>
          </cell>
          <cell r="K45">
            <v>20379.560041845303</v>
          </cell>
          <cell r="L45">
            <v>5820.32</v>
          </cell>
          <cell r="M45">
            <v>7558.1499999999978</v>
          </cell>
        </row>
        <row r="46">
          <cell r="B46">
            <v>18780</v>
          </cell>
          <cell r="C46" t="str">
            <v>N.C. State Board Of Examiners Of Practicing Psychol</v>
          </cell>
          <cell r="D46">
            <v>251204.91627747446</v>
          </cell>
          <cell r="E46">
            <v>249153.37043576135</v>
          </cell>
          <cell r="F46">
            <v>2032913.4622</v>
          </cell>
          <cell r="G46">
            <v>1857368.1779549979</v>
          </cell>
          <cell r="H46">
            <v>14063.73</v>
          </cell>
          <cell r="I46">
            <v>14463.26</v>
          </cell>
          <cell r="J46">
            <v>40098.746782451555</v>
          </cell>
          <cell r="K46">
            <v>38998.283385592971</v>
          </cell>
          <cell r="L46">
            <v>14063.73</v>
          </cell>
          <cell r="M46">
            <v>14463.26</v>
          </cell>
        </row>
        <row r="47">
          <cell r="B47">
            <v>19005</v>
          </cell>
          <cell r="C47" t="str">
            <v>Community Colleges Administration</v>
          </cell>
          <cell r="D47">
            <v>12914370.095593011</v>
          </cell>
          <cell r="E47">
            <v>13678804.035307135</v>
          </cell>
          <cell r="F47">
            <v>109465670.70650002</v>
          </cell>
          <cell r="G47">
            <v>104259327.7018559</v>
          </cell>
          <cell r="H47">
            <v>723012.18</v>
          </cell>
          <cell r="I47">
            <v>794049.46000000008</v>
          </cell>
          <cell r="J47">
            <v>2061464.6559944116</v>
          </cell>
          <cell r="K47">
            <v>2141050.2102055191</v>
          </cell>
          <cell r="L47">
            <v>723012.18</v>
          </cell>
          <cell r="M47">
            <v>794049.46000000008</v>
          </cell>
        </row>
        <row r="48">
          <cell r="B48">
            <v>19100</v>
          </cell>
          <cell r="C48" t="str">
            <v>Department Of Public Safety</v>
          </cell>
          <cell r="D48">
            <v>995568662.48870981</v>
          </cell>
          <cell r="E48">
            <v>1043397285.5602933</v>
          </cell>
          <cell r="F48">
            <v>9720683817.2060966</v>
          </cell>
          <cell r="G48">
            <v>9531318506.4417439</v>
          </cell>
          <cell r="H48">
            <v>55737001.779999994</v>
          </cell>
          <cell r="I48">
            <v>60568822.319999993</v>
          </cell>
          <cell r="J48">
            <v>158918289.86970535</v>
          </cell>
          <cell r="K48">
            <v>163315884.32808292</v>
          </cell>
          <cell r="L48">
            <v>55737001.779999994</v>
          </cell>
          <cell r="M48">
            <v>60568822.319999993</v>
          </cell>
        </row>
        <row r="49">
          <cell r="B49">
            <v>20100</v>
          </cell>
          <cell r="C49" t="str">
            <v>Appalachian State University</v>
          </cell>
          <cell r="D49">
            <v>162922954.13429669</v>
          </cell>
          <cell r="E49">
            <v>172759815.36040011</v>
          </cell>
          <cell r="F49">
            <v>1839576773.3837574</v>
          </cell>
          <cell r="G49">
            <v>1511114283.480468</v>
          </cell>
          <cell r="H49">
            <v>9121256.3499999996</v>
          </cell>
          <cell r="I49">
            <v>10028642.690000001</v>
          </cell>
          <cell r="J49">
            <v>26006681.63541808</v>
          </cell>
          <cell r="K49">
            <v>27040919.515895829</v>
          </cell>
          <cell r="L49">
            <v>9121256.3499999996</v>
          </cell>
          <cell r="M49">
            <v>10028642.690000001</v>
          </cell>
        </row>
        <row r="50">
          <cell r="B50">
            <v>20200</v>
          </cell>
          <cell r="C50" t="str">
            <v>N.C. School Of The Arts</v>
          </cell>
          <cell r="D50">
            <v>23436458.450892694</v>
          </cell>
          <cell r="E50">
            <v>26914200.391340245</v>
          </cell>
          <cell r="F50">
            <v>238134398.71108416</v>
          </cell>
          <cell r="G50">
            <v>212535881.89687678</v>
          </cell>
          <cell r="H50">
            <v>1312092.25</v>
          </cell>
          <cell r="I50">
            <v>1562359.27</v>
          </cell>
          <cell r="J50">
            <v>3741059.7962252637</v>
          </cell>
          <cell r="K50">
            <v>4212696.8305602036</v>
          </cell>
          <cell r="L50">
            <v>1312092.25</v>
          </cell>
          <cell r="M50">
            <v>1562359.27</v>
          </cell>
        </row>
        <row r="51">
          <cell r="B51">
            <v>20300</v>
          </cell>
          <cell r="C51" t="str">
            <v>East Carolina University</v>
          </cell>
          <cell r="D51">
            <v>379630021.62946528</v>
          </cell>
          <cell r="E51">
            <v>399734942.86711442</v>
          </cell>
          <cell r="F51">
            <v>4450859407.7966146</v>
          </cell>
          <cell r="G51">
            <v>3565610628.898767</v>
          </cell>
          <cell r="H51">
            <v>21253621.16</v>
          </cell>
          <cell r="I51">
            <v>23204463.98</v>
          </cell>
          <cell r="J51">
            <v>60598687.055638462</v>
          </cell>
          <cell r="K51">
            <v>62567793.298524998</v>
          </cell>
          <cell r="L51">
            <v>21253621.16</v>
          </cell>
          <cell r="M51">
            <v>23204463.98</v>
          </cell>
        </row>
        <row r="52">
          <cell r="B52">
            <v>20400</v>
          </cell>
          <cell r="C52" t="str">
            <v>Elizabeth City State University</v>
          </cell>
          <cell r="D52">
            <v>21085942.115896296</v>
          </cell>
          <cell r="E52">
            <v>21089670.71549255</v>
          </cell>
          <cell r="F52">
            <v>216730966.73224127</v>
          </cell>
          <cell r="G52">
            <v>172168068.94325083</v>
          </cell>
          <cell r="H52">
            <v>1180498.3799999999</v>
          </cell>
          <cell r="I52">
            <v>1224247.5000000002</v>
          </cell>
          <cell r="J52">
            <v>3365857.1102199964</v>
          </cell>
          <cell r="K52">
            <v>3301022.7942458163</v>
          </cell>
          <cell r="L52">
            <v>1180498.3799999999</v>
          </cell>
          <cell r="M52">
            <v>1224247.5000000002</v>
          </cell>
        </row>
        <row r="53">
          <cell r="B53">
            <v>20600</v>
          </cell>
          <cell r="C53" t="str">
            <v>Fayetteville State University</v>
          </cell>
          <cell r="D53">
            <v>45853109.13911549</v>
          </cell>
          <cell r="E53">
            <v>49465755.802292027</v>
          </cell>
          <cell r="F53">
            <v>483077135.13638604</v>
          </cell>
          <cell r="G53">
            <v>405730167.77591527</v>
          </cell>
          <cell r="H53">
            <v>2567090.4700000002</v>
          </cell>
          <cell r="I53">
            <v>2871468.6300000004</v>
          </cell>
          <cell r="J53">
            <v>7319332.1205807114</v>
          </cell>
          <cell r="K53">
            <v>7742538.4986220561</v>
          </cell>
          <cell r="L53">
            <v>2567090.4700000002</v>
          </cell>
          <cell r="M53">
            <v>2871468.6300000004</v>
          </cell>
        </row>
        <row r="54">
          <cell r="B54">
            <v>20700</v>
          </cell>
          <cell r="C54" t="str">
            <v>N.C. A&amp;T University</v>
          </cell>
          <cell r="D54">
            <v>101527259.09442896</v>
          </cell>
          <cell r="E54">
            <v>106551268.17452025</v>
          </cell>
          <cell r="F54">
            <v>1061976163.6406304</v>
          </cell>
          <cell r="G54">
            <v>853811837.38459063</v>
          </cell>
          <cell r="H54">
            <v>5684012.8000000007</v>
          </cell>
          <cell r="I54">
            <v>6185261.2800000012</v>
          </cell>
          <cell r="J54">
            <v>16206354.215802884</v>
          </cell>
          <cell r="K54">
            <v>16677745.695740489</v>
          </cell>
          <cell r="L54">
            <v>5684012.8000000007</v>
          </cell>
          <cell r="M54">
            <v>6185261.2800000012</v>
          </cell>
        </row>
        <row r="55">
          <cell r="B55">
            <v>20800</v>
          </cell>
          <cell r="C55" t="str">
            <v>N.C. Central University</v>
          </cell>
          <cell r="D55">
            <v>78096266.384444326</v>
          </cell>
          <cell r="E55">
            <v>81141093.663063034</v>
          </cell>
          <cell r="F55">
            <v>837930452.33546937</v>
          </cell>
          <cell r="G55">
            <v>685096769.32046795</v>
          </cell>
          <cell r="H55">
            <v>4372226.5500000007</v>
          </cell>
          <cell r="I55">
            <v>4710210.1499999994</v>
          </cell>
          <cell r="J55">
            <v>12466166.891995354</v>
          </cell>
          <cell r="K55">
            <v>12700463.81212786</v>
          </cell>
          <cell r="L55">
            <v>4372226.5500000007</v>
          </cell>
          <cell r="M55">
            <v>4710210.1499999994</v>
          </cell>
        </row>
        <row r="56">
          <cell r="B56">
            <v>20900</v>
          </cell>
          <cell r="C56" t="str">
            <v>University Of North Carolina At Greensboro</v>
          </cell>
          <cell r="D56">
            <v>155186388.108156</v>
          </cell>
          <cell r="E56">
            <v>164830822.00118116</v>
          </cell>
          <cell r="F56">
            <v>1726488746.8844199</v>
          </cell>
          <cell r="G56">
            <v>1399944073.2439826</v>
          </cell>
          <cell r="H56">
            <v>8688124</v>
          </cell>
          <cell r="I56">
            <v>9568367.5899999999</v>
          </cell>
          <cell r="J56">
            <v>24771727.293580022</v>
          </cell>
          <cell r="K56">
            <v>25799848.084895335</v>
          </cell>
          <cell r="L56">
            <v>8688124</v>
          </cell>
          <cell r="M56">
            <v>9568367.5899999999</v>
          </cell>
        </row>
        <row r="57">
          <cell r="B57">
            <v>21200</v>
          </cell>
          <cell r="C57" t="str">
            <v>UNC - Pembroke</v>
          </cell>
          <cell r="D57">
            <v>47929444.619313329</v>
          </cell>
          <cell r="E57">
            <v>49985399.803759642</v>
          </cell>
          <cell r="F57">
            <v>565555534.55427539</v>
          </cell>
          <cell r="G57">
            <v>446235486.89006805</v>
          </cell>
          <cell r="H57">
            <v>2683334.2999999998</v>
          </cell>
          <cell r="I57">
            <v>2901633.77</v>
          </cell>
          <cell r="J57">
            <v>7650768.5107981227</v>
          </cell>
          <cell r="K57">
            <v>7823874.8417484378</v>
          </cell>
          <cell r="L57">
            <v>2683334.2999999998</v>
          </cell>
          <cell r="M57">
            <v>2901633.77</v>
          </cell>
        </row>
        <row r="58">
          <cell r="B58">
            <v>21300</v>
          </cell>
          <cell r="C58" t="str">
            <v>N.C. State University</v>
          </cell>
          <cell r="D58">
            <v>592489946.11485827</v>
          </cell>
          <cell r="E58">
            <v>624800497.35137022</v>
          </cell>
          <cell r="F58">
            <v>6771987881.9966269</v>
          </cell>
          <cell r="G58">
            <v>5542245011.3132687</v>
          </cell>
          <cell r="H58">
            <v>33170603.32</v>
          </cell>
          <cell r="I58">
            <v>36269435.270000003</v>
          </cell>
          <cell r="J58">
            <v>94576589.791600585</v>
          </cell>
          <cell r="K58">
            <v>97795774.596797749</v>
          </cell>
          <cell r="L58">
            <v>33170603.32</v>
          </cell>
          <cell r="M58">
            <v>36269435.270000003</v>
          </cell>
        </row>
        <row r="59">
          <cell r="B59">
            <v>21520</v>
          </cell>
          <cell r="C59" t="str">
            <v>UNC-CH CB 1260</v>
          </cell>
          <cell r="D59">
            <v>1052492022.3539363</v>
          </cell>
          <cell r="E59">
            <v>1108990492.3488555</v>
          </cell>
          <cell r="F59">
            <v>12343375481.386206</v>
          </cell>
          <cell r="G59">
            <v>9951875403.7290554</v>
          </cell>
          <cell r="H59">
            <v>58923861.240000002</v>
          </cell>
          <cell r="I59">
            <v>64376483.449999996</v>
          </cell>
          <cell r="J59">
            <v>168004717.90251037</v>
          </cell>
          <cell r="K59">
            <v>173582743.09879211</v>
          </cell>
          <cell r="L59">
            <v>58923861.240000002</v>
          </cell>
          <cell r="M59">
            <v>64376483.449999996</v>
          </cell>
        </row>
        <row r="60">
          <cell r="B60">
            <v>21525</v>
          </cell>
          <cell r="C60" t="str">
            <v>UNC-General Administration</v>
          </cell>
          <cell r="D60">
            <v>29224303.488997485</v>
          </cell>
          <cell r="E60">
            <v>28768191.832732208</v>
          </cell>
          <cell r="F60">
            <v>298915016.01031876</v>
          </cell>
          <cell r="G60">
            <v>261341213.79390097</v>
          </cell>
          <cell r="H60">
            <v>1636125.2789071039</v>
          </cell>
          <cell r="I60">
            <v>1669982.7799999998</v>
          </cell>
          <cell r="J60">
            <v>4664948.293465808</v>
          </cell>
          <cell r="K60">
            <v>4502889.5078633968</v>
          </cell>
          <cell r="L60">
            <v>1636125.2789071039</v>
          </cell>
          <cell r="M60">
            <v>1669982.7799999998</v>
          </cell>
        </row>
        <row r="61">
          <cell r="B61">
            <v>21525.1</v>
          </cell>
          <cell r="C61" t="str">
            <v>State Education Assistance Authority (subset of UNC General Administration)</v>
          </cell>
          <cell r="D61">
            <v>2045090.9311942011</v>
          </cell>
          <cell r="E61">
            <v>3161053.9510609182</v>
          </cell>
          <cell r="F61">
            <v>16489783.240600001</v>
          </cell>
          <cell r="G61">
            <v>18275592.124965992</v>
          </cell>
          <cell r="H61">
            <v>114494.60109289618</v>
          </cell>
          <cell r="I61">
            <v>183498</v>
          </cell>
          <cell r="J61">
            <v>326448.95893065678</v>
          </cell>
          <cell r="K61">
            <v>494778.28682396223</v>
          </cell>
          <cell r="L61">
            <v>114494.60109289618</v>
          </cell>
          <cell r="M61">
            <v>183498</v>
          </cell>
        </row>
        <row r="62">
          <cell r="B62">
            <v>21550</v>
          </cell>
          <cell r="C62" t="str">
            <v>UNC Health Care System</v>
          </cell>
          <cell r="D62">
            <v>573643601.51732147</v>
          </cell>
          <cell r="E62">
            <v>610226007.78841245</v>
          </cell>
          <cell r="F62">
            <v>6670988864.1124773</v>
          </cell>
          <cell r="G62">
            <v>6046851324.7070007</v>
          </cell>
          <cell r="H62">
            <v>32115489.009999994</v>
          </cell>
          <cell r="I62">
            <v>35423391.599999994</v>
          </cell>
          <cell r="J62">
            <v>91568229.879739985</v>
          </cell>
          <cell r="K62">
            <v>95514528.819618359</v>
          </cell>
          <cell r="L62">
            <v>32115489.009999994</v>
          </cell>
          <cell r="M62">
            <v>35423391.599999994</v>
          </cell>
        </row>
        <row r="63">
          <cell r="B63">
            <v>21570</v>
          </cell>
          <cell r="C63" t="str">
            <v>University Of North Carolina Press</v>
          </cell>
          <cell r="D63">
            <v>2949265.3882443989</v>
          </cell>
          <cell r="E63">
            <v>3113815.9207177991</v>
          </cell>
          <cell r="F63">
            <v>26798459.970199998</v>
          </cell>
          <cell r="G63">
            <v>25655364.407752987</v>
          </cell>
          <cell r="H63">
            <v>165114.88999999998</v>
          </cell>
          <cell r="I63">
            <v>180755.85</v>
          </cell>
          <cell r="J63">
            <v>470778.38980998227</v>
          </cell>
          <cell r="K63">
            <v>487384.43904788658</v>
          </cell>
          <cell r="L63">
            <v>165114.88999999998</v>
          </cell>
          <cell r="M63">
            <v>180755.85</v>
          </cell>
        </row>
        <row r="64">
          <cell r="B64">
            <v>21800</v>
          </cell>
          <cell r="C64" t="str">
            <v>Western Carolina University</v>
          </cell>
          <cell r="D64">
            <v>86350886.408227935</v>
          </cell>
          <cell r="E64">
            <v>91279313.826565832</v>
          </cell>
          <cell r="F64">
            <v>998094809.3206625</v>
          </cell>
          <cell r="G64">
            <v>814072661.46500587</v>
          </cell>
          <cell r="H64">
            <v>4834362.2</v>
          </cell>
          <cell r="I64">
            <v>5298730.04</v>
          </cell>
          <cell r="J64">
            <v>13783815.937340625</v>
          </cell>
          <cell r="K64">
            <v>14287330.496974707</v>
          </cell>
          <cell r="L64">
            <v>4834362.2</v>
          </cell>
          <cell r="M64">
            <v>5298730.04</v>
          </cell>
        </row>
        <row r="65">
          <cell r="B65">
            <v>21900</v>
          </cell>
          <cell r="C65" t="str">
            <v>Winston-Salem State University</v>
          </cell>
          <cell r="D65">
            <v>54472225.849014819</v>
          </cell>
          <cell r="E65">
            <v>56221949.187557042</v>
          </cell>
          <cell r="F65">
            <v>574886370.75963628</v>
          </cell>
          <cell r="G65">
            <v>474166440.73100126</v>
          </cell>
          <cell r="H65">
            <v>3049632.5</v>
          </cell>
          <cell r="I65">
            <v>3263663.13</v>
          </cell>
          <cell r="J65">
            <v>8695164.1845395714</v>
          </cell>
          <cell r="K65">
            <v>8800039.5221306514</v>
          </cell>
          <cell r="L65">
            <v>3049632.5</v>
          </cell>
          <cell r="M65">
            <v>3263663.13</v>
          </cell>
        </row>
        <row r="66">
          <cell r="B66">
            <v>22000</v>
          </cell>
          <cell r="C66" t="str">
            <v>Department Of Public Instruction</v>
          </cell>
          <cell r="D66">
            <v>63368613.879372545</v>
          </cell>
          <cell r="E66">
            <v>64626279.458397038</v>
          </cell>
          <cell r="F66">
            <v>564894877.32439375</v>
          </cell>
          <cell r="G66">
            <v>508784706.43803841</v>
          </cell>
          <cell r="H66">
            <v>3547697.5900000003</v>
          </cell>
          <cell r="I66">
            <v>3751531.36</v>
          </cell>
          <cell r="J66">
            <v>10115255.861860521</v>
          </cell>
          <cell r="K66">
            <v>10115512.208673496</v>
          </cell>
          <cell r="L66">
            <v>3547697.5900000003</v>
          </cell>
          <cell r="M66">
            <v>3751531.36</v>
          </cell>
        </row>
        <row r="67">
          <cell r="B67">
            <v>23000</v>
          </cell>
          <cell r="C67" t="str">
            <v>University Of North Carolina At Asheville</v>
          </cell>
          <cell r="D67">
            <v>39569715.897201963</v>
          </cell>
          <cell r="E67">
            <v>41883532.807430826</v>
          </cell>
          <cell r="F67">
            <v>434366191.347305</v>
          </cell>
          <cell r="G67">
            <v>372002162.42288864</v>
          </cell>
          <cell r="H67">
            <v>2215314.13</v>
          </cell>
          <cell r="I67">
            <v>2431323.4199999995</v>
          </cell>
          <cell r="J67">
            <v>6316341.4216894787</v>
          </cell>
          <cell r="K67">
            <v>6555744.6754873432</v>
          </cell>
          <cell r="L67">
            <v>2215314.13</v>
          </cell>
          <cell r="M67">
            <v>2431323.4199999995</v>
          </cell>
        </row>
        <row r="68">
          <cell r="B68">
            <v>23100</v>
          </cell>
          <cell r="C68" t="str">
            <v>University Of North Carolina At Charlotte</v>
          </cell>
          <cell r="D68">
            <v>223525359.93386087</v>
          </cell>
          <cell r="E68">
            <v>244500977.85276788</v>
          </cell>
          <cell r="F68">
            <v>2518260422.8764181</v>
          </cell>
          <cell r="G68">
            <v>2152717793.0116754</v>
          </cell>
          <cell r="H68">
            <v>12514087.529999999</v>
          </cell>
          <cell r="I68">
            <v>14193190.350000001</v>
          </cell>
          <cell r="J68">
            <v>35680379.748395666</v>
          </cell>
          <cell r="K68">
            <v>38270076.000498064</v>
          </cell>
          <cell r="L68">
            <v>12514087.529999999</v>
          </cell>
          <cell r="M68">
            <v>14193190.350000001</v>
          </cell>
        </row>
        <row r="69">
          <cell r="B69">
            <v>23200</v>
          </cell>
          <cell r="C69" t="str">
            <v>University Of North Carolina At Wilmington</v>
          </cell>
          <cell r="D69">
            <v>117629872.66785629</v>
          </cell>
          <cell r="E69">
            <v>111616626.03572235</v>
          </cell>
          <cell r="F69">
            <v>1327351938.9052331</v>
          </cell>
          <cell r="G69">
            <v>1099391539.993813</v>
          </cell>
          <cell r="H69">
            <v>6585519.0799999991</v>
          </cell>
          <cell r="I69">
            <v>6479303.4100000001</v>
          </cell>
          <cell r="J69">
            <v>18776744.293293692</v>
          </cell>
          <cell r="K69">
            <v>17470591.728588086</v>
          </cell>
          <cell r="L69">
            <v>6585519.0799999991</v>
          </cell>
          <cell r="M69">
            <v>6479303.4100000001</v>
          </cell>
        </row>
        <row r="70">
          <cell r="B70">
            <v>30000</v>
          </cell>
          <cell r="C70" t="str">
            <v>Yancey County Schools</v>
          </cell>
          <cell r="D70">
            <v>13347986.969917623</v>
          </cell>
          <cell r="E70">
            <v>13892352.180727748</v>
          </cell>
          <cell r="F70">
            <v>148858147.21044779</v>
          </cell>
          <cell r="G70">
            <v>141275940.04332688</v>
          </cell>
          <cell r="H70">
            <v>747288.26</v>
          </cell>
          <cell r="I70">
            <v>806445.85</v>
          </cell>
          <cell r="J70">
            <v>2130681.0292318482</v>
          </cell>
          <cell r="K70">
            <v>2174475.4497558228</v>
          </cell>
          <cell r="L70">
            <v>747288.26</v>
          </cell>
          <cell r="M70">
            <v>806445.85</v>
          </cell>
        </row>
        <row r="71">
          <cell r="B71">
            <v>30100</v>
          </cell>
          <cell r="C71" t="str">
            <v>Alamance County Schools</v>
          </cell>
          <cell r="D71">
            <v>114164010.09840189</v>
          </cell>
          <cell r="E71">
            <v>114817935.37094755</v>
          </cell>
          <cell r="F71">
            <v>1315975123.4475124</v>
          </cell>
          <cell r="G71">
            <v>1230734158.0963254</v>
          </cell>
          <cell r="H71">
            <v>6391482.4500000002</v>
          </cell>
          <cell r="I71">
            <v>6665138.2199999997</v>
          </cell>
          <cell r="J71">
            <v>18223503.745239217</v>
          </cell>
          <cell r="K71">
            <v>17971670.917048212</v>
          </cell>
          <cell r="L71">
            <v>6391482.4500000002</v>
          </cell>
          <cell r="M71">
            <v>6665138.2199999997</v>
          </cell>
        </row>
        <row r="72">
          <cell r="B72">
            <v>30102</v>
          </cell>
          <cell r="C72" t="str">
            <v>Clover Garden Charter School</v>
          </cell>
          <cell r="D72">
            <v>1987599.8910314403</v>
          </cell>
          <cell r="E72">
            <v>2042622.2859320741</v>
          </cell>
          <cell r="F72">
            <v>24565618.844999999</v>
          </cell>
          <cell r="G72">
            <v>22891996.327278987</v>
          </cell>
          <cell r="H72">
            <v>111275.96</v>
          </cell>
          <cell r="I72">
            <v>118573.45999999999</v>
          </cell>
          <cell r="J72">
            <v>317271.91456421651</v>
          </cell>
          <cell r="K72">
            <v>319717.78112889302</v>
          </cell>
          <cell r="L72">
            <v>111275.96</v>
          </cell>
          <cell r="M72">
            <v>118573.45999999999</v>
          </cell>
        </row>
        <row r="73">
          <cell r="B73">
            <v>30103</v>
          </cell>
          <cell r="C73" t="str">
            <v>River Mill Academy Charter</v>
          </cell>
          <cell r="D73">
            <v>2315597.7525912183</v>
          </cell>
          <cell r="E73">
            <v>2712685.6885884516</v>
          </cell>
          <cell r="F73">
            <v>28106871.640900012</v>
          </cell>
          <cell r="G73">
            <v>30824703.911766972</v>
          </cell>
          <cell r="H73">
            <v>129638.95</v>
          </cell>
          <cell r="I73">
            <v>157470.39000000001</v>
          </cell>
          <cell r="J73">
            <v>369628.78476712067</v>
          </cell>
          <cell r="K73">
            <v>424598.2506060077</v>
          </cell>
          <cell r="L73">
            <v>129638.95</v>
          </cell>
          <cell r="M73">
            <v>157470.39000000001</v>
          </cell>
        </row>
        <row r="74">
          <cell r="B74">
            <v>30104</v>
          </cell>
          <cell r="C74" t="str">
            <v>The Hawbridge School</v>
          </cell>
          <cell r="D74">
            <v>1292508.9378056228</v>
          </cell>
          <cell r="E74">
            <v>1390950.5607314245</v>
          </cell>
          <cell r="F74">
            <v>17922597.775549997</v>
          </cell>
          <cell r="G74">
            <v>18299991.133121978</v>
          </cell>
          <cell r="H74">
            <v>72361.23</v>
          </cell>
          <cell r="I74">
            <v>80744.159999999989</v>
          </cell>
          <cell r="J74">
            <v>206317.57283713046</v>
          </cell>
          <cell r="K74">
            <v>217716.03590142613</v>
          </cell>
          <cell r="L74">
            <v>72361.23</v>
          </cell>
          <cell r="M74">
            <v>80744.159999999989</v>
          </cell>
        </row>
        <row r="75">
          <cell r="B75">
            <v>30105</v>
          </cell>
          <cell r="C75" t="str">
            <v>Alamance Community College</v>
          </cell>
          <cell r="D75">
            <v>12518010.819268055</v>
          </cell>
          <cell r="E75">
            <v>13754809.520527335</v>
          </cell>
          <cell r="F75">
            <v>122039540.98607707</v>
          </cell>
          <cell r="G75">
            <v>114402693.57095787</v>
          </cell>
          <cell r="H75">
            <v>700821.97</v>
          </cell>
          <cell r="I75">
            <v>798461.55</v>
          </cell>
          <cell r="J75">
            <v>1998195.5508680032</v>
          </cell>
          <cell r="K75">
            <v>2152946.8321387996</v>
          </cell>
          <cell r="L75">
            <v>700821.97</v>
          </cell>
          <cell r="M75">
            <v>798461.55</v>
          </cell>
        </row>
        <row r="76">
          <cell r="B76">
            <v>30200</v>
          </cell>
          <cell r="C76" t="str">
            <v>Alexander County Schools</v>
          </cell>
          <cell r="D76">
            <v>26207773.961927347</v>
          </cell>
          <cell r="E76">
            <v>27533115.316417608</v>
          </cell>
          <cell r="F76">
            <v>289255275.02418065</v>
          </cell>
          <cell r="G76">
            <v>281518404.34542543</v>
          </cell>
          <cell r="H76">
            <v>1467244.5999999999</v>
          </cell>
          <cell r="I76">
            <v>1598287.0499999998</v>
          </cell>
          <cell r="J76">
            <v>4183432.8221118734</v>
          </cell>
          <cell r="K76">
            <v>4309571.3765377514</v>
          </cell>
          <cell r="L76">
            <v>1467244.5999999999</v>
          </cell>
          <cell r="M76">
            <v>1598287.0499999998</v>
          </cell>
        </row>
        <row r="77">
          <cell r="B77">
            <v>30300</v>
          </cell>
          <cell r="C77" t="str">
            <v>Alleghany County Schools</v>
          </cell>
          <cell r="D77">
            <v>9183068.4630322475</v>
          </cell>
          <cell r="E77">
            <v>9120501.4640018381</v>
          </cell>
          <cell r="F77">
            <v>99135837.153100967</v>
          </cell>
          <cell r="G77">
            <v>89075106.965557888</v>
          </cell>
          <cell r="H77">
            <v>514114.92000000004</v>
          </cell>
          <cell r="I77">
            <v>529441.70000000007</v>
          </cell>
          <cell r="J77">
            <v>1465853.2262892094</v>
          </cell>
          <cell r="K77">
            <v>1427570.0950373637</v>
          </cell>
          <cell r="L77">
            <v>514114.92000000004</v>
          </cell>
          <cell r="M77">
            <v>529441.70000000007</v>
          </cell>
        </row>
        <row r="78">
          <cell r="B78">
            <v>30400</v>
          </cell>
          <cell r="C78" t="str">
            <v>Anson County Schools</v>
          </cell>
          <cell r="D78">
            <v>18530978.849139009</v>
          </cell>
          <cell r="E78">
            <v>18568346.810652588</v>
          </cell>
          <cell r="F78">
            <v>182571738.43050006</v>
          </cell>
          <cell r="G78">
            <v>168912080.60257411</v>
          </cell>
          <cell r="H78">
            <v>1037458.53</v>
          </cell>
          <cell r="I78">
            <v>1077885.5899999999</v>
          </cell>
          <cell r="J78">
            <v>2958019.4508686117</v>
          </cell>
          <cell r="K78">
            <v>2906377.1028154837</v>
          </cell>
          <cell r="L78">
            <v>1037458.53</v>
          </cell>
          <cell r="M78">
            <v>1077885.5899999999</v>
          </cell>
        </row>
        <row r="79">
          <cell r="B79">
            <v>30405</v>
          </cell>
          <cell r="C79" t="str">
            <v>South Piedmont Community College</v>
          </cell>
          <cell r="D79">
            <v>11282942.531550525</v>
          </cell>
          <cell r="E79">
            <v>11623452.812956251</v>
          </cell>
          <cell r="F79">
            <v>126665953.00343375</v>
          </cell>
          <cell r="G79">
            <v>108397592.53525788</v>
          </cell>
          <cell r="H79">
            <v>631676.55999999994</v>
          </cell>
          <cell r="I79">
            <v>674737.09</v>
          </cell>
          <cell r="J79">
            <v>1801046.9788491435</v>
          </cell>
          <cell r="K79">
            <v>1819340.055187444</v>
          </cell>
          <cell r="L79">
            <v>631676.55999999994</v>
          </cell>
          <cell r="M79">
            <v>674737.09</v>
          </cell>
        </row>
        <row r="80">
          <cell r="B80">
            <v>30500</v>
          </cell>
          <cell r="C80" t="str">
            <v>Ashe County Schools</v>
          </cell>
          <cell r="D80">
            <v>17865265.717437059</v>
          </cell>
          <cell r="E80">
            <v>18246732.852935836</v>
          </cell>
          <cell r="F80">
            <v>192489327.76847321</v>
          </cell>
          <cell r="G80">
            <v>181681531.87807506</v>
          </cell>
          <cell r="H80">
            <v>1000188.52</v>
          </cell>
          <cell r="I80">
            <v>1059216.0199999998</v>
          </cell>
          <cell r="J80">
            <v>2851754.562850324</v>
          </cell>
          <cell r="K80">
            <v>2856037.0562736141</v>
          </cell>
          <cell r="L80">
            <v>1000188.52</v>
          </cell>
          <cell r="M80">
            <v>1059216.0199999998</v>
          </cell>
        </row>
        <row r="81">
          <cell r="B81">
            <v>30600</v>
          </cell>
          <cell r="C81" t="str">
            <v>Avery County Schools</v>
          </cell>
          <cell r="D81">
            <v>13952804.78176341</v>
          </cell>
          <cell r="E81">
            <v>14280794.82037382</v>
          </cell>
          <cell r="F81">
            <v>149968079.5864</v>
          </cell>
          <cell r="G81">
            <v>141523147.19381386</v>
          </cell>
          <cell r="H81">
            <v>781149.03999999992</v>
          </cell>
          <cell r="I81">
            <v>828994.79999999993</v>
          </cell>
          <cell r="J81">
            <v>2227225.4625419513</v>
          </cell>
          <cell r="K81">
            <v>2235275.7355937022</v>
          </cell>
          <cell r="L81">
            <v>781149.03999999992</v>
          </cell>
          <cell r="M81">
            <v>828994.79999999993</v>
          </cell>
        </row>
        <row r="82">
          <cell r="B82">
            <v>30601</v>
          </cell>
          <cell r="C82" t="str">
            <v>Grandfather Academy</v>
          </cell>
          <cell r="D82">
            <v>299026.04098636709</v>
          </cell>
          <cell r="E82">
            <v>306368.55375513079</v>
          </cell>
          <cell r="F82">
            <v>3758350.7156000002</v>
          </cell>
          <cell r="G82">
            <v>2857973.3228489994</v>
          </cell>
          <cell r="H82">
            <v>16741.000000000004</v>
          </cell>
          <cell r="I82">
            <v>17784.580000000002</v>
          </cell>
          <cell r="J82">
            <v>47732.224657684812</v>
          </cell>
          <cell r="K82">
            <v>47953.787094593419</v>
          </cell>
          <cell r="L82">
            <v>16741.000000000004</v>
          </cell>
          <cell r="M82">
            <v>17784.580000000002</v>
          </cell>
        </row>
        <row r="83">
          <cell r="B83">
            <v>30700</v>
          </cell>
          <cell r="C83" t="str">
            <v>Beaufort County Schools</v>
          </cell>
          <cell r="D83">
            <v>36868115.018354699</v>
          </cell>
          <cell r="E83">
            <v>37042360.713995725</v>
          </cell>
          <cell r="F83">
            <v>384055889.41871679</v>
          </cell>
          <cell r="G83">
            <v>363350314.19291508</v>
          </cell>
          <cell r="H83">
            <v>2064064.7600000002</v>
          </cell>
          <cell r="I83">
            <v>2150295.19</v>
          </cell>
          <cell r="J83">
            <v>5885096.6389301885</v>
          </cell>
          <cell r="K83">
            <v>5797988.9169037603</v>
          </cell>
          <cell r="L83">
            <v>2064064.7600000002</v>
          </cell>
          <cell r="M83">
            <v>2150295.19</v>
          </cell>
        </row>
        <row r="84">
          <cell r="B84">
            <v>30705</v>
          </cell>
          <cell r="C84" t="str">
            <v>Beaufort County Community College</v>
          </cell>
          <cell r="D84">
            <v>7665637.8565765414</v>
          </cell>
          <cell r="E84">
            <v>7258344.0785427839</v>
          </cell>
          <cell r="F84">
            <v>76342124.522497058</v>
          </cell>
          <cell r="G84">
            <v>64233804.540324956</v>
          </cell>
          <cell r="H84">
            <v>429161.42999999993</v>
          </cell>
          <cell r="I84">
            <v>421344.16000000003</v>
          </cell>
          <cell r="J84">
            <v>1223632.3870242678</v>
          </cell>
          <cell r="K84">
            <v>1136099.258019605</v>
          </cell>
          <cell r="L84">
            <v>429161.42999999993</v>
          </cell>
          <cell r="M84">
            <v>421344.16000000003</v>
          </cell>
        </row>
        <row r="85">
          <cell r="B85">
            <v>30800</v>
          </cell>
          <cell r="C85" t="str">
            <v>Bertie County Schools</v>
          </cell>
          <cell r="D85">
            <v>15008105.208252825</v>
          </cell>
          <cell r="E85">
            <v>14325847.823723992</v>
          </cell>
          <cell r="F85">
            <v>149249889.03292903</v>
          </cell>
          <cell r="G85">
            <v>133935453.43299983</v>
          </cell>
          <cell r="H85">
            <v>840230.13</v>
          </cell>
          <cell r="I85">
            <v>831610.1100000001</v>
          </cell>
          <cell r="J85">
            <v>2395678.4737659465</v>
          </cell>
          <cell r="K85">
            <v>2242327.5759478952</v>
          </cell>
          <cell r="L85">
            <v>840230.13</v>
          </cell>
          <cell r="M85">
            <v>831610.1100000001</v>
          </cell>
        </row>
        <row r="86">
          <cell r="B86">
            <v>30900</v>
          </cell>
          <cell r="C86" t="str">
            <v>Bladen County Schools</v>
          </cell>
          <cell r="D86">
            <v>24566832.07908719</v>
          </cell>
          <cell r="E86">
            <v>25269117.272203628</v>
          </cell>
          <cell r="F86">
            <v>249150663.22814754</v>
          </cell>
          <cell r="G86">
            <v>226443680.40655485</v>
          </cell>
          <cell r="H86">
            <v>1375376.3199999998</v>
          </cell>
          <cell r="I86">
            <v>1466862.81</v>
          </cell>
          <cell r="J86">
            <v>3921496.4156920006</v>
          </cell>
          <cell r="K86">
            <v>3955203.1528277323</v>
          </cell>
          <cell r="L86">
            <v>1375376.3199999998</v>
          </cell>
          <cell r="M86">
            <v>1466862.81</v>
          </cell>
        </row>
        <row r="87">
          <cell r="B87">
            <v>30905</v>
          </cell>
          <cell r="C87" t="str">
            <v>Bladen Community College</v>
          </cell>
          <cell r="D87">
            <v>5637500.0299056917</v>
          </cell>
          <cell r="E87">
            <v>5924391.8177355751</v>
          </cell>
          <cell r="F87">
            <v>51575576.516830571</v>
          </cell>
          <cell r="G87">
            <v>40532801.753998972</v>
          </cell>
          <cell r="H87">
            <v>315615.95</v>
          </cell>
          <cell r="I87">
            <v>343908.73</v>
          </cell>
          <cell r="J87">
            <v>899889.57833753154</v>
          </cell>
          <cell r="K87">
            <v>927304.7785436603</v>
          </cell>
          <cell r="L87">
            <v>315615.95</v>
          </cell>
          <cell r="M87">
            <v>343908.73</v>
          </cell>
        </row>
        <row r="88">
          <cell r="B88">
            <v>31000</v>
          </cell>
          <cell r="C88" t="str">
            <v>Brunswick County Schools</v>
          </cell>
          <cell r="D88">
            <v>65928487.024759918</v>
          </cell>
          <cell r="E88">
            <v>69065890.30917488</v>
          </cell>
          <cell r="F88">
            <v>709717633.272493</v>
          </cell>
          <cell r="G88">
            <v>682218461.49290633</v>
          </cell>
          <cell r="H88">
            <v>3691012.3200000003</v>
          </cell>
          <cell r="I88">
            <v>4009249.1100000003</v>
          </cell>
          <cell r="J88">
            <v>10523877.263754997</v>
          </cell>
          <cell r="K88">
            <v>10810414.315667177</v>
          </cell>
          <cell r="L88">
            <v>3691012.3200000003</v>
          </cell>
          <cell r="M88">
            <v>4009249.1100000003</v>
          </cell>
        </row>
        <row r="89">
          <cell r="B89">
            <v>31005</v>
          </cell>
          <cell r="C89" t="str">
            <v>Brunswick Community College</v>
          </cell>
          <cell r="D89">
            <v>7670409.8413510444</v>
          </cell>
          <cell r="E89">
            <v>7560754.984068959</v>
          </cell>
          <cell r="F89">
            <v>70495969.770887136</v>
          </cell>
          <cell r="G89">
            <v>60438273.180031955</v>
          </cell>
          <cell r="H89">
            <v>429428.59</v>
          </cell>
          <cell r="I89">
            <v>438899</v>
          </cell>
          <cell r="J89">
            <v>1224394.1181717233</v>
          </cell>
          <cell r="K89">
            <v>1183433.5813401246</v>
          </cell>
          <cell r="L89">
            <v>429428.59</v>
          </cell>
          <cell r="M89">
            <v>438899</v>
          </cell>
        </row>
        <row r="90">
          <cell r="B90">
            <v>31100</v>
          </cell>
          <cell r="C90" t="str">
            <v>Buncombe County Schools</v>
          </cell>
          <cell r="D90">
            <v>132925272.57946935</v>
          </cell>
          <cell r="E90">
            <v>138231828.46341473</v>
          </cell>
          <cell r="F90">
            <v>1481539091.7470157</v>
          </cell>
          <cell r="G90">
            <v>1413504560.4680743</v>
          </cell>
          <cell r="H90">
            <v>7441833.4299999997</v>
          </cell>
          <cell r="I90">
            <v>8024305.96</v>
          </cell>
          <cell r="J90">
            <v>21218282.369382299</v>
          </cell>
          <cell r="K90">
            <v>21636488.440419566</v>
          </cell>
          <cell r="L90">
            <v>7441833.4299999997</v>
          </cell>
          <cell r="M90">
            <v>8024305.96</v>
          </cell>
        </row>
        <row r="91">
          <cell r="B91">
            <v>31101</v>
          </cell>
          <cell r="C91" t="str">
            <v>F. Delany New School For Children</v>
          </cell>
          <cell r="D91">
            <v>784167.34741355781</v>
          </cell>
          <cell r="E91">
            <v>850942.25928392704</v>
          </cell>
          <cell r="F91">
            <v>10039090.600400001</v>
          </cell>
          <cell r="G91">
            <v>9676666.9907229934</v>
          </cell>
          <cell r="H91">
            <v>43901.68</v>
          </cell>
          <cell r="I91">
            <v>49396.88</v>
          </cell>
          <cell r="J91">
            <v>125173.21860162403</v>
          </cell>
          <cell r="K91">
            <v>133192.20733113625</v>
          </cell>
          <cell r="L91">
            <v>43901.68</v>
          </cell>
          <cell r="M91">
            <v>49396.88</v>
          </cell>
        </row>
        <row r="92">
          <cell r="B92">
            <v>31102</v>
          </cell>
          <cell r="C92" t="str">
            <v>Evergreen Community Charter School</v>
          </cell>
          <cell r="D92">
            <v>1802774.0760355606</v>
          </cell>
          <cell r="E92">
            <v>1998920.367941865</v>
          </cell>
          <cell r="F92">
            <v>24905613.844707288</v>
          </cell>
          <cell r="G92">
            <v>24134167.093543977</v>
          </cell>
          <cell r="H92">
            <v>100928.47</v>
          </cell>
          <cell r="I92">
            <v>116036.58000000002</v>
          </cell>
          <cell r="J92">
            <v>287768.9746369035</v>
          </cell>
          <cell r="K92">
            <v>312877.4169817199</v>
          </cell>
          <cell r="L92">
            <v>100928.47</v>
          </cell>
          <cell r="M92">
            <v>116036.58000000002</v>
          </cell>
        </row>
        <row r="93">
          <cell r="B93">
            <v>31105</v>
          </cell>
          <cell r="C93" t="str">
            <v>Asheville-Buncombe Technical College</v>
          </cell>
          <cell r="D93">
            <v>22635997.658384614</v>
          </cell>
          <cell r="E93">
            <v>23650454.478270568</v>
          </cell>
          <cell r="F93">
            <v>236729179.39203152</v>
          </cell>
          <cell r="G93">
            <v>203151780.73355991</v>
          </cell>
          <cell r="H93">
            <v>1267278.3799999999</v>
          </cell>
          <cell r="I93">
            <v>1372900.04</v>
          </cell>
          <cell r="J93">
            <v>3613285.7259415118</v>
          </cell>
          <cell r="K93">
            <v>3701844.8689999306</v>
          </cell>
          <cell r="L93">
            <v>1267278.3799999999</v>
          </cell>
          <cell r="M93">
            <v>1372900.04</v>
          </cell>
        </row>
        <row r="94">
          <cell r="B94">
            <v>31110</v>
          </cell>
          <cell r="C94" t="str">
            <v>Asheville City Schools</v>
          </cell>
          <cell r="D94">
            <v>29150890.391650181</v>
          </cell>
          <cell r="E94">
            <v>30401113.288698826</v>
          </cell>
          <cell r="F94">
            <v>343947043.29053557</v>
          </cell>
          <cell r="G94">
            <v>325165842.93337834</v>
          </cell>
          <cell r="H94">
            <v>1632015.24</v>
          </cell>
          <cell r="I94">
            <v>1764773.26</v>
          </cell>
          <cell r="J94">
            <v>4653229.6804519072</v>
          </cell>
          <cell r="K94">
            <v>4758479.6031321259</v>
          </cell>
          <cell r="L94">
            <v>1632015.24</v>
          </cell>
          <cell r="M94">
            <v>1764773.26</v>
          </cell>
        </row>
        <row r="95">
          <cell r="B95">
            <v>31200</v>
          </cell>
          <cell r="C95" t="str">
            <v>Burke County Schools</v>
          </cell>
          <cell r="D95">
            <v>63880557.321575418</v>
          </cell>
          <cell r="E95">
            <v>62992702.18425303</v>
          </cell>
          <cell r="F95">
            <v>700390399.49469924</v>
          </cell>
          <cell r="G95">
            <v>637239464.76658523</v>
          </cell>
          <cell r="H95">
            <v>3576358.79</v>
          </cell>
          <cell r="I95">
            <v>3656702.8100000005</v>
          </cell>
          <cell r="J95">
            <v>10196975.164014444</v>
          </cell>
          <cell r="K95">
            <v>9859819.4626435637</v>
          </cell>
          <cell r="L95">
            <v>3576358.79</v>
          </cell>
          <cell r="M95">
            <v>3656702.8100000005</v>
          </cell>
        </row>
        <row r="96">
          <cell r="B96">
            <v>31205</v>
          </cell>
          <cell r="C96" t="str">
            <v>Western Piedmont Community College</v>
          </cell>
          <cell r="D96">
            <v>8922506.4126629531</v>
          </cell>
          <cell r="E96">
            <v>8502177.7572025992</v>
          </cell>
          <cell r="F96">
            <v>86113188.520000011</v>
          </cell>
          <cell r="G96">
            <v>70722362.917713925</v>
          </cell>
          <cell r="H96">
            <v>499527.33</v>
          </cell>
          <cell r="I96">
            <v>493548.24000000005</v>
          </cell>
          <cell r="J96">
            <v>1424260.8409422049</v>
          </cell>
          <cell r="K96">
            <v>1330788.0884379218</v>
          </cell>
          <cell r="L96">
            <v>499527.33</v>
          </cell>
          <cell r="M96">
            <v>493548.24000000005</v>
          </cell>
        </row>
        <row r="97">
          <cell r="B97">
            <v>31300</v>
          </cell>
          <cell r="C97" t="str">
            <v>Cabarrus County Schools</v>
          </cell>
          <cell r="D97">
            <v>149275653.18959063</v>
          </cell>
          <cell r="E97">
            <v>158028862.77421078</v>
          </cell>
          <cell r="F97">
            <v>1768462598.34375</v>
          </cell>
          <cell r="G97">
            <v>1736483398.2417493</v>
          </cell>
          <cell r="H97">
            <v>8357210.9700000007</v>
          </cell>
          <cell r="I97">
            <v>9173516.4000000004</v>
          </cell>
          <cell r="J97">
            <v>23828222.419909682</v>
          </cell>
          <cell r="K97">
            <v>24735183.645290527</v>
          </cell>
          <cell r="L97">
            <v>8357210.9700000007</v>
          </cell>
          <cell r="M97">
            <v>9173516.4000000004</v>
          </cell>
        </row>
        <row r="98">
          <cell r="B98">
            <v>31301</v>
          </cell>
          <cell r="C98" t="str">
            <v>Carolina International School</v>
          </cell>
          <cell r="D98">
            <v>2865159.4245222989</v>
          </cell>
          <cell r="E98">
            <v>3450318.1741529983</v>
          </cell>
          <cell r="F98">
            <v>34071367.213900007</v>
          </cell>
          <cell r="G98">
            <v>39930991.304829985</v>
          </cell>
          <cell r="H98">
            <v>160406.21000000002</v>
          </cell>
          <cell r="I98">
            <v>200289.68</v>
          </cell>
          <cell r="J98">
            <v>457352.9211043407</v>
          </cell>
          <cell r="K98">
            <v>540054.84931127098</v>
          </cell>
          <cell r="L98">
            <v>160406.21000000002</v>
          </cell>
          <cell r="M98">
            <v>200289.68</v>
          </cell>
        </row>
        <row r="99">
          <cell r="B99">
            <v>31320</v>
          </cell>
          <cell r="C99" t="str">
            <v>Kannapolis City Schools</v>
          </cell>
          <cell r="D99">
            <v>28210544.856358334</v>
          </cell>
          <cell r="E99">
            <v>28543630.179684643</v>
          </cell>
          <cell r="F99">
            <v>331389648.85337532</v>
          </cell>
          <cell r="G99">
            <v>312044266.85849297</v>
          </cell>
          <cell r="H99">
            <v>1579369.91</v>
          </cell>
          <cell r="I99">
            <v>1656947.06</v>
          </cell>
          <cell r="J99">
            <v>4503126.4178787069</v>
          </cell>
          <cell r="K99">
            <v>4467740.3988316003</v>
          </cell>
          <cell r="L99">
            <v>1579369.91</v>
          </cell>
          <cell r="M99">
            <v>1656947.06</v>
          </cell>
        </row>
        <row r="100">
          <cell r="B100">
            <v>31400</v>
          </cell>
          <cell r="C100" t="str">
            <v>Caldwell County Schools</v>
          </cell>
          <cell r="D100">
            <v>64323233.393526666</v>
          </cell>
          <cell r="E100">
            <v>65621743.578732274</v>
          </cell>
          <cell r="F100">
            <v>690951239.94812691</v>
          </cell>
          <cell r="G100">
            <v>655349364.82575834</v>
          </cell>
          <cell r="H100">
            <v>3601142.0500000003</v>
          </cell>
          <cell r="I100">
            <v>3809317.6800000011</v>
          </cell>
          <cell r="J100">
            <v>10267637.617516015</v>
          </cell>
          <cell r="K100">
            <v>10271325.440487804</v>
          </cell>
          <cell r="L100">
            <v>3601142.0500000003</v>
          </cell>
          <cell r="M100">
            <v>3809317.6800000011</v>
          </cell>
        </row>
        <row r="101">
          <cell r="B101">
            <v>31405</v>
          </cell>
          <cell r="C101" t="str">
            <v>Caldwell Community College</v>
          </cell>
          <cell r="D101">
            <v>14755648.530136015</v>
          </cell>
          <cell r="E101">
            <v>14985209.865466686</v>
          </cell>
          <cell r="F101">
            <v>139189350.79784983</v>
          </cell>
          <cell r="G101">
            <v>121047691.05108789</v>
          </cell>
          <cell r="H101">
            <v>826096.32000000018</v>
          </cell>
          <cell r="I101">
            <v>869885.83</v>
          </cell>
          <cell r="J101">
            <v>2355379.9136925326</v>
          </cell>
          <cell r="K101">
            <v>2345533.0341466414</v>
          </cell>
          <cell r="L101">
            <v>826096.32000000018</v>
          </cell>
          <cell r="M101">
            <v>869885.83</v>
          </cell>
        </row>
        <row r="102">
          <cell r="B102">
            <v>31500</v>
          </cell>
          <cell r="C102" t="str">
            <v>Camden County Schools</v>
          </cell>
          <cell r="D102">
            <v>10432246.578765828</v>
          </cell>
          <cell r="E102">
            <v>10475086.588103494</v>
          </cell>
          <cell r="F102">
            <v>106680078.60839999</v>
          </cell>
          <cell r="G102">
            <v>99186492.840072811</v>
          </cell>
          <cell r="H102">
            <v>584050.2699999999</v>
          </cell>
          <cell r="I102">
            <v>608074.8600000001</v>
          </cell>
          <cell r="J102">
            <v>1665254.0887056605</v>
          </cell>
          <cell r="K102">
            <v>1639594.0963472119</v>
          </cell>
          <cell r="L102">
            <v>584050.2699999999</v>
          </cell>
          <cell r="M102">
            <v>608074.8600000001</v>
          </cell>
        </row>
        <row r="103">
          <cell r="B103">
            <v>31600</v>
          </cell>
          <cell r="C103" t="str">
            <v>Carteret County Schools</v>
          </cell>
          <cell r="D103">
            <v>45361777.077324487</v>
          </cell>
          <cell r="E103">
            <v>46400543.467654735</v>
          </cell>
          <cell r="F103">
            <v>493095520.61112005</v>
          </cell>
          <cell r="G103">
            <v>462866473.20562577</v>
          </cell>
          <cell r="H103">
            <v>2539583.1999999997</v>
          </cell>
          <cell r="I103">
            <v>2693534.1999999997</v>
          </cell>
          <cell r="J103">
            <v>7240902.9233189225</v>
          </cell>
          <cell r="K103">
            <v>7262761.6485070763</v>
          </cell>
          <cell r="L103">
            <v>2539583.1999999997</v>
          </cell>
          <cell r="M103">
            <v>2693534.1999999997</v>
          </cell>
        </row>
        <row r="104">
          <cell r="B104">
            <v>31605</v>
          </cell>
          <cell r="C104" t="str">
            <v>Carteret Community College</v>
          </cell>
          <cell r="D104">
            <v>7470199.2160318634</v>
          </cell>
          <cell r="E104">
            <v>7603739.9293104578</v>
          </cell>
          <cell r="F104">
            <v>67874025.654912695</v>
          </cell>
          <cell r="G104">
            <v>63944608.561488941</v>
          </cell>
          <cell r="H104">
            <v>418219.78</v>
          </cell>
          <cell r="I104">
            <v>441394.26000000007</v>
          </cell>
          <cell r="J104">
            <v>1192435.3679736883</v>
          </cell>
          <cell r="K104">
            <v>1190161.7226167619</v>
          </cell>
          <cell r="L104">
            <v>418219.78</v>
          </cell>
          <cell r="M104">
            <v>441394.26000000007</v>
          </cell>
        </row>
        <row r="105">
          <cell r="B105">
            <v>31700</v>
          </cell>
          <cell r="C105" t="str">
            <v>Caswell County Schools</v>
          </cell>
          <cell r="D105">
            <v>14496544.725151476</v>
          </cell>
          <cell r="E105">
            <v>14812082.996751692</v>
          </cell>
          <cell r="F105">
            <v>143096515.73373985</v>
          </cell>
          <cell r="G105">
            <v>138309100.19257885</v>
          </cell>
          <cell r="H105">
            <v>811590.37000000011</v>
          </cell>
          <cell r="I105">
            <v>859835.88000000012</v>
          </cell>
          <cell r="J105">
            <v>2314020.3017056054</v>
          </cell>
          <cell r="K105">
            <v>2318434.6622642973</v>
          </cell>
          <cell r="L105">
            <v>811590.37000000011</v>
          </cell>
          <cell r="M105">
            <v>859835.88000000012</v>
          </cell>
        </row>
        <row r="106">
          <cell r="B106">
            <v>31800</v>
          </cell>
          <cell r="C106" t="str">
            <v>Catawba County Schools</v>
          </cell>
          <cell r="D106">
            <v>83360428.624387026</v>
          </cell>
          <cell r="E106">
            <v>83906422.412500024</v>
          </cell>
          <cell r="F106">
            <v>907197434.60667217</v>
          </cell>
          <cell r="G106">
            <v>839765635.47317159</v>
          </cell>
          <cell r="H106">
            <v>4666941.1500000004</v>
          </cell>
          <cell r="I106">
            <v>4870736.4499999993</v>
          </cell>
          <cell r="J106">
            <v>13306462.184815358</v>
          </cell>
          <cell r="K106">
            <v>13133301.923192771</v>
          </cell>
          <cell r="L106">
            <v>4666941.1500000004</v>
          </cell>
          <cell r="M106">
            <v>4870736.4499999993</v>
          </cell>
        </row>
        <row r="107">
          <cell r="B107">
            <v>31805</v>
          </cell>
          <cell r="C107" t="str">
            <v>Catawba Valley Community College</v>
          </cell>
          <cell r="D107">
            <v>17584367.538510107</v>
          </cell>
          <cell r="E107">
            <v>17891858.215881497</v>
          </cell>
          <cell r="F107">
            <v>168763191.96074688</v>
          </cell>
          <cell r="G107">
            <v>152249587.82535291</v>
          </cell>
          <cell r="H107">
            <v>984462.41000000015</v>
          </cell>
          <cell r="I107">
            <v>1038615.68</v>
          </cell>
          <cell r="J107">
            <v>2806916.0098659466</v>
          </cell>
          <cell r="K107">
            <v>2800490.9416936678</v>
          </cell>
          <cell r="L107">
            <v>984462.41000000015</v>
          </cell>
          <cell r="M107">
            <v>1038615.68</v>
          </cell>
        </row>
        <row r="108">
          <cell r="B108">
            <v>31810</v>
          </cell>
          <cell r="C108" t="str">
            <v>Hickory City Schools</v>
          </cell>
          <cell r="D108">
            <v>20796222.481210314</v>
          </cell>
          <cell r="E108">
            <v>21302624.541839864</v>
          </cell>
          <cell r="F108">
            <v>225416660.24890015</v>
          </cell>
          <cell r="G108">
            <v>218434974.71038678</v>
          </cell>
          <cell r="H108">
            <v>1164278.3999999999</v>
          </cell>
          <cell r="I108">
            <v>1236609.3899999999</v>
          </cell>
          <cell r="J108">
            <v>3319610.4266704386</v>
          </cell>
          <cell r="K108">
            <v>3334355.0090716244</v>
          </cell>
          <cell r="L108">
            <v>1164278.3999999999</v>
          </cell>
          <cell r="M108">
            <v>1236609.3899999999</v>
          </cell>
        </row>
        <row r="109">
          <cell r="B109">
            <v>31820</v>
          </cell>
          <cell r="C109" t="str">
            <v>Newton-Conover City Schools</v>
          </cell>
          <cell r="D109">
            <v>17267334.560516439</v>
          </cell>
          <cell r="E109">
            <v>17505815.419426747</v>
          </cell>
          <cell r="F109">
            <v>201114695.69890016</v>
          </cell>
          <cell r="G109">
            <v>183085903.75335094</v>
          </cell>
          <cell r="H109">
            <v>966713.2899999998</v>
          </cell>
          <cell r="I109">
            <v>1016206.0399999999</v>
          </cell>
          <cell r="J109">
            <v>2756309.416274392</v>
          </cell>
          <cell r="K109">
            <v>2740066.2869969304</v>
          </cell>
          <cell r="L109">
            <v>966713.2899999998</v>
          </cell>
          <cell r="M109">
            <v>1016206.0399999999</v>
          </cell>
        </row>
        <row r="110">
          <cell r="B110">
            <v>31900</v>
          </cell>
          <cell r="C110" t="str">
            <v>Chatham County Schools</v>
          </cell>
          <cell r="D110">
            <v>47449606.153280877</v>
          </cell>
          <cell r="E110">
            <v>49928195.128690556</v>
          </cell>
          <cell r="F110">
            <v>529647263.10611236</v>
          </cell>
          <cell r="G110">
            <v>515421727.80009276</v>
          </cell>
          <cell r="H110">
            <v>2656470.5000000005</v>
          </cell>
          <cell r="I110">
            <v>2898313.0599999996</v>
          </cell>
          <cell r="J110">
            <v>7574173.9861724097</v>
          </cell>
          <cell r="K110">
            <v>7814920.9828244206</v>
          </cell>
          <cell r="L110">
            <v>2656470.5000000005</v>
          </cell>
          <cell r="M110">
            <v>2898313.0599999996</v>
          </cell>
        </row>
        <row r="111">
          <cell r="B111">
            <v>32000</v>
          </cell>
          <cell r="C111" t="str">
            <v>Cherokee County Schools</v>
          </cell>
          <cell r="D111">
            <v>19440533.865363136</v>
          </cell>
          <cell r="E111">
            <v>20525741.674277291</v>
          </cell>
          <cell r="F111">
            <v>212912478.82260874</v>
          </cell>
          <cell r="G111">
            <v>206627554.32907081</v>
          </cell>
          <cell r="H111">
            <v>1088380.05</v>
          </cell>
          <cell r="I111">
            <v>1191511.6299999999</v>
          </cell>
          <cell r="J111">
            <v>3103207.7569764187</v>
          </cell>
          <cell r="K111">
            <v>3212754.8148875008</v>
          </cell>
          <cell r="L111">
            <v>1088380.05</v>
          </cell>
          <cell r="M111">
            <v>1191511.6299999999</v>
          </cell>
        </row>
        <row r="112">
          <cell r="B112">
            <v>32005</v>
          </cell>
          <cell r="C112" t="str">
            <v>Tri-County Community College</v>
          </cell>
          <cell r="D112">
            <v>4882012.8182647983</v>
          </cell>
          <cell r="E112">
            <v>5113311.8306955714</v>
          </cell>
          <cell r="F112">
            <v>48015712.040344745</v>
          </cell>
          <cell r="G112">
            <v>42547698.618388936</v>
          </cell>
          <cell r="H112">
            <v>273319.93000000005</v>
          </cell>
          <cell r="I112">
            <v>296825.84000000003</v>
          </cell>
          <cell r="J112">
            <v>779294.44490667747</v>
          </cell>
          <cell r="K112">
            <v>800351.94171208155</v>
          </cell>
          <cell r="L112">
            <v>273319.93000000005</v>
          </cell>
          <cell r="M112">
            <v>296825.84000000003</v>
          </cell>
        </row>
        <row r="113">
          <cell r="B113">
            <v>32100</v>
          </cell>
          <cell r="C113" t="str">
            <v>Edenton-Chowan County Schools</v>
          </cell>
          <cell r="D113">
            <v>12526936.409894714</v>
          </cell>
          <cell r="E113">
            <v>12490781.224289732</v>
          </cell>
          <cell r="F113">
            <v>132767746.29320997</v>
          </cell>
          <cell r="G113">
            <v>118712257.96525387</v>
          </cell>
          <cell r="H113">
            <v>701321.67</v>
          </cell>
          <cell r="I113">
            <v>725085.18000000017</v>
          </cell>
          <cell r="J113">
            <v>1999620.3040285937</v>
          </cell>
          <cell r="K113">
            <v>1955097.0755095114</v>
          </cell>
          <cell r="L113">
            <v>701321.67</v>
          </cell>
          <cell r="M113">
            <v>725085.18000000017</v>
          </cell>
        </row>
        <row r="114">
          <cell r="B114">
            <v>32200</v>
          </cell>
          <cell r="C114" t="str">
            <v>Clay County Schools</v>
          </cell>
          <cell r="D114">
            <v>7558457.5352732344</v>
          </cell>
          <cell r="E114">
            <v>7996506.6278141513</v>
          </cell>
          <cell r="F114">
            <v>81734057.554073185</v>
          </cell>
          <cell r="G114">
            <v>76538949.727148935</v>
          </cell>
          <cell r="H114">
            <v>423160.93</v>
          </cell>
          <cell r="I114">
            <v>464194.22</v>
          </cell>
          <cell r="J114">
            <v>1206523.6591072716</v>
          </cell>
          <cell r="K114">
            <v>1251638.8239936426</v>
          </cell>
          <cell r="L114">
            <v>423160.93</v>
          </cell>
          <cell r="M114">
            <v>464194.22</v>
          </cell>
        </row>
        <row r="115">
          <cell r="B115">
            <v>32300</v>
          </cell>
          <cell r="C115" t="str">
            <v>Cleveland County Schools</v>
          </cell>
          <cell r="D115">
            <v>82167565.144666865</v>
          </cell>
          <cell r="E115">
            <v>85074434.241919965</v>
          </cell>
          <cell r="F115">
            <v>929025133.40120316</v>
          </cell>
          <cell r="G115">
            <v>880730574.97810864</v>
          </cell>
          <cell r="H115">
            <v>4600158.58</v>
          </cell>
          <cell r="I115">
            <v>4938539.0999999996</v>
          </cell>
          <cell r="J115">
            <v>13116050.582494255</v>
          </cell>
          <cell r="K115">
            <v>13316122.874969492</v>
          </cell>
          <cell r="L115">
            <v>4600158.58</v>
          </cell>
          <cell r="M115">
            <v>4938539.0999999996</v>
          </cell>
        </row>
        <row r="116">
          <cell r="B116">
            <v>32305</v>
          </cell>
          <cell r="C116" t="str">
            <v>Cleveland Technical College</v>
          </cell>
          <cell r="D116">
            <v>10052613.184095472</v>
          </cell>
          <cell r="E116">
            <v>9981887.3736679535</v>
          </cell>
          <cell r="F116">
            <v>95464721.90110001</v>
          </cell>
          <cell r="G116">
            <v>86612330.665468916</v>
          </cell>
          <cell r="H116">
            <v>562796.46</v>
          </cell>
          <cell r="I116">
            <v>579444.82999999996</v>
          </cell>
          <cell r="J116">
            <v>1604654.8632261944</v>
          </cell>
          <cell r="K116">
            <v>1562396.9759692315</v>
          </cell>
          <cell r="L116">
            <v>562796.46</v>
          </cell>
          <cell r="M116">
            <v>579444.82999999996</v>
          </cell>
        </row>
        <row r="117">
          <cell r="B117">
            <v>32400</v>
          </cell>
          <cell r="C117" t="str">
            <v>Columbus County Schools</v>
          </cell>
          <cell r="D117">
            <v>32209587.950728215</v>
          </cell>
          <cell r="E117">
            <v>32987067.583962504</v>
          </cell>
          <cell r="F117">
            <v>329063471.68641323</v>
          </cell>
          <cell r="G117">
            <v>311951248.58283794</v>
          </cell>
          <cell r="H117">
            <v>1803256.7000000002</v>
          </cell>
          <cell r="I117">
            <v>1914886.9400000002</v>
          </cell>
          <cell r="J117">
            <v>5141476.2511125579</v>
          </cell>
          <cell r="K117">
            <v>5163241.4502325878</v>
          </cell>
          <cell r="L117">
            <v>1803256.7000000002</v>
          </cell>
          <cell r="M117">
            <v>1914886.9400000002</v>
          </cell>
        </row>
        <row r="118">
          <cell r="B118">
            <v>32405</v>
          </cell>
          <cell r="C118" t="str">
            <v>Southeastern Community College</v>
          </cell>
          <cell r="D118">
            <v>8724274.1712097097</v>
          </cell>
          <cell r="E118">
            <v>8923958.5960653909</v>
          </cell>
          <cell r="F118">
            <v>82246311.512199968</v>
          </cell>
          <cell r="G118">
            <v>75553412.722780958</v>
          </cell>
          <cell r="H118">
            <v>488429.27999999997</v>
          </cell>
          <cell r="I118">
            <v>518032.46000000008</v>
          </cell>
          <cell r="J118">
            <v>1392617.8915447844</v>
          </cell>
          <cell r="K118">
            <v>1396806.575973595</v>
          </cell>
          <cell r="L118">
            <v>488429.27999999997</v>
          </cell>
          <cell r="M118">
            <v>518032.46000000008</v>
          </cell>
        </row>
        <row r="119">
          <cell r="B119">
            <v>32410</v>
          </cell>
          <cell r="C119" t="str">
            <v>Whiteville City Schools</v>
          </cell>
          <cell r="D119">
            <v>12936300.755820157</v>
          </cell>
          <cell r="E119">
            <v>13063236.074077608</v>
          </cell>
          <cell r="F119">
            <v>131058988.42799997</v>
          </cell>
          <cell r="G119">
            <v>120905471.60327283</v>
          </cell>
          <cell r="H119">
            <v>724239.97</v>
          </cell>
          <cell r="I119">
            <v>758315.97000000009</v>
          </cell>
          <cell r="J119">
            <v>2064965.3517779643</v>
          </cell>
          <cell r="K119">
            <v>2044699.5417271641</v>
          </cell>
          <cell r="L119">
            <v>724239.97</v>
          </cell>
          <cell r="M119">
            <v>758315.97000000009</v>
          </cell>
        </row>
        <row r="120">
          <cell r="B120">
            <v>32500</v>
          </cell>
          <cell r="C120" t="str">
            <v>New Bern/Craven County Board Of Education</v>
          </cell>
          <cell r="D120">
            <v>68922823.698455706</v>
          </cell>
          <cell r="E120">
            <v>67679167.682650954</v>
          </cell>
          <cell r="F120">
            <v>751463628.71451771</v>
          </cell>
          <cell r="G120">
            <v>684661446.61729491</v>
          </cell>
          <cell r="H120">
            <v>3858650.53</v>
          </cell>
          <cell r="I120">
            <v>3928750.3800000004</v>
          </cell>
          <cell r="J120">
            <v>11001850.186575146</v>
          </cell>
          <cell r="K120">
            <v>10593360.049566701</v>
          </cell>
          <cell r="L120">
            <v>3858650.53</v>
          </cell>
          <cell r="M120">
            <v>3928750.3800000004</v>
          </cell>
        </row>
        <row r="121">
          <cell r="B121">
            <v>32505</v>
          </cell>
          <cell r="C121" t="str">
            <v>Craven Community College</v>
          </cell>
          <cell r="D121">
            <v>10266945.783521611</v>
          </cell>
          <cell r="E121">
            <v>11107875.504347552</v>
          </cell>
          <cell r="F121">
            <v>109586342.02042952</v>
          </cell>
          <cell r="G121">
            <v>95255476.894326881</v>
          </cell>
          <cell r="H121">
            <v>574795.8899999999</v>
          </cell>
          <cell r="I121">
            <v>644808.0199999999</v>
          </cell>
          <cell r="J121">
            <v>1638867.8426494161</v>
          </cell>
          <cell r="K121">
            <v>1738640.2438498028</v>
          </cell>
          <cell r="L121">
            <v>574795.8899999999</v>
          </cell>
          <cell r="M121">
            <v>644808.0199999999</v>
          </cell>
        </row>
        <row r="122">
          <cell r="B122">
            <v>32600</v>
          </cell>
          <cell r="C122" t="str">
            <v>Cumberland County Schools</v>
          </cell>
          <cell r="D122">
            <v>241602438.65133688</v>
          </cell>
          <cell r="E122">
            <v>245089513.77081433</v>
          </cell>
          <cell r="F122">
            <v>2698672922.500627</v>
          </cell>
          <cell r="G122">
            <v>2473328961.22682</v>
          </cell>
          <cell r="H122">
            <v>13526134.420000002</v>
          </cell>
          <cell r="I122">
            <v>14227354.640000001</v>
          </cell>
          <cell r="J122">
            <v>38565945.097991951</v>
          </cell>
          <cell r="K122">
            <v>38362195.527014732</v>
          </cell>
          <cell r="L122">
            <v>13526134.420000002</v>
          </cell>
          <cell r="M122">
            <v>14227354.640000001</v>
          </cell>
        </row>
        <row r="123">
          <cell r="B123">
            <v>32605</v>
          </cell>
          <cell r="C123" t="str">
            <v>Fayetteville Technical Community College</v>
          </cell>
          <cell r="D123">
            <v>38084830.741331033</v>
          </cell>
          <cell r="E123">
            <v>39200255.576986633</v>
          </cell>
          <cell r="F123">
            <v>383772986.3054682</v>
          </cell>
          <cell r="G123">
            <v>330537517.92549813</v>
          </cell>
          <cell r="H123">
            <v>2132182.7000000002</v>
          </cell>
          <cell r="I123">
            <v>2275560.1799999997</v>
          </cell>
          <cell r="J123">
            <v>6079315.6709652329</v>
          </cell>
          <cell r="K123">
            <v>6135749.5309225544</v>
          </cell>
          <cell r="L123">
            <v>2132182.7000000002</v>
          </cell>
          <cell r="M123">
            <v>2275560.1799999997</v>
          </cell>
        </row>
        <row r="124">
          <cell r="B124">
            <v>32700</v>
          </cell>
          <cell r="C124" t="str">
            <v>Currituck County Schools</v>
          </cell>
          <cell r="D124">
            <v>21573130.217260268</v>
          </cell>
          <cell r="E124">
            <v>22730696.271889336</v>
          </cell>
          <cell r="F124">
            <v>229541841.44503731</v>
          </cell>
          <cell r="G124">
            <v>223812577.26976481</v>
          </cell>
          <cell r="H124">
            <v>1207773.6499999999</v>
          </cell>
          <cell r="I124">
            <v>1319508.42</v>
          </cell>
          <cell r="J124">
            <v>3443624.8251258573</v>
          </cell>
          <cell r="K124">
            <v>3557881.3692650232</v>
          </cell>
          <cell r="L124">
            <v>1207773.6499999999</v>
          </cell>
          <cell r="M124">
            <v>1319508.42</v>
          </cell>
        </row>
        <row r="125">
          <cell r="B125">
            <v>32800</v>
          </cell>
          <cell r="C125" t="str">
            <v>Dare County Schools</v>
          </cell>
          <cell r="D125">
            <v>32377245.266227331</v>
          </cell>
          <cell r="E125">
            <v>33436840.334378324</v>
          </cell>
          <cell r="F125">
            <v>307712099.49276775</v>
          </cell>
          <cell r="G125">
            <v>295501633.68468535</v>
          </cell>
          <cell r="H125">
            <v>1812643.01</v>
          </cell>
          <cell r="I125">
            <v>1940996.08</v>
          </cell>
          <cell r="J125">
            <v>5168238.6582343942</v>
          </cell>
          <cell r="K125">
            <v>5233641.3214009218</v>
          </cell>
          <cell r="L125">
            <v>1812643.01</v>
          </cell>
          <cell r="M125">
            <v>1940996.08</v>
          </cell>
        </row>
        <row r="126">
          <cell r="B126">
            <v>32900</v>
          </cell>
          <cell r="C126" t="str">
            <v>Davidson County Schools</v>
          </cell>
          <cell r="D126">
            <v>88724339.921425864</v>
          </cell>
          <cell r="E126">
            <v>91443216.518730476</v>
          </cell>
          <cell r="F126">
            <v>979338173.18845117</v>
          </cell>
          <cell r="G126">
            <v>938766821.7910893</v>
          </cell>
          <cell r="H126">
            <v>4967240.21</v>
          </cell>
          <cell r="I126">
            <v>5308244.5299999993</v>
          </cell>
          <cell r="J126">
            <v>14162679.985210288</v>
          </cell>
          <cell r="K126">
            <v>14312985.071205508</v>
          </cell>
          <cell r="L126">
            <v>4967240.21</v>
          </cell>
          <cell r="M126">
            <v>5308244.5299999993</v>
          </cell>
        </row>
        <row r="127">
          <cell r="B127">
            <v>32901</v>
          </cell>
          <cell r="C127" t="str">
            <v>Invest Collegiate Charter School</v>
          </cell>
          <cell r="D127">
            <v>2208397.9618186615</v>
          </cell>
          <cell r="E127">
            <v>1960018.1363343119</v>
          </cell>
          <cell r="F127">
            <v>33655641.5145</v>
          </cell>
          <cell r="G127">
            <v>24622938.362749983</v>
          </cell>
          <cell r="H127">
            <v>123637.35999999997</v>
          </cell>
          <cell r="I127">
            <v>113778.32000000002</v>
          </cell>
          <cell r="J127">
            <v>352516.94902353815</v>
          </cell>
          <cell r="K127">
            <v>306788.31511683273</v>
          </cell>
          <cell r="L127">
            <v>123637.35999999997</v>
          </cell>
          <cell r="M127">
            <v>113778.32000000002</v>
          </cell>
        </row>
        <row r="128">
          <cell r="B128">
            <v>32905</v>
          </cell>
          <cell r="C128" t="str">
            <v>Davidson County Community College</v>
          </cell>
          <cell r="D128">
            <v>13729855.95979077</v>
          </cell>
          <cell r="E128">
            <v>14586540.803366374</v>
          </cell>
          <cell r="F128">
            <v>141526662.77274996</v>
          </cell>
          <cell r="G128">
            <v>123483171.05038677</v>
          </cell>
          <cell r="H128">
            <v>768667.2300000001</v>
          </cell>
          <cell r="I128">
            <v>846743.24</v>
          </cell>
          <cell r="J128">
            <v>2191637.1130374698</v>
          </cell>
          <cell r="K128">
            <v>2283132.0759189259</v>
          </cell>
          <cell r="L128">
            <v>768667.2300000001</v>
          </cell>
          <cell r="M128">
            <v>846743.24</v>
          </cell>
        </row>
        <row r="129">
          <cell r="B129">
            <v>32910</v>
          </cell>
          <cell r="C129" t="str">
            <v>Lexington City Schools</v>
          </cell>
          <cell r="D129">
            <v>17108712.864938077</v>
          </cell>
          <cell r="E129">
            <v>17835078.005217217</v>
          </cell>
          <cell r="F129">
            <v>178247922.94302073</v>
          </cell>
          <cell r="G129">
            <v>172426108.10042667</v>
          </cell>
          <cell r="H129">
            <v>957832.84</v>
          </cell>
          <cell r="I129">
            <v>1035319.61</v>
          </cell>
          <cell r="J129">
            <v>2730989.3258101824</v>
          </cell>
          <cell r="K129">
            <v>2791603.5212975224</v>
          </cell>
          <cell r="L129">
            <v>957832.84</v>
          </cell>
          <cell r="M129">
            <v>1035319.61</v>
          </cell>
        </row>
        <row r="130">
          <cell r="B130">
            <v>32920</v>
          </cell>
          <cell r="C130" t="str">
            <v>Thomasville City Schools</v>
          </cell>
          <cell r="D130">
            <v>13687375.006844237</v>
          </cell>
          <cell r="E130">
            <v>14091240.455673739</v>
          </cell>
          <cell r="F130">
            <v>146242903.88170004</v>
          </cell>
          <cell r="G130">
            <v>144454264.07664904</v>
          </cell>
          <cell r="H130">
            <v>766288.93</v>
          </cell>
          <cell r="I130">
            <v>817991.24</v>
          </cell>
          <cell r="J130">
            <v>2184856.0635240967</v>
          </cell>
          <cell r="K130">
            <v>2205606.0794352447</v>
          </cell>
          <cell r="L130">
            <v>766288.93</v>
          </cell>
          <cell r="M130">
            <v>817991.24</v>
          </cell>
        </row>
        <row r="131">
          <cell r="B131">
            <v>33000</v>
          </cell>
          <cell r="C131" t="str">
            <v>Davie County Schools</v>
          </cell>
          <cell r="D131">
            <v>33248683.169901162</v>
          </cell>
          <cell r="E131">
            <v>33626118.039243132</v>
          </cell>
          <cell r="F131">
            <v>378285211.09255856</v>
          </cell>
          <cell r="G131">
            <v>353816489.49002314</v>
          </cell>
          <cell r="H131">
            <v>1861430.54</v>
          </cell>
          <cell r="I131">
            <v>1951983.5800000003</v>
          </cell>
          <cell r="J131">
            <v>5307342.4956666594</v>
          </cell>
          <cell r="K131">
            <v>5263267.673876035</v>
          </cell>
          <cell r="L131">
            <v>1861430.54</v>
          </cell>
          <cell r="M131">
            <v>1951983.5800000003</v>
          </cell>
        </row>
        <row r="132">
          <cell r="B132">
            <v>33001</v>
          </cell>
          <cell r="C132" t="str">
            <v>N.E. Regional School For Biotechnology</v>
          </cell>
          <cell r="D132">
            <v>887805.29702769546</v>
          </cell>
          <cell r="E132">
            <v>1004587.1765098961</v>
          </cell>
          <cell r="F132">
            <v>10066611.2788</v>
          </cell>
          <cell r="G132">
            <v>10192495.462984992</v>
          </cell>
          <cell r="H132">
            <v>49703.859999999993</v>
          </cell>
          <cell r="I132">
            <v>58315.909999999996</v>
          </cell>
          <cell r="J132">
            <v>141716.49315298448</v>
          </cell>
          <cell r="K132">
            <v>157241.20178083883</v>
          </cell>
          <cell r="L132">
            <v>49703.859999999993</v>
          </cell>
          <cell r="M132">
            <v>58315.909999999996</v>
          </cell>
        </row>
        <row r="133">
          <cell r="B133">
            <v>33027</v>
          </cell>
          <cell r="C133" t="str">
            <v>Cornerstone Academy</v>
          </cell>
          <cell r="D133">
            <v>2744367.2649301142</v>
          </cell>
          <cell r="E133">
            <v>3232112.4621281237</v>
          </cell>
          <cell r="F133">
            <v>38902117.024400003</v>
          </cell>
          <cell r="G133">
            <v>41259645.610580973</v>
          </cell>
          <cell r="H133">
            <v>153643.65000000002</v>
          </cell>
          <cell r="I133">
            <v>187622.91999999998</v>
          </cell>
          <cell r="J133">
            <v>438071.39472114539</v>
          </cell>
          <cell r="K133">
            <v>505900.59252149507</v>
          </cell>
          <cell r="L133">
            <v>153643.65000000002</v>
          </cell>
          <cell r="M133">
            <v>187622.91999999998</v>
          </cell>
        </row>
        <row r="134">
          <cell r="B134">
            <v>33100</v>
          </cell>
          <cell r="C134" t="str">
            <v>Duplin County Schools</v>
          </cell>
          <cell r="D134">
            <v>50284064.368227407</v>
          </cell>
          <cell r="E134">
            <v>50198177.746114552</v>
          </cell>
          <cell r="F134">
            <v>540831654.12982905</v>
          </cell>
          <cell r="G134">
            <v>504778101.75718284</v>
          </cell>
          <cell r="H134">
            <v>2815157.9</v>
          </cell>
          <cell r="I134">
            <v>2913985.45</v>
          </cell>
          <cell r="J134">
            <v>8026626.2068966115</v>
          </cell>
          <cell r="K134">
            <v>7857179.5266485345</v>
          </cell>
          <cell r="L134">
            <v>2815157.9</v>
          </cell>
          <cell r="M134">
            <v>2913985.45</v>
          </cell>
        </row>
        <row r="135">
          <cell r="B135">
            <v>33105</v>
          </cell>
          <cell r="C135" t="str">
            <v>James Sprunt Technical College</v>
          </cell>
          <cell r="D135">
            <v>5819356.8401507931</v>
          </cell>
          <cell r="E135">
            <v>6020197.7750148121</v>
          </cell>
          <cell r="F135">
            <v>60795810.004299961</v>
          </cell>
          <cell r="G135">
            <v>53670900.845476948</v>
          </cell>
          <cell r="H135">
            <v>325797.21999999991</v>
          </cell>
          <cell r="I135">
            <v>349470.23000000004</v>
          </cell>
          <cell r="J135">
            <v>928918.58896655857</v>
          </cell>
          <cell r="K135">
            <v>942300.63376917492</v>
          </cell>
          <cell r="L135">
            <v>325797.21999999991</v>
          </cell>
          <cell r="M135">
            <v>349470.23000000004</v>
          </cell>
        </row>
        <row r="136">
          <cell r="B136">
            <v>33200</v>
          </cell>
          <cell r="C136" t="str">
            <v>Durham Public Schools</v>
          </cell>
          <cell r="D136">
            <v>206090928.02835992</v>
          </cell>
          <cell r="E136">
            <v>209256767.56590196</v>
          </cell>
          <cell r="F136">
            <v>2360413438.8245788</v>
          </cell>
          <cell r="G136">
            <v>2233444743.7535615</v>
          </cell>
          <cell r="H136">
            <v>11538019.280000001</v>
          </cell>
          <cell r="I136">
            <v>12147277.119999997</v>
          </cell>
          <cell r="J136">
            <v>32897397.310654007</v>
          </cell>
          <cell r="K136">
            <v>32753539.34652973</v>
          </cell>
          <cell r="L136">
            <v>11538019.280000001</v>
          </cell>
          <cell r="M136">
            <v>12147277.119999997</v>
          </cell>
        </row>
        <row r="137">
          <cell r="B137">
            <v>33202</v>
          </cell>
          <cell r="C137" t="str">
            <v>Central Park School For Children</v>
          </cell>
          <cell r="D137">
            <v>2311338.4043005779</v>
          </cell>
          <cell r="E137">
            <v>2722323.9935597242</v>
          </cell>
          <cell r="F137">
            <v>28241064.610799994</v>
          </cell>
          <cell r="G137">
            <v>33124982.61022396</v>
          </cell>
          <cell r="H137">
            <v>129400.48999999999</v>
          </cell>
          <cell r="I137">
            <v>158029.89000000001</v>
          </cell>
          <cell r="J137">
            <v>368948.883549041</v>
          </cell>
          <cell r="K137">
            <v>426106.86896412604</v>
          </cell>
          <cell r="L137">
            <v>129400.48999999999</v>
          </cell>
          <cell r="M137">
            <v>158029.89000000001</v>
          </cell>
        </row>
        <row r="138">
          <cell r="B138">
            <v>33203</v>
          </cell>
          <cell r="C138" t="str">
            <v>Healthy Start Academy</v>
          </cell>
          <cell r="D138">
            <v>1415820.5181660494</v>
          </cell>
          <cell r="E138">
            <v>1582990.2127562717</v>
          </cell>
          <cell r="F138">
            <v>19541158.916000001</v>
          </cell>
          <cell r="G138">
            <v>19121235.259954982</v>
          </cell>
          <cell r="H138">
            <v>79264.840000000011</v>
          </cell>
          <cell r="I138">
            <v>91891.989999999991</v>
          </cell>
          <cell r="J138">
            <v>226001.26338542748</v>
          </cell>
          <cell r="K138">
            <v>247774.6971904035</v>
          </cell>
          <cell r="L138">
            <v>79264.840000000011</v>
          </cell>
          <cell r="M138">
            <v>91891.989999999991</v>
          </cell>
        </row>
        <row r="139">
          <cell r="B139">
            <v>33204</v>
          </cell>
          <cell r="C139" t="str">
            <v>Voyager Academy</v>
          </cell>
          <cell r="D139">
            <v>5076438.867789614</v>
          </cell>
          <cell r="E139">
            <v>5381784.8776733922</v>
          </cell>
          <cell r="F139">
            <v>68952111.42930001</v>
          </cell>
          <cell r="G139">
            <v>69043834.992967933</v>
          </cell>
          <cell r="H139">
            <v>284204.88999999996</v>
          </cell>
          <cell r="I139">
            <v>312410.59999999998</v>
          </cell>
          <cell r="J139">
            <v>810329.82846261247</v>
          </cell>
          <cell r="K139">
            <v>842374.20273597597</v>
          </cell>
          <cell r="L139">
            <v>284204.88999999996</v>
          </cell>
          <cell r="M139">
            <v>312410.59999999998</v>
          </cell>
        </row>
        <row r="140">
          <cell r="B140">
            <v>33205</v>
          </cell>
          <cell r="C140" t="str">
            <v>Durham Technical Institute</v>
          </cell>
          <cell r="D140">
            <v>18323399.654876031</v>
          </cell>
          <cell r="E140">
            <v>19445137.126165729</v>
          </cell>
          <cell r="F140">
            <v>190436540.39355904</v>
          </cell>
          <cell r="G140">
            <v>168660273.256717</v>
          </cell>
          <cell r="H140">
            <v>1025837.1900000001</v>
          </cell>
          <cell r="I140">
            <v>1128782.94</v>
          </cell>
          <cell r="J140">
            <v>2924884.4881003578</v>
          </cell>
          <cell r="K140">
            <v>3043615.1306788921</v>
          </cell>
          <cell r="L140">
            <v>1025837.1900000001</v>
          </cell>
          <cell r="M140">
            <v>1128782.94</v>
          </cell>
        </row>
        <row r="141">
          <cell r="B141">
            <v>33206</v>
          </cell>
          <cell r="C141" t="str">
            <v>Bear Grass Charter School</v>
          </cell>
          <cell r="D141">
            <v>1290150.2741229129</v>
          </cell>
          <cell r="E141">
            <v>1560793.3428338699</v>
          </cell>
          <cell r="F141">
            <v>15561724.852200005</v>
          </cell>
          <cell r="G141">
            <v>15787374.455390988</v>
          </cell>
          <cell r="H141">
            <v>72229.179999999993</v>
          </cell>
          <cell r="I141">
            <v>90603.470000000016</v>
          </cell>
          <cell r="J141">
            <v>205941.06962549154</v>
          </cell>
          <cell r="K141">
            <v>244300.37203079197</v>
          </cell>
          <cell r="L141">
            <v>72229.179999999993</v>
          </cell>
          <cell r="M141">
            <v>90603.470000000016</v>
          </cell>
        </row>
        <row r="142">
          <cell r="B142">
            <v>33207</v>
          </cell>
          <cell r="C142" t="str">
            <v>Invest Collegiate Charter (Buncombe)</v>
          </cell>
          <cell r="D142">
            <v>2460409.1641895673</v>
          </cell>
          <cell r="E142">
            <v>3117563.920740318</v>
          </cell>
          <cell r="F142">
            <v>31930114.221099988</v>
          </cell>
          <cell r="G142">
            <v>45271507.553263955</v>
          </cell>
          <cell r="H142">
            <v>137746.23000000001</v>
          </cell>
          <cell r="I142">
            <v>180973.41999999998</v>
          </cell>
          <cell r="J142">
            <v>392744.3997436905</v>
          </cell>
          <cell r="K142">
            <v>487971.08801334823</v>
          </cell>
          <cell r="L142">
            <v>137746.23000000001</v>
          </cell>
          <cell r="M142">
            <v>180973.41999999998</v>
          </cell>
        </row>
        <row r="143">
          <cell r="B143">
            <v>33208</v>
          </cell>
          <cell r="C143" t="str">
            <v>Kipp Halifax College Prep Charter</v>
          </cell>
          <cell r="D143">
            <v>503470.29346250289</v>
          </cell>
          <cell r="E143">
            <v>108589.67441262626</v>
          </cell>
          <cell r="F143">
            <v>5103787.2952999994</v>
          </cell>
          <cell r="G143">
            <v>4275285.6743969955</v>
          </cell>
          <cell r="H143">
            <v>28186.83</v>
          </cell>
          <cell r="I143">
            <v>6303.59</v>
          </cell>
          <cell r="J143">
            <v>80366.770321245436</v>
          </cell>
          <cell r="K143">
            <v>16996.803567562918</v>
          </cell>
          <cell r="L143">
            <v>28186.83</v>
          </cell>
          <cell r="M143">
            <v>6303.59</v>
          </cell>
        </row>
        <row r="144">
          <cell r="B144">
            <v>33209</v>
          </cell>
          <cell r="C144" t="str">
            <v>Pioneer Springs Community Charter</v>
          </cell>
          <cell r="D144">
            <v>805377.2800405724</v>
          </cell>
          <cell r="E144">
            <v>976251.59349274274</v>
          </cell>
          <cell r="F144">
            <v>11768698.4888</v>
          </cell>
          <cell r="G144">
            <v>11706423.65120499</v>
          </cell>
          <cell r="H144">
            <v>45089.120000000003</v>
          </cell>
          <cell r="I144">
            <v>56671.039999999994</v>
          </cell>
          <cell r="J144">
            <v>128558.86777715245</v>
          </cell>
          <cell r="K144">
            <v>152806.02559010033</v>
          </cell>
          <cell r="L144">
            <v>45089.120000000003</v>
          </cell>
          <cell r="M144">
            <v>56671.039999999994</v>
          </cell>
        </row>
        <row r="145">
          <cell r="B145">
            <v>33300</v>
          </cell>
          <cell r="C145" t="str">
            <v>Edgecombe County Schools</v>
          </cell>
          <cell r="D145">
            <v>30800289.347522162</v>
          </cell>
          <cell r="E145">
            <v>32647574.958123442</v>
          </cell>
          <cell r="F145">
            <v>340240809.52600038</v>
          </cell>
          <cell r="G145">
            <v>322746365.81789714</v>
          </cell>
          <cell r="H145">
            <v>1724356.99</v>
          </cell>
          <cell r="I145">
            <v>1895179.5200000003</v>
          </cell>
          <cell r="J145">
            <v>4916516.0526091121</v>
          </cell>
          <cell r="K145">
            <v>5110102.9773047073</v>
          </cell>
          <cell r="L145">
            <v>1724356.99</v>
          </cell>
          <cell r="M145">
            <v>1895179.5200000003</v>
          </cell>
        </row>
        <row r="146">
          <cell r="B146">
            <v>33305</v>
          </cell>
          <cell r="C146" t="str">
            <v>Edgecombe Technical College</v>
          </cell>
          <cell r="D146">
            <v>9890252.8145646062</v>
          </cell>
          <cell r="E146">
            <v>9585865.7015729751</v>
          </cell>
          <cell r="F146">
            <v>86758747.13913925</v>
          </cell>
          <cell r="G146">
            <v>77126323.471766964</v>
          </cell>
          <cell r="H146">
            <v>553706.70000000007</v>
          </cell>
          <cell r="I146">
            <v>556455.91999999993</v>
          </cell>
          <cell r="J146">
            <v>1578737.9845209538</v>
          </cell>
          <cell r="K146">
            <v>1500410.3957026873</v>
          </cell>
          <cell r="L146">
            <v>553706.70000000007</v>
          </cell>
          <cell r="M146">
            <v>556455.91999999993</v>
          </cell>
        </row>
        <row r="147">
          <cell r="B147">
            <v>33400</v>
          </cell>
          <cell r="C147" t="str">
            <v>Winston-Salem-Forsyth County Schools</v>
          </cell>
          <cell r="D147">
            <v>280678233.04733789</v>
          </cell>
          <cell r="E147">
            <v>291930084.01741481</v>
          </cell>
          <cell r="F147">
            <v>3025967618.994173</v>
          </cell>
          <cell r="G147">
            <v>2915868505.9297028</v>
          </cell>
          <cell r="H147">
            <v>15713796.310000002</v>
          </cell>
          <cell r="I147">
            <v>16946432.229999997</v>
          </cell>
          <cell r="J147">
            <v>44803443.981483698</v>
          </cell>
          <cell r="K147">
            <v>45693831.576026857</v>
          </cell>
          <cell r="L147">
            <v>15713796.310000002</v>
          </cell>
          <cell r="M147">
            <v>16946432.229999997</v>
          </cell>
        </row>
        <row r="148">
          <cell r="B148">
            <v>33402</v>
          </cell>
          <cell r="C148" t="str">
            <v>Arts Based Elementary Charter</v>
          </cell>
          <cell r="D148">
            <v>1848554.4788531268</v>
          </cell>
          <cell r="E148">
            <v>2090917.8596928637</v>
          </cell>
          <cell r="F148">
            <v>23937073.506199997</v>
          </cell>
          <cell r="G148">
            <v>23669586.921950992</v>
          </cell>
          <cell r="H148">
            <v>103491.48999999999</v>
          </cell>
          <cell r="I148">
            <v>121377</v>
          </cell>
          <cell r="J148">
            <v>295076.70096401288</v>
          </cell>
          <cell r="K148">
            <v>327277.15898719366</v>
          </cell>
          <cell r="L148">
            <v>103491.48999999999</v>
          </cell>
          <cell r="M148">
            <v>121377</v>
          </cell>
        </row>
        <row r="149">
          <cell r="B149">
            <v>33405</v>
          </cell>
          <cell r="C149" t="str">
            <v>Forsyth Technical Institute</v>
          </cell>
          <cell r="D149">
            <v>29990558.944224395</v>
          </cell>
          <cell r="E149">
            <v>30395564.071218222</v>
          </cell>
          <cell r="F149">
            <v>304144971.65534997</v>
          </cell>
          <cell r="G149">
            <v>260220059.54016963</v>
          </cell>
          <cell r="H149">
            <v>1679024.1600000001</v>
          </cell>
          <cell r="I149">
            <v>1764451.13</v>
          </cell>
          <cell r="J149">
            <v>4787262.3147243606</v>
          </cell>
          <cell r="K149">
            <v>4757611.0218422227</v>
          </cell>
          <cell r="L149">
            <v>1679024.1600000001</v>
          </cell>
          <cell r="M149">
            <v>1764451.13</v>
          </cell>
        </row>
        <row r="150">
          <cell r="B150">
            <v>33500</v>
          </cell>
          <cell r="C150" t="str">
            <v>Franklin County Schools</v>
          </cell>
          <cell r="D150">
            <v>45161915.652118869</v>
          </cell>
          <cell r="E150">
            <v>43536664.901750259</v>
          </cell>
          <cell r="F150">
            <v>505844242.20540476</v>
          </cell>
          <cell r="G150">
            <v>465280608.86116701</v>
          </cell>
          <cell r="H150">
            <v>2528393.9399999995</v>
          </cell>
          <cell r="I150">
            <v>2527287.12</v>
          </cell>
          <cell r="J150">
            <v>7208999.914414241</v>
          </cell>
          <cell r="K150">
            <v>6814498.2045900524</v>
          </cell>
          <cell r="L150">
            <v>2528393.9399999995</v>
          </cell>
          <cell r="M150">
            <v>2527287.12</v>
          </cell>
        </row>
        <row r="151">
          <cell r="B151">
            <v>33501</v>
          </cell>
          <cell r="C151" t="str">
            <v>A Childs Garden Charter (AKA Cross Creek Charter)</v>
          </cell>
          <cell r="D151">
            <v>876324.9190739789</v>
          </cell>
          <cell r="E151">
            <v>963909.3951375722</v>
          </cell>
          <cell r="F151">
            <v>10504364.202400001</v>
          </cell>
          <cell r="G151">
            <v>11280829.795048993</v>
          </cell>
          <cell r="H151">
            <v>49061.13</v>
          </cell>
          <cell r="I151">
            <v>55954.58</v>
          </cell>
          <cell r="J151">
            <v>139883.93041753059</v>
          </cell>
          <cell r="K151">
            <v>150874.18518106104</v>
          </cell>
          <cell r="L151">
            <v>49061.13</v>
          </cell>
          <cell r="M151">
            <v>55954.58</v>
          </cell>
        </row>
        <row r="152">
          <cell r="B152">
            <v>33600</v>
          </cell>
          <cell r="C152" t="str">
            <v>Gaston County Schools</v>
          </cell>
          <cell r="D152">
            <v>143891164.44974682</v>
          </cell>
          <cell r="E152">
            <v>150274442.4601185</v>
          </cell>
          <cell r="F152">
            <v>1603241985.7174375</v>
          </cell>
          <cell r="G152">
            <v>1559941536.8607745</v>
          </cell>
          <cell r="H152">
            <v>8055759.8799999999</v>
          </cell>
          <cell r="I152">
            <v>8723375.1999999993</v>
          </cell>
          <cell r="J152">
            <v>22968719.931935009</v>
          </cell>
          <cell r="K152">
            <v>23521436.946335319</v>
          </cell>
          <cell r="L152">
            <v>8055759.8799999999</v>
          </cell>
          <cell r="M152">
            <v>8723375.1999999993</v>
          </cell>
        </row>
        <row r="153">
          <cell r="B153">
            <v>33605</v>
          </cell>
          <cell r="C153" t="str">
            <v>Gaston College</v>
          </cell>
          <cell r="D153">
            <v>22843715.10374115</v>
          </cell>
          <cell r="E153">
            <v>23070239.371783033</v>
          </cell>
          <cell r="F153">
            <v>213443448.58930016</v>
          </cell>
          <cell r="G153">
            <v>190110180.63348976</v>
          </cell>
          <cell r="H153">
            <v>1278907.46</v>
          </cell>
          <cell r="I153">
            <v>1339218.77</v>
          </cell>
          <cell r="J153">
            <v>3646442.7571297437</v>
          </cell>
          <cell r="K153">
            <v>3611027.7425535643</v>
          </cell>
          <cell r="L153">
            <v>1278907.46</v>
          </cell>
          <cell r="M153">
            <v>1339218.77</v>
          </cell>
        </row>
        <row r="154">
          <cell r="B154">
            <v>33700</v>
          </cell>
          <cell r="C154" t="str">
            <v>Gates County Schools</v>
          </cell>
          <cell r="D154">
            <v>10392053.913622342</v>
          </cell>
          <cell r="E154">
            <v>10855670.090137418</v>
          </cell>
          <cell r="F154">
            <v>113746970.07750002</v>
          </cell>
          <cell r="G154">
            <v>105196586.12824695</v>
          </cell>
          <cell r="H154">
            <v>581800.07999999996</v>
          </cell>
          <cell r="I154">
            <v>630167.58999999985</v>
          </cell>
          <cell r="J154">
            <v>1658838.3086087445</v>
          </cell>
          <cell r="K154">
            <v>1699164.2447993162</v>
          </cell>
          <cell r="L154">
            <v>581800.07999999996</v>
          </cell>
          <cell r="M154">
            <v>630167.58999999985</v>
          </cell>
        </row>
        <row r="155">
          <cell r="B155">
            <v>33800</v>
          </cell>
          <cell r="C155" t="str">
            <v>Graham County Schools</v>
          </cell>
          <cell r="D155">
            <v>8002533.9800584391</v>
          </cell>
          <cell r="E155">
            <v>8204856.9792062007</v>
          </cell>
          <cell r="F155">
            <v>86004421.076900065</v>
          </cell>
          <cell r="G155">
            <v>82353330.23572892</v>
          </cell>
          <cell r="H155">
            <v>448022.58999999997</v>
          </cell>
          <cell r="I155">
            <v>476288.88</v>
          </cell>
          <cell r="J155">
            <v>1277409.648025674</v>
          </cell>
          <cell r="K155">
            <v>1284250.488178093</v>
          </cell>
          <cell r="L155">
            <v>448022.58999999997</v>
          </cell>
          <cell r="M155">
            <v>476288.88</v>
          </cell>
        </row>
        <row r="156">
          <cell r="B156">
            <v>33900</v>
          </cell>
          <cell r="C156" t="str">
            <v>Granville County Schools And Oxford Orphanage</v>
          </cell>
          <cell r="D156">
            <v>41465807.49657955</v>
          </cell>
          <cell r="E156">
            <v>42350134.262272827</v>
          </cell>
          <cell r="F156">
            <v>448699530.14413673</v>
          </cell>
          <cell r="G156">
            <v>413739515.22898686</v>
          </cell>
          <cell r="H156">
            <v>2321466.9900000002</v>
          </cell>
          <cell r="I156">
            <v>2458409.4600000004</v>
          </cell>
          <cell r="J156">
            <v>6619006.2661776086</v>
          </cell>
          <cell r="K156">
            <v>6628778.6293617496</v>
          </cell>
          <cell r="L156">
            <v>2321466.9900000002</v>
          </cell>
          <cell r="M156">
            <v>2458409.4600000004</v>
          </cell>
        </row>
        <row r="157">
          <cell r="B157">
            <v>34000</v>
          </cell>
          <cell r="C157" t="str">
            <v>Greene County Schools</v>
          </cell>
          <cell r="D157">
            <v>17178016.137605488</v>
          </cell>
          <cell r="E157">
            <v>17840327.995964393</v>
          </cell>
          <cell r="F157">
            <v>195735824.92934257</v>
          </cell>
          <cell r="G157">
            <v>187350601.19865555</v>
          </cell>
          <cell r="H157">
            <v>961712.79</v>
          </cell>
          <cell r="I157">
            <v>1035624.3699999999</v>
          </cell>
          <cell r="J157">
            <v>2742051.905408808</v>
          </cell>
          <cell r="K157">
            <v>2792425.266660918</v>
          </cell>
          <cell r="L157">
            <v>961712.79</v>
          </cell>
          <cell r="M157">
            <v>1035624.3699999999</v>
          </cell>
        </row>
        <row r="158">
          <cell r="B158">
            <v>34100</v>
          </cell>
          <cell r="C158" t="str">
            <v>Guilford County Schools</v>
          </cell>
          <cell r="D158">
            <v>386871141.28413934</v>
          </cell>
          <cell r="E158">
            <v>398819292.00846201</v>
          </cell>
          <cell r="F158">
            <v>4441086748.0954542</v>
          </cell>
          <cell r="G158">
            <v>4180586492.0614166</v>
          </cell>
          <cell r="H158">
            <v>21659015.900000002</v>
          </cell>
          <cell r="I158">
            <v>23151310.789999999</v>
          </cell>
          <cell r="J158">
            <v>61754555.450879119</v>
          </cell>
          <cell r="K158">
            <v>62424472.694009252</v>
          </cell>
          <cell r="L158">
            <v>21659015.900000002</v>
          </cell>
          <cell r="M158">
            <v>23151310.789999999</v>
          </cell>
        </row>
        <row r="159">
          <cell r="B159">
            <v>34105</v>
          </cell>
          <cell r="C159" t="str">
            <v>Guilford Technical Community College</v>
          </cell>
          <cell r="D159">
            <v>36311314.63348113</v>
          </cell>
          <cell r="E159">
            <v>38706318.028769024</v>
          </cell>
          <cell r="F159">
            <v>372585535.59367543</v>
          </cell>
          <cell r="G159">
            <v>331042129.71413642</v>
          </cell>
          <cell r="H159">
            <v>2032892.2400000002</v>
          </cell>
          <cell r="I159">
            <v>2246887.29</v>
          </cell>
          <cell r="J159">
            <v>5796217.0183707122</v>
          </cell>
          <cell r="K159">
            <v>6058436.8441766948</v>
          </cell>
          <cell r="L159">
            <v>2032892.2400000002</v>
          </cell>
          <cell r="M159">
            <v>2246887.29</v>
          </cell>
        </row>
        <row r="160">
          <cell r="B160">
            <v>34200</v>
          </cell>
          <cell r="C160" t="str">
            <v>Halifax County Schools</v>
          </cell>
          <cell r="D160">
            <v>15988799.343061125</v>
          </cell>
          <cell r="E160">
            <v>14882400.590040855</v>
          </cell>
          <cell r="F160">
            <v>170585589.21027422</v>
          </cell>
          <cell r="G160">
            <v>136988910.3581019</v>
          </cell>
          <cell r="H160">
            <v>895134.38</v>
          </cell>
          <cell r="I160">
            <v>863917.79</v>
          </cell>
          <cell r="J160">
            <v>2552222.4075609222</v>
          </cell>
          <cell r="K160">
            <v>2329440.9971386259</v>
          </cell>
          <cell r="L160">
            <v>895134.38</v>
          </cell>
          <cell r="M160">
            <v>863917.79</v>
          </cell>
        </row>
        <row r="161">
          <cell r="B161">
            <v>34205</v>
          </cell>
          <cell r="C161" t="str">
            <v>Halifax Community College</v>
          </cell>
          <cell r="D161">
            <v>7112787.451913463</v>
          </cell>
          <cell r="E161">
            <v>7305974.8762734719</v>
          </cell>
          <cell r="F161">
            <v>69599223.944643199</v>
          </cell>
          <cell r="G161">
            <v>59354323.899003968</v>
          </cell>
          <cell r="H161">
            <v>398210.05</v>
          </cell>
          <cell r="I161">
            <v>424109.11</v>
          </cell>
          <cell r="J161">
            <v>1135383.2846035422</v>
          </cell>
          <cell r="K161">
            <v>1143554.5830049119</v>
          </cell>
          <cell r="L161">
            <v>398210.05</v>
          </cell>
          <cell r="M161">
            <v>424109.11</v>
          </cell>
        </row>
        <row r="162">
          <cell r="B162">
            <v>34220</v>
          </cell>
          <cell r="C162" t="str">
            <v>Roanoke Rapids City Schools</v>
          </cell>
          <cell r="D162">
            <v>15646905.817647012</v>
          </cell>
          <cell r="E162">
            <v>16235554.18037466</v>
          </cell>
          <cell r="F162">
            <v>155206534.69359991</v>
          </cell>
          <cell r="G162">
            <v>154400988.96162388</v>
          </cell>
          <cell r="H162">
            <v>875993.44</v>
          </cell>
          <cell r="I162">
            <v>942467.85000000009</v>
          </cell>
          <cell r="J162">
            <v>2497647.4330528718</v>
          </cell>
          <cell r="K162">
            <v>2541240.9301990382</v>
          </cell>
          <cell r="L162">
            <v>875993.44</v>
          </cell>
          <cell r="M162">
            <v>942467.85000000009</v>
          </cell>
        </row>
        <row r="163">
          <cell r="B163">
            <v>34230</v>
          </cell>
          <cell r="C163" t="str">
            <v>Weldon City Schools</v>
          </cell>
          <cell r="D163">
            <v>6848388.1299125412</v>
          </cell>
          <cell r="E163">
            <v>6323248.1334105739</v>
          </cell>
          <cell r="F163">
            <v>73076508.394220456</v>
          </cell>
          <cell r="G163">
            <v>64704790.844051942</v>
          </cell>
          <cell r="H163">
            <v>383407.63</v>
          </cell>
          <cell r="I163">
            <v>367062.19</v>
          </cell>
          <cell r="J163">
            <v>1093178.3722973831</v>
          </cell>
          <cell r="K163">
            <v>989735.04630051402</v>
          </cell>
          <cell r="L163">
            <v>383407.63</v>
          </cell>
          <cell r="M163">
            <v>367062.19</v>
          </cell>
        </row>
        <row r="164">
          <cell r="B164">
            <v>34300</v>
          </cell>
          <cell r="C164" t="str">
            <v>Harnett County Schools</v>
          </cell>
          <cell r="D164">
            <v>91913607.24327606</v>
          </cell>
          <cell r="E164">
            <v>95882723.837403089</v>
          </cell>
          <cell r="F164">
            <v>1049072210.1307783</v>
          </cell>
          <cell r="G164">
            <v>1016262087.5973247</v>
          </cell>
          <cell r="H164">
            <v>5145791.63</v>
          </cell>
          <cell r="I164">
            <v>5565956.2700000005</v>
          </cell>
          <cell r="J164">
            <v>14671768.838468079</v>
          </cell>
          <cell r="K164">
            <v>15007870.973022547</v>
          </cell>
          <cell r="L164">
            <v>5145791.63</v>
          </cell>
          <cell r="M164">
            <v>5565956.2700000005</v>
          </cell>
        </row>
        <row r="165">
          <cell r="B165">
            <v>34400</v>
          </cell>
          <cell r="C165" t="str">
            <v>Haywood County Schools</v>
          </cell>
          <cell r="D165">
            <v>39313894.573284991</v>
          </cell>
          <cell r="E165">
            <v>38870981.449347503</v>
          </cell>
          <cell r="F165">
            <v>445321897.43584991</v>
          </cell>
          <cell r="G165">
            <v>406606608.03910601</v>
          </cell>
          <cell r="H165">
            <v>2200991.9500000002</v>
          </cell>
          <cell r="I165">
            <v>2256445.94</v>
          </cell>
          <cell r="J165">
            <v>6275505.7778600901</v>
          </cell>
          <cell r="K165">
            <v>6084210.4900548514</v>
          </cell>
          <cell r="L165">
            <v>2200991.9500000002</v>
          </cell>
          <cell r="M165">
            <v>2256445.94</v>
          </cell>
        </row>
        <row r="166">
          <cell r="B166">
            <v>34405</v>
          </cell>
          <cell r="C166" t="str">
            <v>Haywood Technical College</v>
          </cell>
          <cell r="D166">
            <v>8410829.2913651001</v>
          </cell>
          <cell r="E166">
            <v>8235194.4700351711</v>
          </cell>
          <cell r="F166">
            <v>93311472.113350034</v>
          </cell>
          <cell r="G166">
            <v>77137379.781757936</v>
          </cell>
          <cell r="H166">
            <v>470881.04</v>
          </cell>
          <cell r="I166">
            <v>478049.96</v>
          </cell>
          <cell r="J166">
            <v>1342584.0504345179</v>
          </cell>
          <cell r="K166">
            <v>1288999.009390095</v>
          </cell>
          <cell r="L166">
            <v>470881.04</v>
          </cell>
          <cell r="M166">
            <v>478049.96</v>
          </cell>
        </row>
        <row r="167">
          <cell r="B167">
            <v>34500</v>
          </cell>
          <cell r="C167" t="str">
            <v>Henderson County Schools</v>
          </cell>
          <cell r="D167">
            <v>68242639.035295248</v>
          </cell>
          <cell r="E167">
            <v>70291720.08204098</v>
          </cell>
          <cell r="F167">
            <v>765261550.13365066</v>
          </cell>
          <cell r="G167">
            <v>717772499.55105674</v>
          </cell>
          <cell r="H167">
            <v>3820570.3299999996</v>
          </cell>
          <cell r="I167">
            <v>4080408.07</v>
          </cell>
          <cell r="J167">
            <v>10893275.271013975</v>
          </cell>
          <cell r="K167">
            <v>11002285.117098117</v>
          </cell>
          <cell r="L167">
            <v>3820570.3299999996</v>
          </cell>
          <cell r="M167">
            <v>4080408.07</v>
          </cell>
        </row>
        <row r="168">
          <cell r="B168">
            <v>34501</v>
          </cell>
          <cell r="C168" t="str">
            <v>Mountain Community School</v>
          </cell>
          <cell r="D168">
            <v>781480.91789534793</v>
          </cell>
          <cell r="E168">
            <v>806386.4167585508</v>
          </cell>
          <cell r="F168">
            <v>8785160.5747999996</v>
          </cell>
          <cell r="G168">
            <v>8831287.6967719961</v>
          </cell>
          <cell r="H168">
            <v>43751.279999999992</v>
          </cell>
          <cell r="I168">
            <v>46810.430000000008</v>
          </cell>
          <cell r="J168">
            <v>124744.39555709167</v>
          </cell>
          <cell r="K168">
            <v>126218.18418126089</v>
          </cell>
          <cell r="L168">
            <v>43751.279999999992</v>
          </cell>
          <cell r="M168">
            <v>46810.430000000008</v>
          </cell>
        </row>
        <row r="169">
          <cell r="B169">
            <v>34505</v>
          </cell>
          <cell r="C169" t="str">
            <v>Blue Ridge Community College</v>
          </cell>
          <cell r="D169">
            <v>9830727.1450771708</v>
          </cell>
          <cell r="E169">
            <v>10358152.501635397</v>
          </cell>
          <cell r="F169">
            <v>94589426.762144983</v>
          </cell>
          <cell r="G169">
            <v>82253880.122821897</v>
          </cell>
          <cell r="H169">
            <v>550374.14999999991</v>
          </cell>
          <cell r="I169">
            <v>601286.88</v>
          </cell>
          <cell r="J169">
            <v>1569236.161136271</v>
          </cell>
          <cell r="K169">
            <v>1621291.1986840474</v>
          </cell>
          <cell r="L169">
            <v>550374.14999999991</v>
          </cell>
          <cell r="M169">
            <v>601286.88</v>
          </cell>
        </row>
        <row r="170">
          <cell r="B170">
            <v>34600</v>
          </cell>
          <cell r="C170" t="str">
            <v>Hertford County Schools</v>
          </cell>
          <cell r="D170">
            <v>17315255.890475314</v>
          </cell>
          <cell r="E170">
            <v>17892398.960104994</v>
          </cell>
          <cell r="F170">
            <v>180240834.44930002</v>
          </cell>
          <cell r="G170">
            <v>166533862.66571891</v>
          </cell>
          <cell r="H170">
            <v>969396.17</v>
          </cell>
          <cell r="I170">
            <v>1038647.07</v>
          </cell>
          <cell r="J170">
            <v>2763958.8894772842</v>
          </cell>
          <cell r="K170">
            <v>2800575.5807111138</v>
          </cell>
          <cell r="L170">
            <v>969396.17</v>
          </cell>
          <cell r="M170">
            <v>1038647.07</v>
          </cell>
        </row>
        <row r="171">
          <cell r="B171">
            <v>34605</v>
          </cell>
          <cell r="C171" t="str">
            <v>Roanoke-Chowan Community College</v>
          </cell>
          <cell r="D171">
            <v>4313480.3812891683</v>
          </cell>
          <cell r="E171">
            <v>3840075.3786826422</v>
          </cell>
          <cell r="F171">
            <v>42171665.991499998</v>
          </cell>
          <cell r="G171">
            <v>35567399.070505962</v>
          </cell>
          <cell r="H171">
            <v>241490.59</v>
          </cell>
          <cell r="I171">
            <v>222914.94</v>
          </cell>
          <cell r="J171">
            <v>688542.08796349389</v>
          </cell>
          <cell r="K171">
            <v>601060.89505425852</v>
          </cell>
          <cell r="L171">
            <v>241490.59</v>
          </cell>
          <cell r="M171">
            <v>222914.94</v>
          </cell>
        </row>
        <row r="172">
          <cell r="B172">
            <v>34700</v>
          </cell>
          <cell r="C172" t="str">
            <v>Hoke County Schools</v>
          </cell>
          <cell r="D172">
            <v>40785144.849018112</v>
          </cell>
          <cell r="E172">
            <v>42599714.853375763</v>
          </cell>
          <cell r="F172">
            <v>502347260.23419255</v>
          </cell>
          <cell r="G172">
            <v>468833784.37033761</v>
          </cell>
          <cell r="H172">
            <v>2283360.0299999998</v>
          </cell>
          <cell r="I172">
            <v>2472897.52</v>
          </cell>
          <cell r="J172">
            <v>6510355.0520481393</v>
          </cell>
          <cell r="K172">
            <v>6667843.7826942252</v>
          </cell>
          <cell r="L172">
            <v>2283360.0299999998</v>
          </cell>
          <cell r="M172">
            <v>2472897.52</v>
          </cell>
        </row>
        <row r="173">
          <cell r="B173">
            <v>34800</v>
          </cell>
          <cell r="C173" t="str">
            <v>Hyde County Schools</v>
          </cell>
          <cell r="D173">
            <v>5409229.4339260301</v>
          </cell>
          <cell r="E173">
            <v>5756147.8400734942</v>
          </cell>
          <cell r="F173">
            <v>51423047.80969999</v>
          </cell>
          <cell r="G173">
            <v>52054197.168440945</v>
          </cell>
          <cell r="H173">
            <v>302836.2</v>
          </cell>
          <cell r="I173">
            <v>334142.23</v>
          </cell>
          <cell r="J173">
            <v>863451.73722475173</v>
          </cell>
          <cell r="K173">
            <v>900970.69240503083</v>
          </cell>
          <cell r="L173">
            <v>302836.2</v>
          </cell>
          <cell r="M173">
            <v>334142.23</v>
          </cell>
        </row>
        <row r="174">
          <cell r="B174">
            <v>34900</v>
          </cell>
          <cell r="C174" t="str">
            <v>Iredell County Schools</v>
          </cell>
          <cell r="D174">
            <v>98527978.604496136</v>
          </cell>
          <cell r="E174">
            <v>102778537.07109629</v>
          </cell>
          <cell r="F174">
            <v>1094443212.7282977</v>
          </cell>
          <cell r="G174">
            <v>1037451535.1020757</v>
          </cell>
          <cell r="H174">
            <v>5516097.8100000005</v>
          </cell>
          <cell r="I174">
            <v>5966255.6500000004</v>
          </cell>
          <cell r="J174">
            <v>15727592.133127244</v>
          </cell>
          <cell r="K174">
            <v>16087225.742301198</v>
          </cell>
          <cell r="L174">
            <v>5516097.8100000005</v>
          </cell>
          <cell r="M174">
            <v>5966255.6500000004</v>
          </cell>
        </row>
        <row r="175">
          <cell r="B175">
            <v>34901</v>
          </cell>
          <cell r="C175" t="str">
            <v>American Renaissance Middle School</v>
          </cell>
          <cell r="D175">
            <v>2189675.1199237984</v>
          </cell>
          <cell r="E175">
            <v>2198106.8360228906</v>
          </cell>
          <cell r="F175">
            <v>27909201.869599998</v>
          </cell>
          <cell r="G175">
            <v>27170831.981139988</v>
          </cell>
          <cell r="H175">
            <v>122589.16000000002</v>
          </cell>
          <cell r="I175">
            <v>127599.28</v>
          </cell>
          <cell r="J175">
            <v>349528.30331024836</v>
          </cell>
          <cell r="K175">
            <v>344054.72080551868</v>
          </cell>
          <cell r="L175">
            <v>122589.16000000002</v>
          </cell>
          <cell r="M175">
            <v>127599.28</v>
          </cell>
        </row>
        <row r="176">
          <cell r="B176">
            <v>34903</v>
          </cell>
          <cell r="C176" t="str">
            <v>Success Institute</v>
          </cell>
          <cell r="D176">
            <v>271637.85632442177</v>
          </cell>
          <cell r="E176">
            <v>258730.86536851994</v>
          </cell>
          <cell r="F176">
            <v>1750220.3961999998</v>
          </cell>
          <cell r="G176">
            <v>1641420.484460999</v>
          </cell>
          <cell r="H176">
            <v>15207.669999999998</v>
          </cell>
          <cell r="I176">
            <v>15019.23</v>
          </cell>
          <cell r="J176">
            <v>43360.368016243556</v>
          </cell>
          <cell r="K176">
            <v>40497.383561755756</v>
          </cell>
          <cell r="L176">
            <v>15207.669999999998</v>
          </cell>
          <cell r="M176">
            <v>15019.23</v>
          </cell>
        </row>
        <row r="177">
          <cell r="B177">
            <v>34905</v>
          </cell>
          <cell r="C177" t="str">
            <v>Mitchell Community College</v>
          </cell>
          <cell r="D177">
            <v>10267906.753655123</v>
          </cell>
          <cell r="E177">
            <v>10445294.148157973</v>
          </cell>
          <cell r="F177">
            <v>110145218.94029997</v>
          </cell>
          <cell r="G177">
            <v>92800925.512430921</v>
          </cell>
          <cell r="H177">
            <v>574849.68999999994</v>
          </cell>
          <cell r="I177">
            <v>606345.42000000004</v>
          </cell>
          <cell r="J177">
            <v>1639021.2381267825</v>
          </cell>
          <cell r="K177">
            <v>1634930.8882448629</v>
          </cell>
          <cell r="L177">
            <v>574849.68999999994</v>
          </cell>
          <cell r="M177">
            <v>606345.42000000004</v>
          </cell>
        </row>
        <row r="178">
          <cell r="B178">
            <v>34910</v>
          </cell>
          <cell r="C178" t="str">
            <v>Mooresville City Schools</v>
          </cell>
          <cell r="D178">
            <v>29719310.834522892</v>
          </cell>
          <cell r="E178">
            <v>30290775.454878721</v>
          </cell>
          <cell r="F178">
            <v>344826539.49079365</v>
          </cell>
          <cell r="G178">
            <v>323937999.8414619</v>
          </cell>
          <cell r="H178">
            <v>1663838.31</v>
          </cell>
          <cell r="I178">
            <v>1758368.1900000002</v>
          </cell>
          <cell r="J178">
            <v>4743964.1602641791</v>
          </cell>
          <cell r="K178">
            <v>4741209.1720561069</v>
          </cell>
          <cell r="L178">
            <v>1663838.31</v>
          </cell>
          <cell r="M178">
            <v>1758368.1900000002</v>
          </cell>
        </row>
        <row r="179">
          <cell r="B179">
            <v>35000</v>
          </cell>
          <cell r="C179" t="str">
            <v>Jackson County Schools</v>
          </cell>
          <cell r="D179">
            <v>20065766.398119513</v>
          </cell>
          <cell r="E179">
            <v>20534071.960488115</v>
          </cell>
          <cell r="F179">
            <v>221604541.90329152</v>
          </cell>
          <cell r="G179">
            <v>213002175.664763</v>
          </cell>
          <cell r="H179">
            <v>1123383.75</v>
          </cell>
          <cell r="I179">
            <v>1191995.1999999997</v>
          </cell>
          <cell r="J179">
            <v>3203010.9032789213</v>
          </cell>
          <cell r="K179">
            <v>3214058.6979606645</v>
          </cell>
          <cell r="L179">
            <v>1123383.75</v>
          </cell>
          <cell r="M179">
            <v>1191995.1999999997</v>
          </cell>
        </row>
        <row r="180">
          <cell r="B180">
            <v>35005</v>
          </cell>
          <cell r="C180" t="str">
            <v>Southwestern Community College</v>
          </cell>
          <cell r="D180">
            <v>9769601.2281127684</v>
          </cell>
          <cell r="E180">
            <v>10345221.841264462</v>
          </cell>
          <cell r="F180">
            <v>104446843.56925759</v>
          </cell>
          <cell r="G180">
            <v>91529287.984214887</v>
          </cell>
          <cell r="H180">
            <v>546952.01</v>
          </cell>
          <cell r="I180">
            <v>600536.25999999978</v>
          </cell>
          <cell r="J180">
            <v>1559478.8972159529</v>
          </cell>
          <cell r="K180">
            <v>1619267.2503159132</v>
          </cell>
          <cell r="L180">
            <v>546952.01</v>
          </cell>
          <cell r="M180">
            <v>600536.25999999978</v>
          </cell>
        </row>
        <row r="181">
          <cell r="B181">
            <v>35100</v>
          </cell>
          <cell r="C181" t="str">
            <v>Johnston County Schools</v>
          </cell>
          <cell r="D181">
            <v>165748346.54271418</v>
          </cell>
          <cell r="E181">
            <v>174889575.33072755</v>
          </cell>
          <cell r="F181">
            <v>1943610128.088058</v>
          </cell>
          <cell r="G181">
            <v>1890946604.6339495</v>
          </cell>
          <cell r="H181">
            <v>9279436.1999999993</v>
          </cell>
          <cell r="I181">
            <v>10152274.459999999</v>
          </cell>
          <cell r="J181">
            <v>26457686.720927838</v>
          </cell>
          <cell r="K181">
            <v>27374276.366420701</v>
          </cell>
          <cell r="L181">
            <v>9279436.1999999993</v>
          </cell>
          <cell r="M181">
            <v>10152274.459999999</v>
          </cell>
        </row>
        <row r="182">
          <cell r="B182">
            <v>35105</v>
          </cell>
          <cell r="C182" t="str">
            <v>Johnston Technical College</v>
          </cell>
          <cell r="D182">
            <v>15850759.555762302</v>
          </cell>
          <cell r="E182">
            <v>16106687.717312368</v>
          </cell>
          <cell r="F182">
            <v>180913688.44229022</v>
          </cell>
          <cell r="G182">
            <v>154544427.18122873</v>
          </cell>
          <cell r="H182">
            <v>887406.2100000002</v>
          </cell>
          <cell r="I182">
            <v>934987.2</v>
          </cell>
          <cell r="J182">
            <v>2530187.7174807135</v>
          </cell>
          <cell r="K182">
            <v>2521070.3387412033</v>
          </cell>
          <cell r="L182">
            <v>887406.2100000002</v>
          </cell>
          <cell r="M182">
            <v>934987.2</v>
          </cell>
        </row>
        <row r="183">
          <cell r="B183">
            <v>35106</v>
          </cell>
          <cell r="C183" t="str">
            <v>Neuse Charter School</v>
          </cell>
          <cell r="D183">
            <v>3428282.5641887882</v>
          </cell>
          <cell r="E183">
            <v>3453320.4329383308</v>
          </cell>
          <cell r="F183">
            <v>45347219.3248</v>
          </cell>
          <cell r="G183">
            <v>42331904.881857961</v>
          </cell>
          <cell r="H183">
            <v>191932.71</v>
          </cell>
          <cell r="I183">
            <v>200463.96</v>
          </cell>
          <cell r="J183">
            <v>547241.81547567446</v>
          </cell>
          <cell r="K183">
            <v>540524.77247025736</v>
          </cell>
          <cell r="L183">
            <v>191932.71</v>
          </cell>
          <cell r="M183">
            <v>200463.96</v>
          </cell>
        </row>
        <row r="184">
          <cell r="B184">
            <v>35200</v>
          </cell>
          <cell r="C184" t="str">
            <v>Jones County Schools</v>
          </cell>
          <cell r="D184">
            <v>8513982.1118189003</v>
          </cell>
          <cell r="E184">
            <v>8566208.4882946834</v>
          </cell>
          <cell r="F184">
            <v>83553045.66460003</v>
          </cell>
          <cell r="G184">
            <v>78892792.468054891</v>
          </cell>
          <cell r="H184">
            <v>476656.06</v>
          </cell>
          <cell r="I184">
            <v>497265.20000000007</v>
          </cell>
          <cell r="J184">
            <v>1359049.8859307619</v>
          </cell>
          <cell r="K184">
            <v>1340810.3835092206</v>
          </cell>
          <cell r="L184">
            <v>476656.06</v>
          </cell>
          <cell r="M184">
            <v>497265.20000000007</v>
          </cell>
        </row>
        <row r="185">
          <cell r="B185">
            <v>35300</v>
          </cell>
          <cell r="C185" t="str">
            <v>Sanford-Lee County Board Of Education</v>
          </cell>
          <cell r="D185">
            <v>50538182.3815137</v>
          </cell>
          <cell r="E185">
            <v>53643614.579612203</v>
          </cell>
          <cell r="F185">
            <v>569720738.94249952</v>
          </cell>
          <cell r="G185">
            <v>571647140.85809219</v>
          </cell>
          <cell r="H185">
            <v>2829384.72</v>
          </cell>
          <cell r="I185">
            <v>3113991.7699999996</v>
          </cell>
          <cell r="J185">
            <v>8067189.9586679786</v>
          </cell>
          <cell r="K185">
            <v>8396470.3328892812</v>
          </cell>
          <cell r="L185">
            <v>2829384.72</v>
          </cell>
          <cell r="M185">
            <v>3113991.7699999996</v>
          </cell>
        </row>
        <row r="186">
          <cell r="B186">
            <v>35305</v>
          </cell>
          <cell r="C186" t="str">
            <v>Central Carolina Community College</v>
          </cell>
          <cell r="D186">
            <v>20036106.00136308</v>
          </cell>
          <cell r="E186">
            <v>20747672.474893741</v>
          </cell>
          <cell r="F186">
            <v>214516259.31055698</v>
          </cell>
          <cell r="G186">
            <v>190873140.15153968</v>
          </cell>
          <cell r="H186">
            <v>1121723.2100000002</v>
          </cell>
          <cell r="I186">
            <v>1204394.6299999999</v>
          </cell>
          <cell r="J186">
            <v>3198276.3433163706</v>
          </cell>
          <cell r="K186">
            <v>3247492.1344721997</v>
          </cell>
          <cell r="L186">
            <v>1121723.2100000002</v>
          </cell>
          <cell r="M186">
            <v>1204394.6299999999</v>
          </cell>
        </row>
        <row r="187">
          <cell r="B187">
            <v>35400</v>
          </cell>
          <cell r="C187" t="str">
            <v>Lenoir County Schools</v>
          </cell>
          <cell r="D187">
            <v>43183798.821562916</v>
          </cell>
          <cell r="E187">
            <v>43253653.43210844</v>
          </cell>
          <cell r="F187">
            <v>455841642.2640931</v>
          </cell>
          <cell r="G187">
            <v>422578904.81589472</v>
          </cell>
          <cell r="H187">
            <v>2417648.89</v>
          </cell>
          <cell r="I187">
            <v>2510858.41</v>
          </cell>
          <cell r="J187">
            <v>6893241.7394947913</v>
          </cell>
          <cell r="K187">
            <v>6770200.3430954982</v>
          </cell>
          <cell r="L187">
            <v>2417648.89</v>
          </cell>
          <cell r="M187">
            <v>2510858.41</v>
          </cell>
        </row>
        <row r="188">
          <cell r="B188">
            <v>35401</v>
          </cell>
          <cell r="C188" t="str">
            <v>Childrens Village Academy</v>
          </cell>
          <cell r="D188">
            <v>405443.30199035472</v>
          </cell>
          <cell r="E188">
            <v>453383.79865188757</v>
          </cell>
          <cell r="F188">
            <v>4197896.2397000007</v>
          </cell>
          <cell r="G188">
            <v>5196206.7556549935</v>
          </cell>
          <cell r="H188">
            <v>22698.78</v>
          </cell>
          <cell r="I188">
            <v>26318.760000000006</v>
          </cell>
          <cell r="J188">
            <v>64719.148582244947</v>
          </cell>
          <cell r="K188">
            <v>70965.084001629584</v>
          </cell>
          <cell r="L188">
            <v>22698.78</v>
          </cell>
          <cell r="M188">
            <v>26318.760000000006</v>
          </cell>
        </row>
        <row r="189">
          <cell r="B189">
            <v>35405</v>
          </cell>
          <cell r="C189" t="str">
            <v>Lenoir County Community College</v>
          </cell>
          <cell r="D189">
            <v>14582088.035837205</v>
          </cell>
          <cell r="E189">
            <v>14517997.037178002</v>
          </cell>
          <cell r="F189">
            <v>158082423.65269998</v>
          </cell>
          <cell r="G189">
            <v>137219571.82894385</v>
          </cell>
          <cell r="H189">
            <v>816379.52</v>
          </cell>
          <cell r="I189">
            <v>842764.3</v>
          </cell>
          <cell r="J189">
            <v>2327675.2078473736</v>
          </cell>
          <cell r="K189">
            <v>2272403.386142605</v>
          </cell>
          <cell r="L189">
            <v>816379.52</v>
          </cell>
          <cell r="M189">
            <v>842764.3</v>
          </cell>
        </row>
        <row r="190">
          <cell r="B190">
            <v>35500</v>
          </cell>
          <cell r="C190" t="str">
            <v>Lincoln County Schools</v>
          </cell>
          <cell r="D190">
            <v>56763614.120382003</v>
          </cell>
          <cell r="E190">
            <v>56561595.647289574</v>
          </cell>
          <cell r="F190">
            <v>649863438.98545659</v>
          </cell>
          <cell r="G190">
            <v>590158266.41746807</v>
          </cell>
          <cell r="H190">
            <v>3177916.0800000005</v>
          </cell>
          <cell r="I190">
            <v>3283379.48</v>
          </cell>
          <cell r="J190">
            <v>9060928.5152517222</v>
          </cell>
          <cell r="K190">
            <v>8853202.0736321472</v>
          </cell>
          <cell r="L190">
            <v>3177916.0800000005</v>
          </cell>
          <cell r="M190">
            <v>3283379.48</v>
          </cell>
        </row>
        <row r="191">
          <cell r="B191">
            <v>35600</v>
          </cell>
          <cell r="C191" t="str">
            <v>Macon County Schools</v>
          </cell>
          <cell r="D191">
            <v>23311605.56732</v>
          </cell>
          <cell r="E191">
            <v>24400800.224011701</v>
          </cell>
          <cell r="F191">
            <v>249039963.56705093</v>
          </cell>
          <cell r="G191">
            <v>243649196.03827375</v>
          </cell>
          <cell r="H191">
            <v>1305102.3500000003</v>
          </cell>
          <cell r="I191">
            <v>1416457.33</v>
          </cell>
          <cell r="J191">
            <v>3721130.0741576012</v>
          </cell>
          <cell r="K191">
            <v>3819291.3878987436</v>
          </cell>
          <cell r="L191">
            <v>1305102.3500000003</v>
          </cell>
          <cell r="M191">
            <v>1416457.33</v>
          </cell>
        </row>
        <row r="192">
          <cell r="B192">
            <v>35700</v>
          </cell>
          <cell r="C192" t="str">
            <v>Madison County Schools</v>
          </cell>
          <cell r="D192">
            <v>13229971.799668498</v>
          </cell>
          <cell r="E192">
            <v>13481828.434178768</v>
          </cell>
          <cell r="F192">
            <v>140294928.03499994</v>
          </cell>
          <cell r="G192">
            <v>136256598.37553191</v>
          </cell>
          <cell r="H192">
            <v>740681.17</v>
          </cell>
          <cell r="I192">
            <v>782615.1</v>
          </cell>
          <cell r="J192">
            <v>2111842.7815636364</v>
          </cell>
          <cell r="K192">
            <v>2110218.9583568424</v>
          </cell>
          <cell r="L192">
            <v>740681.17</v>
          </cell>
          <cell r="M192">
            <v>782615.1</v>
          </cell>
        </row>
        <row r="193">
          <cell r="B193">
            <v>35800</v>
          </cell>
          <cell r="C193" t="str">
            <v>Martin County Schools</v>
          </cell>
          <cell r="D193">
            <v>20232181.597204428</v>
          </cell>
          <cell r="E193">
            <v>20438965.749317795</v>
          </cell>
          <cell r="F193">
            <v>202087906.11369976</v>
          </cell>
          <cell r="G193">
            <v>188044308.86788371</v>
          </cell>
          <cell r="H193">
            <v>1132700.52</v>
          </cell>
          <cell r="I193">
            <v>1186474.3200000003</v>
          </cell>
          <cell r="J193">
            <v>3229575.0367670036</v>
          </cell>
          <cell r="K193">
            <v>3199172.3692368618</v>
          </cell>
          <cell r="L193">
            <v>1132700.52</v>
          </cell>
          <cell r="M193">
            <v>1186474.3200000003</v>
          </cell>
        </row>
        <row r="194">
          <cell r="B194">
            <v>35805</v>
          </cell>
          <cell r="C194" t="str">
            <v>Martin Community College</v>
          </cell>
          <cell r="D194">
            <v>3757414.2990585133</v>
          </cell>
          <cell r="E194">
            <v>3990961.4495437327</v>
          </cell>
          <cell r="F194">
            <v>31612496.356900003</v>
          </cell>
          <cell r="G194">
            <v>29906666.280874971</v>
          </cell>
          <cell r="H194">
            <v>210359.18</v>
          </cell>
          <cell r="I194">
            <v>231673.81999999998</v>
          </cell>
          <cell r="J194">
            <v>599779.6809370023</v>
          </cell>
          <cell r="K194">
            <v>624678.06603648537</v>
          </cell>
          <cell r="L194">
            <v>210359.18</v>
          </cell>
          <cell r="M194">
            <v>231673.81999999998</v>
          </cell>
        </row>
        <row r="195">
          <cell r="B195">
            <v>35900</v>
          </cell>
          <cell r="C195" t="str">
            <v>Mcdowell County Schools</v>
          </cell>
          <cell r="D195">
            <v>33925600.534607679</v>
          </cell>
          <cell r="E195">
            <v>34722083.409803011</v>
          </cell>
          <cell r="F195">
            <v>379024722.38289273</v>
          </cell>
          <cell r="G195">
            <v>350516559.86150628</v>
          </cell>
          <cell r="H195">
            <v>1899327.8199999998</v>
          </cell>
          <cell r="I195">
            <v>2015603.96</v>
          </cell>
          <cell r="J195">
            <v>5415395.8666047864</v>
          </cell>
          <cell r="K195">
            <v>5434811.6832030546</v>
          </cell>
          <cell r="L195">
            <v>1899327.8199999998</v>
          </cell>
          <cell r="M195">
            <v>2015603.96</v>
          </cell>
        </row>
        <row r="196">
          <cell r="B196">
            <v>35905</v>
          </cell>
          <cell r="C196" t="str">
            <v>Mcdowell Technical College</v>
          </cell>
          <cell r="D196">
            <v>5838378.6902247462</v>
          </cell>
          <cell r="E196">
            <v>5924413.5233017299</v>
          </cell>
          <cell r="F196">
            <v>49838384.816099986</v>
          </cell>
          <cell r="G196">
            <v>45489075.83816696</v>
          </cell>
          <cell r="H196">
            <v>326862.16000000003</v>
          </cell>
          <cell r="I196">
            <v>343909.99</v>
          </cell>
          <cell r="J196">
            <v>931954.96405328927</v>
          </cell>
          <cell r="K196">
            <v>927308.17596838099</v>
          </cell>
          <cell r="L196">
            <v>326862.16000000003</v>
          </cell>
          <cell r="M196">
            <v>343909.99</v>
          </cell>
        </row>
        <row r="197">
          <cell r="B197">
            <v>36000</v>
          </cell>
          <cell r="C197" t="str">
            <v>Charlotte-Mecklenburg County Schools</v>
          </cell>
          <cell r="D197">
            <v>742429738.44566464</v>
          </cell>
          <cell r="E197">
            <v>785361856.53993309</v>
          </cell>
          <cell r="F197">
            <v>8895219968.9437866</v>
          </cell>
          <cell r="G197">
            <v>8568380147.2659979</v>
          </cell>
          <cell r="H197">
            <v>41564996.18</v>
          </cell>
          <cell r="I197">
            <v>45589962.139999993</v>
          </cell>
          <cell r="J197">
            <v>118510825.85028198</v>
          </cell>
          <cell r="K197">
            <v>122927352.69048433</v>
          </cell>
          <cell r="L197">
            <v>41564996.18</v>
          </cell>
          <cell r="M197">
            <v>45589962.139999993</v>
          </cell>
        </row>
        <row r="198">
          <cell r="B198">
            <v>36001</v>
          </cell>
          <cell r="C198" t="str">
            <v>Community Charter School</v>
          </cell>
          <cell r="D198">
            <v>370510.43006646389</v>
          </cell>
          <cell r="E198">
            <v>445944.12971901253</v>
          </cell>
          <cell r="F198">
            <v>4542279.4012000002</v>
          </cell>
          <cell r="G198">
            <v>4639917.4301989982</v>
          </cell>
          <cell r="H198">
            <v>20743.060000000001</v>
          </cell>
          <cell r="I198">
            <v>25886.89</v>
          </cell>
          <cell r="J198">
            <v>59142.966370457885</v>
          </cell>
          <cell r="K198">
            <v>69800.603196767042</v>
          </cell>
          <cell r="L198">
            <v>20743.060000000001</v>
          </cell>
          <cell r="M198">
            <v>25886.89</v>
          </cell>
        </row>
        <row r="199">
          <cell r="B199">
            <v>36002</v>
          </cell>
          <cell r="C199" t="str">
            <v>Kennedy Charter</v>
          </cell>
          <cell r="D199">
            <v>1792059.0804279558</v>
          </cell>
          <cell r="E199">
            <v>0</v>
          </cell>
          <cell r="F199">
            <v>24992530.963199999</v>
          </cell>
          <cell r="G199">
            <v>3434255.7855419964</v>
          </cell>
          <cell r="H199">
            <v>100328.58999999998</v>
          </cell>
          <cell r="I199">
            <v>0</v>
          </cell>
          <cell r="J199">
            <v>286058.58655210253</v>
          </cell>
          <cell r="K199">
            <v>0</v>
          </cell>
          <cell r="L199">
            <v>100328.58999999998</v>
          </cell>
          <cell r="M199">
            <v>0</v>
          </cell>
        </row>
        <row r="200">
          <cell r="B200">
            <v>36003</v>
          </cell>
          <cell r="C200" t="str">
            <v>Community School Of Davidson</v>
          </cell>
          <cell r="D200">
            <v>4994809.0990416463</v>
          </cell>
          <cell r="E200">
            <v>5141126.1355922045</v>
          </cell>
          <cell r="F200">
            <v>66010446.137750059</v>
          </cell>
          <cell r="G200">
            <v>62611596.121254951</v>
          </cell>
          <cell r="H200">
            <v>279634.84000000003</v>
          </cell>
          <cell r="I200">
            <v>298440.45</v>
          </cell>
          <cell r="J200">
            <v>797299.62397680827</v>
          </cell>
          <cell r="K200">
            <v>804705.52578214672</v>
          </cell>
          <cell r="L200">
            <v>279634.84000000003</v>
          </cell>
          <cell r="M200">
            <v>298440.45</v>
          </cell>
        </row>
        <row r="201">
          <cell r="B201">
            <v>36004</v>
          </cell>
          <cell r="C201" t="str">
            <v>Corvian Community School</v>
          </cell>
          <cell r="D201">
            <v>2341626.4681665218</v>
          </cell>
          <cell r="E201">
            <v>2717027.1463522767</v>
          </cell>
          <cell r="F201">
            <v>33599579.738799989</v>
          </cell>
          <cell r="G201">
            <v>34219615.523080952</v>
          </cell>
          <cell r="H201">
            <v>131096.16999999998</v>
          </cell>
          <cell r="I201">
            <v>157722.41</v>
          </cell>
          <cell r="J201">
            <v>373783.63527877897</v>
          </cell>
          <cell r="K201">
            <v>425277.7894775233</v>
          </cell>
          <cell r="L201">
            <v>131096.16999999998</v>
          </cell>
          <cell r="M201">
            <v>157722.41</v>
          </cell>
        </row>
        <row r="202">
          <cell r="B202">
            <v>36005</v>
          </cell>
          <cell r="C202" t="str">
            <v>Central Piedmont Community College</v>
          </cell>
          <cell r="D202">
            <v>71464369.821616605</v>
          </cell>
          <cell r="E202">
            <v>73226521.929890186</v>
          </cell>
          <cell r="F202">
            <v>756899607.51857007</v>
          </cell>
          <cell r="G202">
            <v>652226187.49644303</v>
          </cell>
          <cell r="H202">
            <v>4000939.22</v>
          </cell>
          <cell r="I202">
            <v>4250772.22</v>
          </cell>
          <cell r="J202">
            <v>11407546.125726195</v>
          </cell>
          <cell r="K202">
            <v>11461649.700217389</v>
          </cell>
          <cell r="L202">
            <v>4000939.22</v>
          </cell>
          <cell r="M202">
            <v>4250772.22</v>
          </cell>
        </row>
        <row r="203">
          <cell r="B203">
            <v>36006</v>
          </cell>
          <cell r="C203" t="str">
            <v>Lake Norman Charter School</v>
          </cell>
          <cell r="D203">
            <v>6285158.7119506169</v>
          </cell>
          <cell r="E203">
            <v>6678352.4015735276</v>
          </cell>
          <cell r="F203">
            <v>82296269.40169999</v>
          </cell>
          <cell r="G203">
            <v>81602574.01808995</v>
          </cell>
          <cell r="H203">
            <v>351875.18</v>
          </cell>
          <cell r="I203">
            <v>387675.86</v>
          </cell>
          <cell r="J203">
            <v>1003272.5131845934</v>
          </cell>
          <cell r="K203">
            <v>1045317.103476911</v>
          </cell>
          <cell r="L203">
            <v>351875.18</v>
          </cell>
          <cell r="M203">
            <v>387675.86</v>
          </cell>
        </row>
        <row r="204">
          <cell r="B204">
            <v>36007</v>
          </cell>
          <cell r="C204" t="str">
            <v>Socrates Academy</v>
          </cell>
          <cell r="D204">
            <v>2222535.118539257</v>
          </cell>
          <cell r="E204">
            <v>2454038.7169557852</v>
          </cell>
          <cell r="F204">
            <v>27996668.607399989</v>
          </cell>
          <cell r="G204">
            <v>26977627.972693969</v>
          </cell>
          <cell r="H204">
            <v>124428.83</v>
          </cell>
          <cell r="I204">
            <v>142456.03</v>
          </cell>
          <cell r="J204">
            <v>354773.60178321908</v>
          </cell>
          <cell r="K204">
            <v>384113.99836043426</v>
          </cell>
          <cell r="L204">
            <v>124428.83</v>
          </cell>
          <cell r="M204">
            <v>142456.03</v>
          </cell>
        </row>
        <row r="205">
          <cell r="B205">
            <v>36008</v>
          </cell>
          <cell r="C205" t="str">
            <v>Pine Lake Prep Charter</v>
          </cell>
          <cell r="D205">
            <v>6014817.0935925273</v>
          </cell>
          <cell r="E205">
            <v>6901918.5271067331</v>
          </cell>
          <cell r="F205">
            <v>87251733.359599978</v>
          </cell>
          <cell r="G205">
            <v>90249012.157932907</v>
          </cell>
          <cell r="H205">
            <v>336740.07999999996</v>
          </cell>
          <cell r="I205">
            <v>400653.79</v>
          </cell>
          <cell r="J205">
            <v>960119.05798977066</v>
          </cell>
          <cell r="K205">
            <v>1080310.3893542574</v>
          </cell>
          <cell r="L205">
            <v>336740.07999999996</v>
          </cell>
          <cell r="M205">
            <v>400653.79</v>
          </cell>
        </row>
        <row r="206">
          <cell r="B206">
            <v>36009</v>
          </cell>
          <cell r="C206" t="str">
            <v>Charlotte Secondary Charter</v>
          </cell>
          <cell r="D206">
            <v>1966176.6873376211</v>
          </cell>
          <cell r="E206">
            <v>1701731.373739982</v>
          </cell>
          <cell r="F206">
            <v>27122899.102750003</v>
          </cell>
          <cell r="G206">
            <v>25786148.613891974</v>
          </cell>
          <cell r="H206">
            <v>110076.58</v>
          </cell>
          <cell r="I206">
            <v>98784.87000000001</v>
          </cell>
          <cell r="J206">
            <v>313852.22185709421</v>
          </cell>
          <cell r="K206">
            <v>266360.44394340989</v>
          </cell>
          <cell r="L206">
            <v>110076.58</v>
          </cell>
          <cell r="M206">
            <v>98784.87000000001</v>
          </cell>
        </row>
        <row r="207">
          <cell r="B207">
            <v>36100</v>
          </cell>
          <cell r="C207" t="str">
            <v>Mitchell County Schools</v>
          </cell>
          <cell r="D207">
            <v>11228316.916649066</v>
          </cell>
          <cell r="E207">
            <v>11272355.97801129</v>
          </cell>
          <cell r="F207">
            <v>114527189.78119996</v>
          </cell>
          <cell r="G207">
            <v>105965622.02446994</v>
          </cell>
          <cell r="H207">
            <v>628618.34</v>
          </cell>
          <cell r="I207">
            <v>654356.05000000005</v>
          </cell>
          <cell r="J207">
            <v>1792327.3298381751</v>
          </cell>
          <cell r="K207">
            <v>1764385.2542910276</v>
          </cell>
          <cell r="L207">
            <v>628618.34</v>
          </cell>
          <cell r="M207">
            <v>654356.05000000005</v>
          </cell>
        </row>
        <row r="208">
          <cell r="B208">
            <v>36102</v>
          </cell>
          <cell r="C208" t="str">
            <v>Kipp Charlotte Charter</v>
          </cell>
          <cell r="D208">
            <v>1824704.0217867708</v>
          </cell>
          <cell r="E208">
            <v>2447667.6164900563</v>
          </cell>
          <cell r="F208">
            <v>27713089.4113</v>
          </cell>
          <cell r="G208">
            <v>29173294.824065972</v>
          </cell>
          <cell r="H208">
            <v>102156.22</v>
          </cell>
          <cell r="I208">
            <v>142086.19</v>
          </cell>
          <cell r="J208">
            <v>291269.55637177429</v>
          </cell>
          <cell r="K208">
            <v>383116.77331384539</v>
          </cell>
          <cell r="L208">
            <v>102156.22</v>
          </cell>
          <cell r="M208">
            <v>142086.19</v>
          </cell>
        </row>
        <row r="209">
          <cell r="B209">
            <v>36105</v>
          </cell>
          <cell r="C209" t="str">
            <v>Mayland Technical College</v>
          </cell>
          <cell r="D209">
            <v>6274334.5801438354</v>
          </cell>
          <cell r="E209">
            <v>6324078.2851828085</v>
          </cell>
          <cell r="F209">
            <v>58669980.106100015</v>
          </cell>
          <cell r="G209">
            <v>53378361.810655959</v>
          </cell>
          <cell r="H209">
            <v>351269.18999999994</v>
          </cell>
          <cell r="I209">
            <v>367110.38</v>
          </cell>
          <cell r="J209">
            <v>1001544.7041636083</v>
          </cell>
          <cell r="K209">
            <v>989864.98431423644</v>
          </cell>
          <cell r="L209">
            <v>351269.18999999994</v>
          </cell>
          <cell r="M209">
            <v>367110.38</v>
          </cell>
        </row>
        <row r="210">
          <cell r="B210">
            <v>36200</v>
          </cell>
          <cell r="C210" t="str">
            <v>Montgomery County Schools</v>
          </cell>
          <cell r="D210">
            <v>22864179.837967232</v>
          </cell>
          <cell r="E210">
            <v>23109897.508345257</v>
          </cell>
          <cell r="F210">
            <v>235217459.57333708</v>
          </cell>
          <cell r="G210">
            <v>224656708.44612071</v>
          </cell>
          <cell r="H210">
            <v>1280053.18</v>
          </cell>
          <cell r="I210">
            <v>1341520.9099999999</v>
          </cell>
          <cell r="J210">
            <v>3649709.4535298869</v>
          </cell>
          <cell r="K210">
            <v>3617235.1610825337</v>
          </cell>
          <cell r="L210">
            <v>1280053.18</v>
          </cell>
          <cell r="M210">
            <v>1341520.9099999999</v>
          </cell>
        </row>
        <row r="211">
          <cell r="B211">
            <v>36205</v>
          </cell>
          <cell r="C211" t="str">
            <v>Montgomery Community College</v>
          </cell>
          <cell r="D211">
            <v>3991214.7601614636</v>
          </cell>
          <cell r="E211">
            <v>4078788.3717977791</v>
          </cell>
          <cell r="F211">
            <v>41496389.026300006</v>
          </cell>
          <cell r="G211">
            <v>35794753.815738969</v>
          </cell>
          <cell r="H211">
            <v>223448.52</v>
          </cell>
          <cell r="I211">
            <v>236772.14</v>
          </cell>
          <cell r="J211">
            <v>637100.23033672874</v>
          </cell>
          <cell r="K211">
            <v>638425.01714919694</v>
          </cell>
          <cell r="L211">
            <v>223448.52</v>
          </cell>
          <cell r="M211">
            <v>236772.14</v>
          </cell>
        </row>
        <row r="212">
          <cell r="B212">
            <v>36300</v>
          </cell>
          <cell r="C212" t="str">
            <v>Moore County Schools</v>
          </cell>
          <cell r="D212">
            <v>68358216.949508741</v>
          </cell>
          <cell r="E212">
            <v>69320561.544606775</v>
          </cell>
          <cell r="F212">
            <v>743835092.31826484</v>
          </cell>
          <cell r="G212">
            <v>723496251.43916392</v>
          </cell>
          <cell r="H212">
            <v>3827040.9699999993</v>
          </cell>
          <cell r="I212">
            <v>4024032.6799999997</v>
          </cell>
          <cell r="J212">
            <v>10911724.470115522</v>
          </cell>
          <cell r="K212">
            <v>10850276.272951407</v>
          </cell>
          <cell r="L212">
            <v>3827040.9699999993</v>
          </cell>
          <cell r="M212">
            <v>4024032.6799999997</v>
          </cell>
        </row>
        <row r="213">
          <cell r="B213">
            <v>36301</v>
          </cell>
          <cell r="C213" t="str">
            <v>Academy Of Moore County</v>
          </cell>
          <cell r="D213">
            <v>728917.81640125369</v>
          </cell>
          <cell r="E213">
            <v>920445.37704307947</v>
          </cell>
          <cell r="F213">
            <v>9600362.6270000003</v>
          </cell>
          <cell r="G213">
            <v>11090825.921207998</v>
          </cell>
          <cell r="H213">
            <v>40808.53</v>
          </cell>
          <cell r="I213">
            <v>53431.510000000009</v>
          </cell>
          <cell r="J213">
            <v>116353.97657904963</v>
          </cell>
          <cell r="K213">
            <v>144071.05788737431</v>
          </cell>
          <cell r="L213">
            <v>40808.53</v>
          </cell>
          <cell r="M213">
            <v>53431.510000000009</v>
          </cell>
        </row>
        <row r="214">
          <cell r="B214">
            <v>36302</v>
          </cell>
          <cell r="C214" t="str">
            <v>Stars Charter School</v>
          </cell>
          <cell r="D214">
            <v>1451510.1987248238</v>
          </cell>
          <cell r="E214">
            <v>1438544.1489201325</v>
          </cell>
          <cell r="F214">
            <v>18896299.531399991</v>
          </cell>
          <cell r="G214">
            <v>18052502.671578981</v>
          </cell>
          <cell r="H214">
            <v>81262.929999999993</v>
          </cell>
          <cell r="I214">
            <v>83506.949999999983</v>
          </cell>
          <cell r="J214">
            <v>231698.25166368281</v>
          </cell>
          <cell r="K214">
            <v>225165.53673006935</v>
          </cell>
          <cell r="L214">
            <v>81262.929999999993</v>
          </cell>
          <cell r="M214">
            <v>83506.949999999983</v>
          </cell>
        </row>
        <row r="215">
          <cell r="B215">
            <v>36305</v>
          </cell>
          <cell r="C215" t="str">
            <v>Sandhills Community College</v>
          </cell>
          <cell r="D215">
            <v>15238962.742976651</v>
          </cell>
          <cell r="E215">
            <v>15288741.708445018</v>
          </cell>
          <cell r="F215">
            <v>149767204.85058302</v>
          </cell>
          <cell r="G215">
            <v>126803019.13250092</v>
          </cell>
          <cell r="H215">
            <v>853154.71000000008</v>
          </cell>
          <cell r="I215">
            <v>887505.74</v>
          </cell>
          <cell r="J215">
            <v>2432529.2566442825</v>
          </cell>
          <cell r="K215">
            <v>2393042.810186666</v>
          </cell>
          <cell r="L215">
            <v>853154.71000000008</v>
          </cell>
          <cell r="M215">
            <v>887505.74</v>
          </cell>
        </row>
        <row r="216">
          <cell r="B216">
            <v>36310</v>
          </cell>
          <cell r="C216" t="str">
            <v>Fernleaf Community Charter</v>
          </cell>
          <cell r="D216">
            <v>0</v>
          </cell>
          <cell r="E216">
            <v>495636.61170164373</v>
          </cell>
          <cell r="F216" t="str">
            <v xml:space="preserve"> </v>
          </cell>
          <cell r="G216">
            <v>3833983</v>
          </cell>
          <cell r="H216">
            <v>0</v>
          </cell>
          <cell r="I216">
            <v>28771.519999999997</v>
          </cell>
          <cell r="J216">
            <v>0</v>
          </cell>
          <cell r="K216">
            <v>77578.629603163878</v>
          </cell>
          <cell r="L216">
            <v>0</v>
          </cell>
          <cell r="M216">
            <v>28771.519999999997</v>
          </cell>
        </row>
        <row r="217">
          <cell r="B217">
            <v>36400</v>
          </cell>
          <cell r="C217" t="str">
            <v>Nash-Rocky Mount Schools</v>
          </cell>
          <cell r="D217">
            <v>77238322.251910955</v>
          </cell>
          <cell r="E217">
            <v>81571094.365375474</v>
          </cell>
          <cell r="F217">
            <v>798178934.62570596</v>
          </cell>
          <cell r="G217">
            <v>796964765.53256309</v>
          </cell>
          <cell r="H217">
            <v>4324194.4699999988</v>
          </cell>
          <cell r="I217">
            <v>4735171.5299999984</v>
          </cell>
          <cell r="J217">
            <v>12329217.006484572</v>
          </cell>
          <cell r="K217">
            <v>12767768.899012521</v>
          </cell>
          <cell r="L217">
            <v>4324194.4699999988</v>
          </cell>
          <cell r="M217">
            <v>4735171.5299999984</v>
          </cell>
        </row>
        <row r="218">
          <cell r="B218">
            <v>36405</v>
          </cell>
          <cell r="C218" t="str">
            <v>Nash Technical College</v>
          </cell>
          <cell r="D218">
            <v>13046858.76210946</v>
          </cell>
          <cell r="E218">
            <v>13374821.715697886</v>
          </cell>
          <cell r="F218">
            <v>135739117.66581658</v>
          </cell>
          <cell r="G218">
            <v>123206476.75766686</v>
          </cell>
          <cell r="H218">
            <v>730429.57000000007</v>
          </cell>
          <cell r="I218">
            <v>776403.40000000014</v>
          </cell>
          <cell r="J218">
            <v>2082613.2448393831</v>
          </cell>
          <cell r="K218">
            <v>2093469.9241206963</v>
          </cell>
          <cell r="L218">
            <v>730429.57000000007</v>
          </cell>
          <cell r="M218">
            <v>776403.40000000014</v>
          </cell>
        </row>
        <row r="219">
          <cell r="B219">
            <v>36500</v>
          </cell>
          <cell r="C219" t="str">
            <v>New Hanover County Schools</v>
          </cell>
          <cell r="D219">
            <v>141325639.44247013</v>
          </cell>
          <cell r="E219">
            <v>150756934.11205006</v>
          </cell>
          <cell r="F219">
            <v>1576913735.8970599</v>
          </cell>
          <cell r="G219">
            <v>1542361988.9778728</v>
          </cell>
          <cell r="H219">
            <v>7912128.7299999995</v>
          </cell>
          <cell r="I219">
            <v>8751383.6600000001</v>
          </cell>
          <cell r="J219">
            <v>22559196.347941123</v>
          </cell>
          <cell r="K219">
            <v>23596958.084742159</v>
          </cell>
          <cell r="L219">
            <v>7912128.7299999995</v>
          </cell>
          <cell r="M219">
            <v>8751383.6600000001</v>
          </cell>
        </row>
        <row r="220">
          <cell r="B220">
            <v>36501</v>
          </cell>
          <cell r="C220" t="str">
            <v>Cape Fear Center For Inquiry</v>
          </cell>
          <cell r="D220">
            <v>1520588.7687104549</v>
          </cell>
          <cell r="E220">
            <v>1716039.8207625716</v>
          </cell>
          <cell r="F220">
            <v>18846349.271299999</v>
          </cell>
          <cell r="G220">
            <v>19152611.798280988</v>
          </cell>
          <cell r="H220">
            <v>85130.3</v>
          </cell>
          <cell r="I220">
            <v>99615.47</v>
          </cell>
          <cell r="J220">
            <v>242724.96295180125</v>
          </cell>
          <cell r="K220">
            <v>268600.04789024295</v>
          </cell>
          <cell r="L220">
            <v>85130.3</v>
          </cell>
          <cell r="M220">
            <v>99615.47</v>
          </cell>
        </row>
        <row r="221">
          <cell r="B221">
            <v>36502</v>
          </cell>
          <cell r="C221" t="str">
            <v>Wilmington Preparatory Academy</v>
          </cell>
          <cell r="D221">
            <v>568128.75807196216</v>
          </cell>
          <cell r="E221">
            <v>614148.31384314189</v>
          </cell>
          <cell r="F221">
            <v>7778712.3083000015</v>
          </cell>
          <cell r="G221">
            <v>7035695.4420809932</v>
          </cell>
          <cell r="H221">
            <v>31806.739999999994</v>
          </cell>
          <cell r="I221">
            <v>35651.079999999994</v>
          </cell>
          <cell r="J221">
            <v>90687.919437821474</v>
          </cell>
          <cell r="K221">
            <v>96128.460723408527</v>
          </cell>
          <cell r="L221">
            <v>31806.739999999994</v>
          </cell>
          <cell r="M221">
            <v>35651.079999999994</v>
          </cell>
        </row>
        <row r="222">
          <cell r="B222">
            <v>36505</v>
          </cell>
          <cell r="C222" t="str">
            <v>Cape Fear Community College</v>
          </cell>
          <cell r="D222">
            <v>31063661.96760349</v>
          </cell>
          <cell r="E222">
            <v>32449839.317646835</v>
          </cell>
          <cell r="F222">
            <v>314693107.06327885</v>
          </cell>
          <cell r="G222">
            <v>291502967.45891494</v>
          </cell>
          <cell r="H222">
            <v>1739101.93</v>
          </cell>
          <cell r="I222">
            <v>1883701.0399999996</v>
          </cell>
          <cell r="J222">
            <v>4958557.0769591555</v>
          </cell>
          <cell r="K222">
            <v>5079152.7616634276</v>
          </cell>
          <cell r="L222">
            <v>1739101.93</v>
          </cell>
          <cell r="M222">
            <v>1883701.0399999996</v>
          </cell>
        </row>
        <row r="223">
          <cell r="B223">
            <v>36600</v>
          </cell>
          <cell r="C223" t="str">
            <v>Northampton County Schools</v>
          </cell>
          <cell r="D223">
            <v>11983836.994183002</v>
          </cell>
          <cell r="E223">
            <v>12437386.048347268</v>
          </cell>
          <cell r="F223">
            <v>116482565.12861156</v>
          </cell>
          <cell r="G223">
            <v>107714503.50018692</v>
          </cell>
          <cell r="H223">
            <v>670916.19999999995</v>
          </cell>
          <cell r="I223">
            <v>721985.61</v>
          </cell>
          <cell r="J223">
            <v>1912927.7095084039</v>
          </cell>
          <cell r="K223">
            <v>1946739.4915876647</v>
          </cell>
          <cell r="L223">
            <v>670916.19999999995</v>
          </cell>
          <cell r="M223">
            <v>721985.61</v>
          </cell>
        </row>
        <row r="224">
          <cell r="B224">
            <v>36601</v>
          </cell>
          <cell r="C224" t="str">
            <v>Gaston College Preparatory Charter</v>
          </cell>
          <cell r="D224">
            <v>4720999.2358727138</v>
          </cell>
          <cell r="E224">
            <v>5316972.7461997224</v>
          </cell>
          <cell r="F224">
            <v>62609065.780770883</v>
          </cell>
          <cell r="G224">
            <v>66010032.646546975</v>
          </cell>
          <cell r="H224">
            <v>264305.57</v>
          </cell>
          <cell r="I224">
            <v>308648.28000000003</v>
          </cell>
          <cell r="J224">
            <v>753592.54796711286</v>
          </cell>
          <cell r="K224">
            <v>832229.60037473228</v>
          </cell>
          <cell r="L224">
            <v>264305.57</v>
          </cell>
          <cell r="M224">
            <v>308648.28000000003</v>
          </cell>
        </row>
        <row r="225">
          <cell r="B225">
            <v>36700</v>
          </cell>
          <cell r="C225" t="str">
            <v>Onslow County Schools</v>
          </cell>
          <cell r="D225">
            <v>120048603.05695614</v>
          </cell>
          <cell r="E225">
            <v>125139069.89083733</v>
          </cell>
          <cell r="F225">
            <v>1363004321.263164</v>
          </cell>
          <cell r="G225">
            <v>1301036489.7279294</v>
          </cell>
          <cell r="H225">
            <v>6720931.9200000009</v>
          </cell>
          <cell r="I225">
            <v>7264276.2199999988</v>
          </cell>
          <cell r="J225">
            <v>19162835.691681795</v>
          </cell>
          <cell r="K225">
            <v>19587167.942689553</v>
          </cell>
          <cell r="L225">
            <v>6720931.9200000009</v>
          </cell>
          <cell r="M225">
            <v>7264276.2199999988</v>
          </cell>
        </row>
        <row r="226">
          <cell r="B226">
            <v>36701</v>
          </cell>
          <cell r="C226" t="str">
            <v>Zeca School Of The Arts And Technology</v>
          </cell>
          <cell r="D226">
            <v>479439.6098413681</v>
          </cell>
          <cell r="E226">
            <v>346673.03384286567</v>
          </cell>
          <cell r="F226">
            <v>6984671.1623</v>
          </cell>
          <cell r="G226">
            <v>4866683.7611379996</v>
          </cell>
          <cell r="H226">
            <v>26841.470000000005</v>
          </cell>
          <cell r="I226">
            <v>20124.239999999998</v>
          </cell>
          <cell r="J226">
            <v>76530.856948958084</v>
          </cell>
          <cell r="K226">
            <v>54262.373381912897</v>
          </cell>
          <cell r="L226">
            <v>26841.470000000005</v>
          </cell>
          <cell r="M226">
            <v>20124.239999999998</v>
          </cell>
        </row>
        <row r="227">
          <cell r="B227">
            <v>36705</v>
          </cell>
          <cell r="C227" t="str">
            <v>Coastal Carolina Community College</v>
          </cell>
          <cell r="D227">
            <v>14761673.169844767</v>
          </cell>
          <cell r="E227">
            <v>15884719.190354742</v>
          </cell>
          <cell r="F227">
            <v>158358736.23645002</v>
          </cell>
          <cell r="G227">
            <v>139912200.92574275</v>
          </cell>
          <cell r="H227">
            <v>826433.60999999987</v>
          </cell>
          <cell r="I227">
            <v>922102.01000000013</v>
          </cell>
          <cell r="J227">
            <v>2356341.6006918023</v>
          </cell>
          <cell r="K227">
            <v>2486327.1141087757</v>
          </cell>
          <cell r="L227">
            <v>826433.60999999987</v>
          </cell>
          <cell r="M227">
            <v>922102.01000000013</v>
          </cell>
        </row>
        <row r="228">
          <cell r="B228">
            <v>36800</v>
          </cell>
          <cell r="C228" t="str">
            <v>Orange County Schools</v>
          </cell>
          <cell r="D228">
            <v>47161138.459053196</v>
          </cell>
          <cell r="E228">
            <v>50305607.895401858</v>
          </cell>
          <cell r="F228">
            <v>515808782.89304972</v>
          </cell>
          <cell r="G228">
            <v>501232894.45399964</v>
          </cell>
          <cell r="H228">
            <v>2640320.61</v>
          </cell>
          <cell r="I228">
            <v>2920221.73</v>
          </cell>
          <cell r="J228">
            <v>7528127.1444259826</v>
          </cell>
          <cell r="K228">
            <v>7873994.8376304219</v>
          </cell>
          <cell r="L228">
            <v>2640320.61</v>
          </cell>
          <cell r="M228">
            <v>2920221.73</v>
          </cell>
        </row>
        <row r="229">
          <cell r="B229">
            <v>36802</v>
          </cell>
          <cell r="C229" t="str">
            <v>Orange Charter School</v>
          </cell>
          <cell r="D229">
            <v>978106.30296921555</v>
          </cell>
          <cell r="E229">
            <v>1396431.0439192008</v>
          </cell>
          <cell r="F229">
            <v>13835151.160499997</v>
          </cell>
          <cell r="G229">
            <v>17711342.233002979</v>
          </cell>
          <cell r="H229">
            <v>54759.369999999995</v>
          </cell>
          <cell r="I229">
            <v>81062.3</v>
          </cell>
          <cell r="J229">
            <v>156130.84946856732</v>
          </cell>
          <cell r="K229">
            <v>218573.85867971354</v>
          </cell>
          <cell r="L229">
            <v>54759.369999999995</v>
          </cell>
          <cell r="M229">
            <v>81062.3</v>
          </cell>
        </row>
        <row r="230">
          <cell r="B230">
            <v>36810</v>
          </cell>
          <cell r="C230" t="str">
            <v>Chapel Hill - Carboro City Schools</v>
          </cell>
          <cell r="D230">
            <v>86451538.920144767</v>
          </cell>
          <cell r="E230">
            <v>90058782.96810396</v>
          </cell>
          <cell r="F230">
            <v>1009278391.727854</v>
          </cell>
          <cell r="G230">
            <v>949490652.13117385</v>
          </cell>
          <cell r="H230">
            <v>4839997.24</v>
          </cell>
          <cell r="I230">
            <v>5227878.6800000006</v>
          </cell>
          <cell r="J230">
            <v>13799882.659474012</v>
          </cell>
          <cell r="K230">
            <v>14096289.09859463</v>
          </cell>
          <cell r="L230">
            <v>4839997.24</v>
          </cell>
          <cell r="M230">
            <v>5227878.6800000006</v>
          </cell>
        </row>
        <row r="231">
          <cell r="B231">
            <v>36900</v>
          </cell>
          <cell r="C231" t="str">
            <v>Pamlico County Schools</v>
          </cell>
          <cell r="D231">
            <v>9056109.3044011164</v>
          </cell>
          <cell r="E231">
            <v>9271625.0902258474</v>
          </cell>
          <cell r="F231">
            <v>96356129.171299979</v>
          </cell>
          <cell r="G231">
            <v>92701481.320374876</v>
          </cell>
          <cell r="H231">
            <v>507007.10000000003</v>
          </cell>
          <cell r="I231">
            <v>538214.36999999988</v>
          </cell>
          <cell r="J231">
            <v>1445587.2887068433</v>
          </cell>
          <cell r="K231">
            <v>1451224.4489457</v>
          </cell>
          <cell r="L231">
            <v>507007.10000000003</v>
          </cell>
          <cell r="M231">
            <v>538214.36999999988</v>
          </cell>
        </row>
        <row r="232">
          <cell r="B232">
            <v>36901</v>
          </cell>
          <cell r="C232" t="str">
            <v>Arapahoe Charter School</v>
          </cell>
          <cell r="D232">
            <v>2979048.3176238076</v>
          </cell>
          <cell r="E232">
            <v>3177108.1457614149</v>
          </cell>
          <cell r="F232">
            <v>31532940.005000003</v>
          </cell>
          <cell r="G232">
            <v>31549565.23931798</v>
          </cell>
          <cell r="H232">
            <v>166782.29</v>
          </cell>
          <cell r="I232">
            <v>184429.94</v>
          </cell>
          <cell r="J232">
            <v>475532.50912150636</v>
          </cell>
          <cell r="K232">
            <v>497291.14078761701</v>
          </cell>
          <cell r="L232">
            <v>166782.29</v>
          </cell>
          <cell r="M232">
            <v>184429.94</v>
          </cell>
        </row>
        <row r="233">
          <cell r="B233">
            <v>36905</v>
          </cell>
          <cell r="C233" t="str">
            <v>Pamlico Community College</v>
          </cell>
          <cell r="D233">
            <v>3274361.7630293239</v>
          </cell>
          <cell r="E233">
            <v>3577401.5077290018</v>
          </cell>
          <cell r="F233">
            <v>28863283.236099988</v>
          </cell>
          <cell r="G233">
            <v>28647119.310463987</v>
          </cell>
          <cell r="H233">
            <v>183315.44</v>
          </cell>
          <cell r="I233">
            <v>207666.81999999998</v>
          </cell>
          <cell r="J233">
            <v>522672.1083150552</v>
          </cell>
          <cell r="K233">
            <v>559946.33963193127</v>
          </cell>
          <cell r="L233">
            <v>183315.44</v>
          </cell>
          <cell r="M233">
            <v>207666.81999999998</v>
          </cell>
        </row>
        <row r="234">
          <cell r="B234">
            <v>37000</v>
          </cell>
          <cell r="C234" t="str">
            <v>Elizabeth City And Pasquotank County Schools</v>
          </cell>
          <cell r="D234">
            <v>30964110.284484569</v>
          </cell>
          <cell r="E234">
            <v>30658387.124872584</v>
          </cell>
          <cell r="F234">
            <v>332757912.24252808</v>
          </cell>
          <cell r="G234">
            <v>308087008.41017854</v>
          </cell>
          <cell r="H234">
            <v>1733528.52</v>
          </cell>
          <cell r="I234">
            <v>1779707.9100000001</v>
          </cell>
          <cell r="J234">
            <v>4942666.0753326472</v>
          </cell>
          <cell r="K234">
            <v>4798748.9278185833</v>
          </cell>
          <cell r="L234">
            <v>1733528.52</v>
          </cell>
          <cell r="M234">
            <v>1779707.9100000001</v>
          </cell>
        </row>
        <row r="235">
          <cell r="B235">
            <v>37001</v>
          </cell>
          <cell r="C235" t="str">
            <v>N.E. ACADEMY OF AEROSPACE &amp; ADV.TECH</v>
          </cell>
          <cell r="D235">
            <v>525350.40451719856</v>
          </cell>
          <cell r="E235">
            <v>1033474.7010664229</v>
          </cell>
          <cell r="F235">
            <v>5375081.3422999987</v>
          </cell>
          <cell r="G235">
            <v>12119478.629130986</v>
          </cell>
          <cell r="H235">
            <v>29411.79</v>
          </cell>
          <cell r="I235">
            <v>59992.82</v>
          </cell>
          <cell r="J235">
            <v>83859.397160542823</v>
          </cell>
          <cell r="K235">
            <v>161762.76962876073</v>
          </cell>
          <cell r="L235">
            <v>29411.79</v>
          </cell>
          <cell r="M235">
            <v>59992.82</v>
          </cell>
        </row>
        <row r="236">
          <cell r="B236">
            <v>37005</v>
          </cell>
          <cell r="C236" t="str">
            <v>College Of The Albemarle</v>
          </cell>
          <cell r="D236">
            <v>8273665.2729444532</v>
          </cell>
          <cell r="E236">
            <v>8461652.0870597586</v>
          </cell>
          <cell r="F236">
            <v>78274982.212499976</v>
          </cell>
          <cell r="G236">
            <v>69477270.843236879</v>
          </cell>
          <cell r="H236">
            <v>463201.9</v>
          </cell>
          <cell r="I236">
            <v>491195.74000000005</v>
          </cell>
          <cell r="J236">
            <v>1320689.1555263395</v>
          </cell>
          <cell r="K236">
            <v>1324444.880774877</v>
          </cell>
          <cell r="L236">
            <v>463201.9</v>
          </cell>
          <cell r="M236">
            <v>491195.74000000005</v>
          </cell>
        </row>
        <row r="237">
          <cell r="B237">
            <v>37100</v>
          </cell>
          <cell r="C237" t="str">
            <v>Pender County Schools</v>
          </cell>
          <cell r="D237">
            <v>41739002.7318248</v>
          </cell>
          <cell r="E237">
            <v>44047773.275460571</v>
          </cell>
          <cell r="F237">
            <v>469086413.25363415</v>
          </cell>
          <cell r="G237">
            <v>459404254.3984701</v>
          </cell>
          <cell r="H237">
            <v>2336761.85</v>
          </cell>
          <cell r="I237">
            <v>2556956.77</v>
          </cell>
          <cell r="J237">
            <v>6662615.2318085637</v>
          </cell>
          <cell r="K237">
            <v>6894498.5239268653</v>
          </cell>
          <cell r="L237">
            <v>2336761.85</v>
          </cell>
          <cell r="M237">
            <v>2556956.77</v>
          </cell>
        </row>
        <row r="238">
          <cell r="B238">
            <v>37200</v>
          </cell>
          <cell r="C238" t="str">
            <v>Perquimans County Schools</v>
          </cell>
          <cell r="D238">
            <v>10138785.054985629</v>
          </cell>
          <cell r="E238">
            <v>10182890.563182885</v>
          </cell>
          <cell r="F238">
            <v>106077821.91629998</v>
          </cell>
          <cell r="G238">
            <v>103116025.23351993</v>
          </cell>
          <cell r="H238">
            <v>567620.79999999993</v>
          </cell>
          <cell r="I238">
            <v>591112.99</v>
          </cell>
          <cell r="J238">
            <v>1618410.1036960022</v>
          </cell>
          <cell r="K238">
            <v>1593858.6388494147</v>
          </cell>
          <cell r="L238">
            <v>567620.79999999993</v>
          </cell>
          <cell r="M238">
            <v>591112.99</v>
          </cell>
        </row>
        <row r="239">
          <cell r="B239">
            <v>37300</v>
          </cell>
          <cell r="C239" t="str">
            <v>Person County Schools</v>
          </cell>
          <cell r="D239">
            <v>25362369.060684435</v>
          </cell>
          <cell r="E239">
            <v>26044671.965837184</v>
          </cell>
          <cell r="F239">
            <v>278889167.66180271</v>
          </cell>
          <cell r="G239">
            <v>272406630.49796879</v>
          </cell>
          <cell r="H239">
            <v>1419914.53</v>
          </cell>
          <cell r="I239">
            <v>1511883.4700000002</v>
          </cell>
          <cell r="J239">
            <v>4048484.5194833605</v>
          </cell>
          <cell r="K239">
            <v>4076595.4569753748</v>
          </cell>
          <cell r="L239">
            <v>1419914.53</v>
          </cell>
          <cell r="M239">
            <v>1511883.4700000002</v>
          </cell>
        </row>
        <row r="240">
          <cell r="B240">
            <v>37301</v>
          </cell>
          <cell r="C240" t="str">
            <v>Roxboro Community School</v>
          </cell>
          <cell r="D240">
            <v>2567657.7179447347</v>
          </cell>
          <cell r="E240">
            <v>2845826.425519323</v>
          </cell>
          <cell r="F240">
            <v>30536191.651600003</v>
          </cell>
          <cell r="G240">
            <v>31030166.309841964</v>
          </cell>
          <cell r="H240">
            <v>143750.54999999999</v>
          </cell>
          <cell r="I240">
            <v>165199.15999999997</v>
          </cell>
          <cell r="J240">
            <v>409864.01930982328</v>
          </cell>
          <cell r="K240">
            <v>445437.86509693629</v>
          </cell>
          <cell r="L240">
            <v>143750.54999999999</v>
          </cell>
          <cell r="M240">
            <v>165199.15999999997</v>
          </cell>
        </row>
        <row r="241">
          <cell r="B241">
            <v>37305</v>
          </cell>
          <cell r="C241" t="str">
            <v>Piedmont Community College</v>
          </cell>
          <cell r="D241">
            <v>9038855.2464110572</v>
          </cell>
          <cell r="E241">
            <v>8994305.3023758288</v>
          </cell>
          <cell r="F241">
            <v>81814079.883749932</v>
          </cell>
          <cell r="G241">
            <v>65074501.857927896</v>
          </cell>
          <cell r="H241">
            <v>506041.13</v>
          </cell>
          <cell r="I241">
            <v>522116.06000000011</v>
          </cell>
          <cell r="J241">
            <v>1442833.0985716912</v>
          </cell>
          <cell r="K241">
            <v>1407817.4677112401</v>
          </cell>
          <cell r="L241">
            <v>506041.13</v>
          </cell>
          <cell r="M241">
            <v>522116.06000000011</v>
          </cell>
        </row>
        <row r="242">
          <cell r="B242">
            <v>37400</v>
          </cell>
          <cell r="C242" t="str">
            <v>Pitt County Schools</v>
          </cell>
          <cell r="D242">
            <v>116972008.94740286</v>
          </cell>
          <cell r="E242">
            <v>119690393.45399933</v>
          </cell>
          <cell r="F242">
            <v>1375046115.4647663</v>
          </cell>
          <cell r="G242">
            <v>1293479586.9386725</v>
          </cell>
          <cell r="H242">
            <v>6548688.5199999996</v>
          </cell>
          <cell r="I242">
            <v>6947982.5899999989</v>
          </cell>
          <cell r="J242">
            <v>18671732.37260865</v>
          </cell>
          <cell r="K242">
            <v>18734323.658911355</v>
          </cell>
          <cell r="L242">
            <v>6548688.5199999996</v>
          </cell>
          <cell r="M242">
            <v>6947982.5899999989</v>
          </cell>
        </row>
        <row r="243">
          <cell r="B243">
            <v>37405</v>
          </cell>
          <cell r="C243" t="str">
            <v>Pitt Community College</v>
          </cell>
          <cell r="D243">
            <v>27665803.396327414</v>
          </cell>
          <cell r="E243">
            <v>29111928.241287407</v>
          </cell>
          <cell r="F243">
            <v>305333633.06653422</v>
          </cell>
          <cell r="G243">
            <v>271266907.47741783</v>
          </cell>
          <cell r="H243">
            <v>1548872.51</v>
          </cell>
          <cell r="I243">
            <v>1689936.5499999998</v>
          </cell>
          <cell r="J243">
            <v>4416171.7109749811</v>
          </cell>
          <cell r="K243">
            <v>4556692.2312515508</v>
          </cell>
          <cell r="L243">
            <v>1548872.51</v>
          </cell>
          <cell r="M243">
            <v>1689936.5499999998</v>
          </cell>
        </row>
        <row r="244">
          <cell r="B244">
            <v>37500</v>
          </cell>
          <cell r="C244" t="str">
            <v>Polk County Schools</v>
          </cell>
          <cell r="D244">
            <v>15035115.077906821</v>
          </cell>
          <cell r="E244">
            <v>14814341.409230214</v>
          </cell>
          <cell r="F244">
            <v>155277060.76849994</v>
          </cell>
          <cell r="G244">
            <v>143937323.11182672</v>
          </cell>
          <cell r="H244">
            <v>841742.28</v>
          </cell>
          <cell r="I244">
            <v>859966.9800000001</v>
          </cell>
          <cell r="J244">
            <v>2399989.9416302387</v>
          </cell>
          <cell r="K244">
            <v>2318788.156217379</v>
          </cell>
          <cell r="L244">
            <v>841742.28</v>
          </cell>
          <cell r="M244">
            <v>859966.9800000001</v>
          </cell>
        </row>
        <row r="245">
          <cell r="B245">
            <v>37600</v>
          </cell>
          <cell r="C245" t="str">
            <v>Randolph County Schools</v>
          </cell>
          <cell r="D245">
            <v>83452976.121289343</v>
          </cell>
          <cell r="E245">
            <v>86299513.79462254</v>
          </cell>
          <cell r="F245">
            <v>949215821.66498089</v>
          </cell>
          <cell r="G245">
            <v>903023771.75274193</v>
          </cell>
          <cell r="H245">
            <v>4672122.43</v>
          </cell>
          <cell r="I245">
            <v>5009654.51</v>
          </cell>
          <cell r="J245">
            <v>13321235.138699494</v>
          </cell>
          <cell r="K245">
            <v>13507876.249538064</v>
          </cell>
          <cell r="L245">
            <v>4672122.43</v>
          </cell>
          <cell r="M245">
            <v>5009654.51</v>
          </cell>
        </row>
        <row r="246">
          <cell r="B246">
            <v>37601</v>
          </cell>
          <cell r="C246" t="str">
            <v>Uwharrie Charter Academy</v>
          </cell>
          <cell r="D246">
            <v>2243354.590067415</v>
          </cell>
          <cell r="E246">
            <v>3016898.3283719029</v>
          </cell>
          <cell r="F246">
            <v>30084825.061999999</v>
          </cell>
          <cell r="G246">
            <v>36767887.207964979</v>
          </cell>
          <cell r="H246">
            <v>125594.41</v>
          </cell>
          <cell r="I246">
            <v>175129.82</v>
          </cell>
          <cell r="J246">
            <v>358096.92335400369</v>
          </cell>
          <cell r="K246">
            <v>472214.58714203356</v>
          </cell>
          <cell r="L246">
            <v>125594.41</v>
          </cell>
          <cell r="M246">
            <v>175129.82</v>
          </cell>
        </row>
        <row r="247">
          <cell r="B247">
            <v>37605</v>
          </cell>
          <cell r="C247" t="str">
            <v>Randolph Community College</v>
          </cell>
          <cell r="D247">
            <v>10384906.653599625</v>
          </cell>
          <cell r="E247">
            <v>10831037.545612894</v>
          </cell>
          <cell r="F247">
            <v>114348177.09332833</v>
          </cell>
          <cell r="G247">
            <v>102819740.76210187</v>
          </cell>
          <cell r="H247">
            <v>581399.93999999994</v>
          </cell>
          <cell r="I247">
            <v>628737.67999999993</v>
          </cell>
          <cell r="J247">
            <v>1657697.4226177926</v>
          </cell>
          <cell r="K247">
            <v>1695308.6800514041</v>
          </cell>
          <cell r="L247">
            <v>581399.93999999994</v>
          </cell>
          <cell r="M247">
            <v>628737.67999999993</v>
          </cell>
        </row>
        <row r="248">
          <cell r="B248">
            <v>37610</v>
          </cell>
          <cell r="C248" t="str">
            <v>Asheboro City Schools</v>
          </cell>
          <cell r="D248">
            <v>23940299.557365824</v>
          </cell>
          <cell r="E248">
            <v>25368166.144426282</v>
          </cell>
          <cell r="F248">
            <v>290741738.90029997</v>
          </cell>
          <cell r="G248">
            <v>283491866.94597858</v>
          </cell>
          <cell r="H248">
            <v>1340299.8400000001</v>
          </cell>
          <cell r="I248">
            <v>1472612.5600000003</v>
          </cell>
          <cell r="J248">
            <v>3821485.7578124967</v>
          </cell>
          <cell r="K248">
            <v>3970706.5994847324</v>
          </cell>
          <cell r="L248">
            <v>1340299.8400000001</v>
          </cell>
          <cell r="M248">
            <v>1472612.5600000003</v>
          </cell>
        </row>
        <row r="249">
          <cell r="B249">
            <v>37700</v>
          </cell>
          <cell r="C249" t="str">
            <v>Richmond County Schools</v>
          </cell>
          <cell r="D249">
            <v>36928933.889285728</v>
          </cell>
          <cell r="E249">
            <v>37958971.613284469</v>
          </cell>
          <cell r="F249">
            <v>405573250.77566701</v>
          </cell>
          <cell r="G249">
            <v>378798589.57496321</v>
          </cell>
          <cell r="H249">
            <v>2067469.7099999997</v>
          </cell>
          <cell r="I249">
            <v>2203504.1100000003</v>
          </cell>
          <cell r="J249">
            <v>5894804.8904293915</v>
          </cell>
          <cell r="K249">
            <v>5941459.7900541686</v>
          </cell>
          <cell r="L249">
            <v>2067469.7099999997</v>
          </cell>
          <cell r="M249">
            <v>2203504.1100000003</v>
          </cell>
        </row>
        <row r="250">
          <cell r="B250">
            <v>37705</v>
          </cell>
          <cell r="C250" t="str">
            <v>Richmond Technical College</v>
          </cell>
          <cell r="D250">
            <v>10952508.664287999</v>
          </cell>
          <cell r="E250">
            <v>11721415.201006364</v>
          </cell>
          <cell r="F250">
            <v>117724140.23142754</v>
          </cell>
          <cell r="G250">
            <v>104863737.45935293</v>
          </cell>
          <cell r="H250">
            <v>613177.19000000006</v>
          </cell>
          <cell r="I250">
            <v>680423.77000000014</v>
          </cell>
          <cell r="J250">
            <v>1748301.2596647681</v>
          </cell>
          <cell r="K250">
            <v>1834673.4418625913</v>
          </cell>
          <cell r="L250">
            <v>613177.19000000006</v>
          </cell>
          <cell r="M250">
            <v>680423.77000000014</v>
          </cell>
        </row>
        <row r="251">
          <cell r="B251">
            <v>37800</v>
          </cell>
          <cell r="C251" t="str">
            <v>Robeson County Schools</v>
          </cell>
          <cell r="D251">
            <v>113011828.34260319</v>
          </cell>
          <cell r="E251">
            <v>118424851.45292202</v>
          </cell>
          <cell r="F251">
            <v>1221532959.1897588</v>
          </cell>
          <cell r="G251">
            <v>1162520811.3048315</v>
          </cell>
          <cell r="H251">
            <v>6326977.4499999993</v>
          </cell>
          <cell r="I251">
            <v>6874518.3499999996</v>
          </cell>
          <cell r="J251">
            <v>18039585.989337895</v>
          </cell>
          <cell r="K251">
            <v>18536236.972353332</v>
          </cell>
          <cell r="L251">
            <v>6326977.4499999993</v>
          </cell>
          <cell r="M251">
            <v>6874518.3499999996</v>
          </cell>
        </row>
        <row r="252">
          <cell r="B252">
            <v>37801</v>
          </cell>
          <cell r="C252" t="str">
            <v>Southeastern Academy Charter School</v>
          </cell>
          <cell r="D252">
            <v>693159.72477163619</v>
          </cell>
          <cell r="E252">
            <v>722732.30346463248</v>
          </cell>
          <cell r="F252">
            <v>7657240.9675000003</v>
          </cell>
          <cell r="G252">
            <v>9363469.0708739925</v>
          </cell>
          <cell r="H252">
            <v>38806.61</v>
          </cell>
          <cell r="I252">
            <v>41954.340000000004</v>
          </cell>
          <cell r="J252">
            <v>110646.06813948734</v>
          </cell>
          <cell r="K252">
            <v>113124.37448925892</v>
          </cell>
          <cell r="L252">
            <v>38806.61</v>
          </cell>
          <cell r="M252">
            <v>41954.340000000004</v>
          </cell>
        </row>
        <row r="253">
          <cell r="B253">
            <v>37805</v>
          </cell>
          <cell r="C253" t="str">
            <v>Robeson Community College</v>
          </cell>
          <cell r="D253">
            <v>9676642.907547418</v>
          </cell>
          <cell r="E253">
            <v>9673956.7082152423</v>
          </cell>
          <cell r="F253">
            <v>100100336.04870005</v>
          </cell>
          <cell r="G253">
            <v>83306658.353723899</v>
          </cell>
          <cell r="H253">
            <v>541747.73</v>
          </cell>
          <cell r="I253">
            <v>561569.56999999995</v>
          </cell>
          <cell r="J253">
            <v>1544640.3653396314</v>
          </cell>
          <cell r="K253">
            <v>1514198.6821495008</v>
          </cell>
          <cell r="L253">
            <v>541747.73</v>
          </cell>
          <cell r="M253">
            <v>561569.56999999995</v>
          </cell>
        </row>
        <row r="254">
          <cell r="B254">
            <v>37900</v>
          </cell>
          <cell r="C254" t="str">
            <v>Rockingham County Schools</v>
          </cell>
          <cell r="D254">
            <v>63694943.618241444</v>
          </cell>
          <cell r="E254">
            <v>62943281.883179337</v>
          </cell>
          <cell r="F254">
            <v>664846029.47670257</v>
          </cell>
          <cell r="G254">
            <v>620087213.64446712</v>
          </cell>
          <cell r="H254">
            <v>3565967.19</v>
          </cell>
          <cell r="I254">
            <v>3653833.9800000004</v>
          </cell>
          <cell r="J254">
            <v>10167346.456902992</v>
          </cell>
          <cell r="K254">
            <v>9852084.0388646182</v>
          </cell>
          <cell r="L254">
            <v>3565967.19</v>
          </cell>
          <cell r="M254">
            <v>3653833.9800000004</v>
          </cell>
        </row>
        <row r="255">
          <cell r="B255">
            <v>37901</v>
          </cell>
          <cell r="C255" t="str">
            <v>Bethany Community Middle School</v>
          </cell>
          <cell r="D255">
            <v>765469.69079542742</v>
          </cell>
          <cell r="E255">
            <v>870379.59377585922</v>
          </cell>
          <cell r="F255">
            <v>9814330.6091000009</v>
          </cell>
          <cell r="G255">
            <v>8541701.1664729919</v>
          </cell>
          <cell r="H255">
            <v>42854.89</v>
          </cell>
          <cell r="I255">
            <v>50525.21</v>
          </cell>
          <cell r="J255">
            <v>122188.59310437668</v>
          </cell>
          <cell r="K255">
            <v>136234.60116851915</v>
          </cell>
          <cell r="L255">
            <v>42854.89</v>
          </cell>
          <cell r="M255">
            <v>50525.21</v>
          </cell>
        </row>
        <row r="256">
          <cell r="B256">
            <v>37905</v>
          </cell>
          <cell r="C256" t="str">
            <v>Rockingham Community College</v>
          </cell>
          <cell r="D256">
            <v>8033007.629048679</v>
          </cell>
          <cell r="E256">
            <v>8366768.7886085166</v>
          </cell>
          <cell r="F256">
            <v>75719521.621150032</v>
          </cell>
          <cell r="G256">
            <v>69309993.364459977</v>
          </cell>
          <cell r="H256">
            <v>449728.66</v>
          </cell>
          <cell r="I256">
            <v>485687.80000000016</v>
          </cell>
          <cell r="J256">
            <v>1282274.0239005762</v>
          </cell>
          <cell r="K256">
            <v>1309593.4430636808</v>
          </cell>
          <cell r="L256">
            <v>449728.66</v>
          </cell>
          <cell r="M256">
            <v>485687.80000000016</v>
          </cell>
        </row>
        <row r="257">
          <cell r="B257">
            <v>38000</v>
          </cell>
          <cell r="C257" t="str">
            <v>Rowan-Salisbury School System</v>
          </cell>
          <cell r="D257">
            <v>96701429.448605418</v>
          </cell>
          <cell r="E257">
            <v>100687984.24390092</v>
          </cell>
          <cell r="F257">
            <v>1063827735.6275914</v>
          </cell>
          <cell r="G257">
            <v>1022596537.0759444</v>
          </cell>
          <cell r="H257">
            <v>5413838.29</v>
          </cell>
          <cell r="I257">
            <v>5844899.8400000008</v>
          </cell>
          <cell r="J257">
            <v>15436028.046034057</v>
          </cell>
          <cell r="K257">
            <v>15760005.719369428</v>
          </cell>
          <cell r="L257">
            <v>5413838.29</v>
          </cell>
          <cell r="M257">
            <v>5844899.8400000008</v>
          </cell>
        </row>
        <row r="258">
          <cell r="B258">
            <v>38005</v>
          </cell>
          <cell r="C258" t="str">
            <v>Rowan-Cabarrus Community College</v>
          </cell>
          <cell r="D258">
            <v>20849938.03238868</v>
          </cell>
          <cell r="E258">
            <v>20155247.126111947</v>
          </cell>
          <cell r="F258">
            <v>226478136.59690002</v>
          </cell>
          <cell r="G258">
            <v>183100319.32193506</v>
          </cell>
          <cell r="H258">
            <v>1167285.67</v>
          </cell>
          <cell r="I258">
            <v>1170004.5599999998</v>
          </cell>
          <cell r="J258">
            <v>3328184.8061726373</v>
          </cell>
          <cell r="K258">
            <v>3154763.821802001</v>
          </cell>
          <cell r="L258">
            <v>1167285.67</v>
          </cell>
          <cell r="M258">
            <v>1170004.5599999998</v>
          </cell>
        </row>
        <row r="259">
          <cell r="B259">
            <v>38100</v>
          </cell>
          <cell r="C259" t="str">
            <v>Rutherford County Schools</v>
          </cell>
          <cell r="D259">
            <v>45727085.050865203</v>
          </cell>
          <cell r="E259">
            <v>46787594.88387011</v>
          </cell>
          <cell r="F259">
            <v>483787440.85721403</v>
          </cell>
          <cell r="G259">
            <v>450185538.55312169</v>
          </cell>
          <cell r="H259">
            <v>2560035.0000000005</v>
          </cell>
          <cell r="I259">
            <v>2716002.39</v>
          </cell>
          <cell r="J259">
            <v>7299215.4442109875</v>
          </cell>
          <cell r="K259">
            <v>7323344.1755985729</v>
          </cell>
          <cell r="L259">
            <v>2560035.0000000005</v>
          </cell>
          <cell r="M259">
            <v>2716002.39</v>
          </cell>
        </row>
        <row r="260">
          <cell r="B260">
            <v>38105</v>
          </cell>
          <cell r="C260" t="str">
            <v>Isothermal Community College</v>
          </cell>
          <cell r="D260">
            <v>9389086.8846137021</v>
          </cell>
          <cell r="E260">
            <v>9459554.8105258606</v>
          </cell>
          <cell r="F260">
            <v>102012225.57402246</v>
          </cell>
          <cell r="G260">
            <v>86375398.725624949</v>
          </cell>
          <cell r="H260">
            <v>525648.88000000012</v>
          </cell>
          <cell r="I260">
            <v>549123.62</v>
          </cell>
          <cell r="J260">
            <v>1498739.049711511</v>
          </cell>
          <cell r="K260">
            <v>1480639.8105601829</v>
          </cell>
          <cell r="L260">
            <v>525648.88000000012</v>
          </cell>
          <cell r="M260">
            <v>549123.62</v>
          </cell>
        </row>
        <row r="261">
          <cell r="B261">
            <v>38200</v>
          </cell>
          <cell r="C261" t="str">
            <v>Sampson County Schools</v>
          </cell>
          <cell r="D261">
            <v>42774440.012825973</v>
          </cell>
          <cell r="E261">
            <v>43027604.430980049</v>
          </cell>
          <cell r="F261">
            <v>476345202.25749987</v>
          </cell>
          <cell r="G261">
            <v>440038813.65153754</v>
          </cell>
          <cell r="H261">
            <v>2394730.9</v>
          </cell>
          <cell r="I261">
            <v>2497736.35</v>
          </cell>
          <cell r="J261">
            <v>6827897.5756227057</v>
          </cell>
          <cell r="K261">
            <v>6734818.4295792682</v>
          </cell>
          <cell r="L261">
            <v>2394730.9</v>
          </cell>
          <cell r="M261">
            <v>2497736.35</v>
          </cell>
        </row>
        <row r="262">
          <cell r="B262">
            <v>38205</v>
          </cell>
          <cell r="C262" t="str">
            <v>Sampson Community College</v>
          </cell>
          <cell r="D262">
            <v>6838324.7363582896</v>
          </cell>
          <cell r="E262">
            <v>7107113.3026191806</v>
          </cell>
          <cell r="F262">
            <v>65200642.752300002</v>
          </cell>
          <cell r="G262">
            <v>58145105.223960929</v>
          </cell>
          <cell r="H262">
            <v>382844.23</v>
          </cell>
          <cell r="I262">
            <v>412565.27</v>
          </cell>
          <cell r="J262">
            <v>1091571.9966106177</v>
          </cell>
          <cell r="K262">
            <v>1112428.1326971706</v>
          </cell>
          <cell r="L262">
            <v>382844.23</v>
          </cell>
          <cell r="M262">
            <v>412565.27</v>
          </cell>
        </row>
        <row r="263">
          <cell r="B263">
            <v>38210</v>
          </cell>
          <cell r="C263" t="str">
            <v>Clinton City Schools</v>
          </cell>
          <cell r="D263">
            <v>15468423.298627207</v>
          </cell>
          <cell r="E263">
            <v>16155622.916209143</v>
          </cell>
          <cell r="F263">
            <v>174115813.97849998</v>
          </cell>
          <cell r="G263">
            <v>166544969.64512578</v>
          </cell>
          <cell r="H263">
            <v>866001.07999999973</v>
          </cell>
          <cell r="I263">
            <v>937827.87</v>
          </cell>
          <cell r="J263">
            <v>2469157.0458370266</v>
          </cell>
          <cell r="K263">
            <v>2528729.8327740119</v>
          </cell>
          <cell r="L263">
            <v>866001.07999999973</v>
          </cell>
          <cell r="M263">
            <v>937827.87</v>
          </cell>
        </row>
        <row r="264">
          <cell r="B264">
            <v>38300</v>
          </cell>
          <cell r="C264" t="str">
            <v>Scotland County Schools</v>
          </cell>
          <cell r="D264">
            <v>33930884.977247059</v>
          </cell>
          <cell r="E264">
            <v>34394196.19893463</v>
          </cell>
          <cell r="F264">
            <v>369430242.53882217</v>
          </cell>
          <cell r="G264">
            <v>345579070.7742579</v>
          </cell>
          <cell r="H264">
            <v>1899623.67</v>
          </cell>
          <cell r="I264">
            <v>1996570.2300000002</v>
          </cell>
          <cell r="J264">
            <v>5416239.3991694469</v>
          </cell>
          <cell r="K264">
            <v>5383489.7269895272</v>
          </cell>
          <cell r="L264">
            <v>1899623.67</v>
          </cell>
          <cell r="M264">
            <v>1996570.2300000002</v>
          </cell>
        </row>
        <row r="265">
          <cell r="B265">
            <v>38400</v>
          </cell>
          <cell r="C265" t="str">
            <v>Stanly County Schools</v>
          </cell>
          <cell r="D265">
            <v>41764547.032715701</v>
          </cell>
          <cell r="E265">
            <v>42796385.026180372</v>
          </cell>
          <cell r="F265">
            <v>458713322.32009977</v>
          </cell>
          <cell r="G265">
            <v>428548751.62863362</v>
          </cell>
          <cell r="H265">
            <v>2338191.9500000002</v>
          </cell>
          <cell r="I265">
            <v>2484314.15</v>
          </cell>
          <cell r="J265">
            <v>6666692.7573137879</v>
          </cell>
          <cell r="K265">
            <v>6698627.2279236168</v>
          </cell>
          <cell r="L265">
            <v>2338191.9500000002</v>
          </cell>
          <cell r="M265">
            <v>2484314.15</v>
          </cell>
        </row>
        <row r="266">
          <cell r="B266">
            <v>38402</v>
          </cell>
          <cell r="C266" t="str">
            <v>Gray Stone Day School</v>
          </cell>
          <cell r="D266">
            <v>1385648.5566396555</v>
          </cell>
          <cell r="E266">
            <v>1560866.7283194412</v>
          </cell>
          <cell r="F266">
            <v>16404845.884299995</v>
          </cell>
          <cell r="G266">
            <v>17561382.264398977</v>
          </cell>
          <cell r="H266">
            <v>77575.659999999989</v>
          </cell>
          <cell r="I266">
            <v>90607.729999999981</v>
          </cell>
          <cell r="J266">
            <v>221185.04456652363</v>
          </cell>
          <cell r="K266">
            <v>244311.8585619904</v>
          </cell>
          <cell r="L266">
            <v>77575.659999999989</v>
          </cell>
          <cell r="M266">
            <v>90607.729999999981</v>
          </cell>
        </row>
        <row r="267">
          <cell r="B267">
            <v>38405</v>
          </cell>
          <cell r="C267" t="str">
            <v>Stanly Community College</v>
          </cell>
          <cell r="D267">
            <v>10150218.992003527</v>
          </cell>
          <cell r="E267">
            <v>10779303.534546891</v>
          </cell>
          <cell r="F267">
            <v>117070466.92346326</v>
          </cell>
          <cell r="G267">
            <v>102752607.64582583</v>
          </cell>
          <cell r="H267">
            <v>568260.92999999993</v>
          </cell>
          <cell r="I267">
            <v>625734.5399999998</v>
          </cell>
          <cell r="J267">
            <v>1620235.2532671222</v>
          </cell>
          <cell r="K267">
            <v>1687211.1069754434</v>
          </cell>
          <cell r="L267">
            <v>568260.92999999993</v>
          </cell>
          <cell r="M267">
            <v>625734.5399999998</v>
          </cell>
        </row>
        <row r="268">
          <cell r="B268">
            <v>38500</v>
          </cell>
          <cell r="C268" t="str">
            <v>Stokes County Schools</v>
          </cell>
          <cell r="D268">
            <v>33601512.463987008</v>
          </cell>
          <cell r="E268">
            <v>33512975.708462659</v>
          </cell>
          <cell r="F268">
            <v>367779268.44990003</v>
          </cell>
          <cell r="G268">
            <v>334819335.50599766</v>
          </cell>
          <cell r="H268">
            <v>1881183.72</v>
          </cell>
          <cell r="I268">
            <v>1945415.71</v>
          </cell>
          <cell r="J268">
            <v>5363663.0993022658</v>
          </cell>
          <cell r="K268">
            <v>5245558.2739551496</v>
          </cell>
          <cell r="L268">
            <v>1881183.72</v>
          </cell>
          <cell r="M268">
            <v>1945415.71</v>
          </cell>
        </row>
        <row r="269">
          <cell r="B269">
            <v>38600</v>
          </cell>
          <cell r="C269" t="str">
            <v>Surry County Schools</v>
          </cell>
          <cell r="D269">
            <v>41423892.587193064</v>
          </cell>
          <cell r="E269">
            <v>42550806.355770677</v>
          </cell>
          <cell r="F269">
            <v>450038630.31700045</v>
          </cell>
          <cell r="G269">
            <v>430976423.13745254</v>
          </cell>
          <cell r="H269">
            <v>2319120.38</v>
          </cell>
          <cell r="I269">
            <v>2470058.3999999994</v>
          </cell>
          <cell r="J269">
            <v>6612315.5717325928</v>
          </cell>
          <cell r="K269">
            <v>6660188.4680330958</v>
          </cell>
          <cell r="L269">
            <v>2319120.38</v>
          </cell>
          <cell r="M269">
            <v>2470058.3999999994</v>
          </cell>
        </row>
        <row r="270">
          <cell r="B270">
            <v>38601</v>
          </cell>
          <cell r="C270" t="str">
            <v>Bridges Charter Schools</v>
          </cell>
          <cell r="D270">
            <v>498200.31896082335</v>
          </cell>
          <cell r="E270">
            <v>463579.55768727168</v>
          </cell>
          <cell r="F270">
            <v>6343044.9625999983</v>
          </cell>
          <cell r="G270">
            <v>5026513.80963</v>
          </cell>
          <cell r="H270">
            <v>27891.790000000005</v>
          </cell>
          <cell r="I270">
            <v>26910.620000000003</v>
          </cell>
          <cell r="J270">
            <v>79525.547242396904</v>
          </cell>
          <cell r="K270">
            <v>72560.956854955672</v>
          </cell>
          <cell r="L270">
            <v>27891.790000000005</v>
          </cell>
          <cell r="M270">
            <v>26910.620000000003</v>
          </cell>
        </row>
        <row r="271">
          <cell r="B271">
            <v>38602</v>
          </cell>
          <cell r="C271" t="str">
            <v>Millennium Charter Academy</v>
          </cell>
          <cell r="D271">
            <v>2489373.3041466703</v>
          </cell>
          <cell r="E271">
            <v>3029822.9594189031</v>
          </cell>
          <cell r="F271">
            <v>28381714.315299999</v>
          </cell>
          <cell r="G271">
            <v>31261727.881989967</v>
          </cell>
          <cell r="H271">
            <v>139367.79000000004</v>
          </cell>
          <cell r="I271">
            <v>175880.09</v>
          </cell>
          <cell r="J271">
            <v>397367.81926557788</v>
          </cell>
          <cell r="K271">
            <v>474237.5917810782</v>
          </cell>
          <cell r="L271">
            <v>139367.79000000004</v>
          </cell>
          <cell r="M271">
            <v>175880.09</v>
          </cell>
        </row>
        <row r="272">
          <cell r="B272">
            <v>38605</v>
          </cell>
          <cell r="C272" t="str">
            <v>Surry Community College</v>
          </cell>
          <cell r="D272">
            <v>11759865.39990841</v>
          </cell>
          <cell r="E272">
            <v>11956873.909595812</v>
          </cell>
          <cell r="F272">
            <v>126935357.52603805</v>
          </cell>
          <cell r="G272">
            <v>110444435.75964284</v>
          </cell>
          <cell r="H272">
            <v>658377.12999999989</v>
          </cell>
          <cell r="I272">
            <v>694092.06000000017</v>
          </cell>
          <cell r="J272">
            <v>1877176.0993155576</v>
          </cell>
          <cell r="K272">
            <v>1871528.1929226199</v>
          </cell>
          <cell r="L272">
            <v>658377.12999999989</v>
          </cell>
          <cell r="M272">
            <v>694092.06000000017</v>
          </cell>
        </row>
        <row r="273">
          <cell r="B273">
            <v>38610</v>
          </cell>
          <cell r="C273" t="str">
            <v>Mount Airy City Schools</v>
          </cell>
          <cell r="D273">
            <v>9050712.1531828847</v>
          </cell>
          <cell r="E273">
            <v>9050015.3941753749</v>
          </cell>
          <cell r="F273">
            <v>94146473.734893695</v>
          </cell>
          <cell r="G273">
            <v>85805779.002350897</v>
          </cell>
          <cell r="H273">
            <v>506704.94000000006</v>
          </cell>
          <cell r="I273">
            <v>525350.01</v>
          </cell>
          <cell r="J273">
            <v>1444725.7649625889</v>
          </cell>
          <cell r="K273">
            <v>1416537.3896759171</v>
          </cell>
          <cell r="L273">
            <v>506704.94000000006</v>
          </cell>
          <cell r="M273">
            <v>525350.01</v>
          </cell>
        </row>
        <row r="274">
          <cell r="B274">
            <v>38620</v>
          </cell>
          <cell r="C274" t="str">
            <v>Elkin City Schools</v>
          </cell>
          <cell r="D274">
            <v>7291565.5853516599</v>
          </cell>
          <cell r="E274">
            <v>7132204.4202953335</v>
          </cell>
          <cell r="F274">
            <v>78110918.488299996</v>
          </cell>
          <cell r="G274">
            <v>69893423.648706943</v>
          </cell>
          <cell r="H274">
            <v>408218.96</v>
          </cell>
          <cell r="I274">
            <v>414021.8</v>
          </cell>
          <cell r="J274">
            <v>1163920.8594615881</v>
          </cell>
          <cell r="K274">
            <v>1116355.4747832299</v>
          </cell>
          <cell r="L274">
            <v>408218.96</v>
          </cell>
          <cell r="M274">
            <v>414021.8</v>
          </cell>
        </row>
        <row r="275">
          <cell r="B275">
            <v>38700</v>
          </cell>
          <cell r="C275" t="str">
            <v>Swain County Schools</v>
          </cell>
          <cell r="D275">
            <v>12418709.559964595</v>
          </cell>
          <cell r="E275">
            <v>12255126.993338486</v>
          </cell>
          <cell r="F275">
            <v>134614575.16590005</v>
          </cell>
          <cell r="G275">
            <v>128753078.24306485</v>
          </cell>
          <cell r="H275">
            <v>695262.58</v>
          </cell>
          <cell r="I275">
            <v>711405.53999999992</v>
          </cell>
          <cell r="J275">
            <v>1982344.5233045549</v>
          </cell>
          <cell r="K275">
            <v>1918211.7206633079</v>
          </cell>
          <cell r="L275">
            <v>695262.58</v>
          </cell>
          <cell r="M275">
            <v>711405.53999999992</v>
          </cell>
        </row>
        <row r="276">
          <cell r="B276">
            <v>38701</v>
          </cell>
          <cell r="C276" t="str">
            <v>Mountain Discovery Charter</v>
          </cell>
          <cell r="D276">
            <v>828930.33649869589</v>
          </cell>
          <cell r="E276">
            <v>821214.76377047575</v>
          </cell>
          <cell r="F276">
            <v>8612914.3969999999</v>
          </cell>
          <cell r="G276">
            <v>7545384.9582529906</v>
          </cell>
          <cell r="H276">
            <v>46407.740000000005</v>
          </cell>
          <cell r="I276">
            <v>47671.21</v>
          </cell>
          <cell r="J276">
            <v>132318.53960548507</v>
          </cell>
          <cell r="K276">
            <v>128539.16453926111</v>
          </cell>
          <cell r="L276">
            <v>46407.740000000005</v>
          </cell>
          <cell r="M276">
            <v>47671.21</v>
          </cell>
        </row>
        <row r="277">
          <cell r="B277">
            <v>38800</v>
          </cell>
          <cell r="C277" t="str">
            <v>Transylvania County Schools</v>
          </cell>
          <cell r="D277">
            <v>21140616.851018339</v>
          </cell>
          <cell r="E277">
            <v>21366514.703551136</v>
          </cell>
          <cell r="F277">
            <v>234270874.67191151</v>
          </cell>
          <cell r="G277">
            <v>219112474.28036082</v>
          </cell>
          <cell r="H277">
            <v>1183559.3500000001</v>
          </cell>
          <cell r="I277">
            <v>1240318.19</v>
          </cell>
          <cell r="J277">
            <v>3374584.6000778573</v>
          </cell>
          <cell r="K277">
            <v>3344355.3017733037</v>
          </cell>
          <cell r="L277">
            <v>1183559.3500000001</v>
          </cell>
          <cell r="M277">
            <v>1240318.19</v>
          </cell>
        </row>
        <row r="278">
          <cell r="B278">
            <v>38801</v>
          </cell>
          <cell r="C278" t="str">
            <v>Brevard Academy Charter School</v>
          </cell>
          <cell r="D278">
            <v>1208684.6562211695</v>
          </cell>
          <cell r="E278">
            <v>1516509.1644182284</v>
          </cell>
          <cell r="F278">
            <v>15967793.701299999</v>
          </cell>
          <cell r="G278">
            <v>18077681.216277987</v>
          </cell>
          <cell r="H278">
            <v>67668.319999999992</v>
          </cell>
          <cell r="I278">
            <v>88032.790000000008</v>
          </cell>
          <cell r="J278">
            <v>192937.06782438955</v>
          </cell>
          <cell r="K278">
            <v>237368.87061730173</v>
          </cell>
          <cell r="L278">
            <v>67668.319999999992</v>
          </cell>
          <cell r="M278">
            <v>88032.790000000008</v>
          </cell>
        </row>
        <row r="279">
          <cell r="B279">
            <v>38900</v>
          </cell>
          <cell r="C279" t="str">
            <v>Tyrrell County Schools</v>
          </cell>
          <cell r="D279">
            <v>4434979.3362007374</v>
          </cell>
          <cell r="E279">
            <v>4786524.5407787785</v>
          </cell>
          <cell r="F279">
            <v>52229110.774300009</v>
          </cell>
          <cell r="G279">
            <v>45931834.118466966</v>
          </cell>
          <cell r="H279">
            <v>248292.71999999997</v>
          </cell>
          <cell r="I279">
            <v>277855.95999999996</v>
          </cell>
          <cell r="J279">
            <v>707936.43700541346</v>
          </cell>
          <cell r="K279">
            <v>749202.14864809066</v>
          </cell>
          <cell r="L279">
            <v>248292.71999999997</v>
          </cell>
          <cell r="M279">
            <v>277855.95999999996</v>
          </cell>
        </row>
        <row r="280">
          <cell r="B280">
            <v>39000</v>
          </cell>
          <cell r="C280" t="str">
            <v>Union County Schools</v>
          </cell>
          <cell r="D280">
            <v>204588853.47457105</v>
          </cell>
          <cell r="E280">
            <v>209716810.83896998</v>
          </cell>
          <cell r="F280">
            <v>2369137246.5597515</v>
          </cell>
          <cell r="G280">
            <v>2276362866.4526544</v>
          </cell>
          <cell r="H280">
            <v>11453925.499999998</v>
          </cell>
          <cell r="I280">
            <v>12173982.459999999</v>
          </cell>
          <cell r="J280">
            <v>32657627.691200327</v>
          </cell>
          <cell r="K280">
            <v>32825546.7927921</v>
          </cell>
          <cell r="L280">
            <v>11453925.499999998</v>
          </cell>
          <cell r="M280">
            <v>12173982.459999999</v>
          </cell>
        </row>
        <row r="281">
          <cell r="B281">
            <v>39100</v>
          </cell>
          <cell r="C281" t="str">
            <v>Vance County Schools</v>
          </cell>
          <cell r="D281">
            <v>36175519.372334279</v>
          </cell>
          <cell r="E281">
            <v>35470689.092657372</v>
          </cell>
          <cell r="F281">
            <v>363455087.54461664</v>
          </cell>
          <cell r="G281">
            <v>327968329.57681292</v>
          </cell>
          <cell r="H281">
            <v>2025289.7299999997</v>
          </cell>
          <cell r="I281">
            <v>2059060.24</v>
          </cell>
          <cell r="J281">
            <v>5774540.6122251824</v>
          </cell>
          <cell r="K281">
            <v>5551985.8418867588</v>
          </cell>
          <cell r="L281">
            <v>2025289.7299999997</v>
          </cell>
          <cell r="M281">
            <v>2059060.24</v>
          </cell>
        </row>
        <row r="282">
          <cell r="B282">
            <v>39101</v>
          </cell>
          <cell r="C282" t="str">
            <v>Vance Charter School</v>
          </cell>
          <cell r="D282">
            <v>2347798.1112990477</v>
          </cell>
          <cell r="E282">
            <v>2836513.3595075817</v>
          </cell>
          <cell r="F282">
            <v>25911098.315099992</v>
          </cell>
          <cell r="G282">
            <v>27640648.189599961</v>
          </cell>
          <cell r="H282">
            <v>131441.69</v>
          </cell>
          <cell r="I282">
            <v>164658.53999999998</v>
          </cell>
          <cell r="J282">
            <v>374768.78779438278</v>
          </cell>
          <cell r="K282">
            <v>443980.15418225183</v>
          </cell>
          <cell r="L282">
            <v>131441.69</v>
          </cell>
          <cell r="M282">
            <v>164658.53999999998</v>
          </cell>
        </row>
        <row r="283">
          <cell r="B283">
            <v>39105</v>
          </cell>
          <cell r="C283" t="str">
            <v>Vance-Granville Community College</v>
          </cell>
          <cell r="D283">
            <v>14377702.013149831</v>
          </cell>
          <cell r="E283">
            <v>14102317.874134379</v>
          </cell>
          <cell r="F283">
            <v>150078304.02877954</v>
          </cell>
          <cell r="G283">
            <v>127769892.92395584</v>
          </cell>
          <cell r="H283">
            <v>804936.95000000007</v>
          </cell>
          <cell r="I283">
            <v>818634.28</v>
          </cell>
          <cell r="J283">
            <v>2295049.9571514013</v>
          </cell>
          <cell r="K283">
            <v>2207339.9524450828</v>
          </cell>
          <cell r="L283">
            <v>804936.95000000007</v>
          </cell>
          <cell r="M283">
            <v>818634.28</v>
          </cell>
        </row>
        <row r="284">
          <cell r="B284">
            <v>39200</v>
          </cell>
          <cell r="C284" t="str">
            <v>Wake County Schools</v>
          </cell>
          <cell r="D284">
            <v>839919815.54165733</v>
          </cell>
          <cell r="E284">
            <v>876051260.9684608</v>
          </cell>
          <cell r="F284">
            <v>9571225636.3460255</v>
          </cell>
          <cell r="G284">
            <v>9407881664.4968987</v>
          </cell>
          <cell r="H284">
            <v>47022986.980000004</v>
          </cell>
          <cell r="I284">
            <v>50854448.159999996</v>
          </cell>
          <cell r="J284">
            <v>134072742.28569068</v>
          </cell>
          <cell r="K284">
            <v>137122348.67945588</v>
          </cell>
          <cell r="L284">
            <v>47022986.980000004</v>
          </cell>
          <cell r="M284">
            <v>50854448.159999996</v>
          </cell>
        </row>
        <row r="285">
          <cell r="B285">
            <v>39201</v>
          </cell>
          <cell r="C285" t="str">
            <v>Endeavor Charter School</v>
          </cell>
          <cell r="D285">
            <v>2127255.1084208684</v>
          </cell>
          <cell r="E285">
            <v>2150711.1819255501</v>
          </cell>
          <cell r="F285">
            <v>30491247.617300011</v>
          </cell>
          <cell r="G285">
            <v>28855088.409091964</v>
          </cell>
          <cell r="H285">
            <v>119094.57</v>
          </cell>
          <cell r="I285">
            <v>124847.98000000001</v>
          </cell>
          <cell r="J285">
            <v>339564.4687145552</v>
          </cell>
          <cell r="K285">
            <v>336636.20125468564</v>
          </cell>
          <cell r="L285">
            <v>119094.57</v>
          </cell>
          <cell r="M285">
            <v>124847.98000000001</v>
          </cell>
        </row>
        <row r="286">
          <cell r="B286">
            <v>39204</v>
          </cell>
          <cell r="C286" t="str">
            <v>Southern Wake Academy</v>
          </cell>
          <cell r="D286">
            <v>1609793.9471856041</v>
          </cell>
          <cell r="E286">
            <v>2184210.4502244527</v>
          </cell>
          <cell r="F286">
            <v>19834743.711599998</v>
          </cell>
          <cell r="G286">
            <v>24637009.068144985</v>
          </cell>
          <cell r="H286">
            <v>90124.459999999992</v>
          </cell>
          <cell r="I286">
            <v>126792.6</v>
          </cell>
          <cell r="J286">
            <v>256964.39710127996</v>
          </cell>
          <cell r="K286">
            <v>341879.61400100228</v>
          </cell>
          <cell r="L286">
            <v>90124.459999999992</v>
          </cell>
          <cell r="M286">
            <v>126792.6</v>
          </cell>
        </row>
        <row r="287">
          <cell r="B287">
            <v>39205</v>
          </cell>
          <cell r="C287" t="str">
            <v>Wake Technical College</v>
          </cell>
          <cell r="D287">
            <v>71998112.103236482</v>
          </cell>
          <cell r="E287">
            <v>77622456.013571933</v>
          </cell>
          <cell r="F287">
            <v>745561686.77654827</v>
          </cell>
          <cell r="G287">
            <v>696510556.64833915</v>
          </cell>
          <cell r="H287">
            <v>4030820.8299999996</v>
          </cell>
          <cell r="I287">
            <v>4505954.5500000007</v>
          </cell>
          <cell r="J287">
            <v>11492745.081681829</v>
          </cell>
          <cell r="K287">
            <v>12149715.379762383</v>
          </cell>
          <cell r="L287">
            <v>4030820.8299999996</v>
          </cell>
          <cell r="M287">
            <v>4505954.5500000007</v>
          </cell>
        </row>
        <row r="288">
          <cell r="B288">
            <v>39208</v>
          </cell>
          <cell r="C288" t="str">
            <v>East Wake Academy</v>
          </cell>
          <cell r="D288">
            <v>4567052.5349605801</v>
          </cell>
          <cell r="E288">
            <v>4645680.9118588027</v>
          </cell>
          <cell r="F288">
            <v>61438280.4956</v>
          </cell>
          <cell r="G288">
            <v>56596801.062145948</v>
          </cell>
          <cell r="H288">
            <v>255686.84999999998</v>
          </cell>
          <cell r="I288">
            <v>269680.04000000004</v>
          </cell>
          <cell r="J288">
            <v>729018.70654176897</v>
          </cell>
          <cell r="K288">
            <v>727156.85283663927</v>
          </cell>
          <cell r="L288">
            <v>255686.84999999998</v>
          </cell>
          <cell r="M288">
            <v>269680.04000000004</v>
          </cell>
        </row>
        <row r="289">
          <cell r="B289">
            <v>39209</v>
          </cell>
          <cell r="C289" t="str">
            <v>Casa Esperanza Montessori</v>
          </cell>
          <cell r="D289">
            <v>2240927.3366948781</v>
          </cell>
          <cell r="E289">
            <v>2423109.663315888</v>
          </cell>
          <cell r="F289">
            <v>30282722.122099999</v>
          </cell>
          <cell r="G289">
            <v>29164652.023368973</v>
          </cell>
          <cell r="H289">
            <v>125458.52</v>
          </cell>
          <cell r="I289">
            <v>140660.60999999999</v>
          </cell>
          <cell r="J289">
            <v>357709.47146888729</v>
          </cell>
          <cell r="K289">
            <v>379272.88384294912</v>
          </cell>
          <cell r="L289">
            <v>125458.52</v>
          </cell>
          <cell r="M289">
            <v>140660.60999999999</v>
          </cell>
        </row>
        <row r="290">
          <cell r="B290">
            <v>39300</v>
          </cell>
          <cell r="C290" t="str">
            <v>Warren County Schools</v>
          </cell>
          <cell r="D290">
            <v>13447009.04774921</v>
          </cell>
          <cell r="E290">
            <v>12938266.44920576</v>
          </cell>
          <cell r="F290">
            <v>143888381.35777506</v>
          </cell>
          <cell r="G290">
            <v>124789035.65593587</v>
          </cell>
          <cell r="H290">
            <v>752832.02</v>
          </cell>
          <cell r="I290">
            <v>751061.53</v>
          </cell>
          <cell r="J290">
            <v>2146487.4922727831</v>
          </cell>
          <cell r="K290">
            <v>2025138.8958614478</v>
          </cell>
          <cell r="L290">
            <v>752832.02</v>
          </cell>
          <cell r="M290">
            <v>751061.53</v>
          </cell>
        </row>
        <row r="291">
          <cell r="B291">
            <v>39301</v>
          </cell>
          <cell r="C291" t="str">
            <v>Haliwa-Saponi Tribal Charter</v>
          </cell>
          <cell r="D291">
            <v>777704.55533723696</v>
          </cell>
          <cell r="E291">
            <v>807899.77706547861</v>
          </cell>
          <cell r="F291">
            <v>8247477.8591000019</v>
          </cell>
          <cell r="G291">
            <v>8947951.8071709927</v>
          </cell>
          <cell r="H291">
            <v>43539.86</v>
          </cell>
          <cell r="I291">
            <v>46898.279999999992</v>
          </cell>
          <cell r="J291">
            <v>124141.59124808222</v>
          </cell>
          <cell r="K291">
            <v>126455.06018262044</v>
          </cell>
          <cell r="L291">
            <v>43539.86</v>
          </cell>
          <cell r="M291">
            <v>46898.279999999992</v>
          </cell>
        </row>
        <row r="292">
          <cell r="B292">
            <v>39400</v>
          </cell>
          <cell r="C292" t="str">
            <v>Washington County Schools</v>
          </cell>
          <cell r="D292">
            <v>9835481.8038102314</v>
          </cell>
          <cell r="E292">
            <v>9847845.5112088472</v>
          </cell>
          <cell r="F292">
            <v>96844541.096299961</v>
          </cell>
          <cell r="G292">
            <v>85160727.698412955</v>
          </cell>
          <cell r="H292">
            <v>550640.34</v>
          </cell>
          <cell r="I292">
            <v>571663.75</v>
          </cell>
          <cell r="J292">
            <v>1569995.1266031861</v>
          </cell>
          <cell r="K292">
            <v>1541416.3144250172</v>
          </cell>
          <cell r="L292">
            <v>550640.34</v>
          </cell>
          <cell r="M292">
            <v>571663.75</v>
          </cell>
        </row>
        <row r="293">
          <cell r="B293">
            <v>39401</v>
          </cell>
          <cell r="C293" t="str">
            <v>Henderson Collegiate Charter School</v>
          </cell>
          <cell r="D293">
            <v>2497672.4779967079</v>
          </cell>
          <cell r="E293">
            <v>3516103.0939764958</v>
          </cell>
          <cell r="F293">
            <v>33551726.885499999</v>
          </cell>
          <cell r="G293">
            <v>44659269.741017945</v>
          </cell>
          <cell r="H293">
            <v>139832.41999999998</v>
          </cell>
          <cell r="I293">
            <v>204108.47000000003</v>
          </cell>
          <cell r="J293">
            <v>398692.58024417522</v>
          </cell>
          <cell r="K293">
            <v>550351.71562011633</v>
          </cell>
          <cell r="L293">
            <v>139832.41999999998</v>
          </cell>
          <cell r="M293">
            <v>204108.47000000003</v>
          </cell>
        </row>
        <row r="294">
          <cell r="B294">
            <v>39500</v>
          </cell>
          <cell r="C294" t="str">
            <v>Watauga County Schools</v>
          </cell>
          <cell r="D294">
            <v>26596735.375795141</v>
          </cell>
          <cell r="E294">
            <v>27521168.124913186</v>
          </cell>
          <cell r="F294">
            <v>293719126.91107219</v>
          </cell>
          <cell r="G294">
            <v>281289667.38092566</v>
          </cell>
          <cell r="H294">
            <v>1489020.64</v>
          </cell>
          <cell r="I294">
            <v>1597593.52</v>
          </cell>
          <cell r="J294">
            <v>4245521.0386720989</v>
          </cell>
          <cell r="K294">
            <v>4307701.3638658915</v>
          </cell>
          <cell r="L294">
            <v>1489020.64</v>
          </cell>
          <cell r="M294">
            <v>1597593.52</v>
          </cell>
        </row>
        <row r="295">
          <cell r="B295">
            <v>39501</v>
          </cell>
          <cell r="C295" t="str">
            <v>Two Rivers Community School</v>
          </cell>
          <cell r="D295">
            <v>844540.20674174011</v>
          </cell>
          <cell r="E295">
            <v>865253.97936808004</v>
          </cell>
          <cell r="F295">
            <v>9666635.809249999</v>
          </cell>
          <cell r="G295">
            <v>9018770.188872993</v>
          </cell>
          <cell r="H295">
            <v>47281.659999999996</v>
          </cell>
          <cell r="I295">
            <v>50227.670000000006</v>
          </cell>
          <cell r="J295">
            <v>134810.27521105486</v>
          </cell>
          <cell r="K295">
            <v>135432.32358804633</v>
          </cell>
          <cell r="L295">
            <v>47281.659999999996</v>
          </cell>
          <cell r="M295">
            <v>50227.670000000006</v>
          </cell>
        </row>
        <row r="296">
          <cell r="B296">
            <v>39600</v>
          </cell>
          <cell r="C296" t="str">
            <v>Wayne County Schools</v>
          </cell>
          <cell r="D296">
            <v>90008713.836227655</v>
          </cell>
          <cell r="E296">
            <v>93998029.183619067</v>
          </cell>
          <cell r="F296">
            <v>949163875.94100547</v>
          </cell>
          <cell r="G296">
            <v>915214158.83644652</v>
          </cell>
          <cell r="H296">
            <v>5039145.9999999991</v>
          </cell>
          <cell r="I296">
            <v>5456550.4500000002</v>
          </cell>
          <cell r="J296">
            <v>14367698.999753522</v>
          </cell>
          <cell r="K296">
            <v>14712872.530597173</v>
          </cell>
          <cell r="L296">
            <v>5039145.9999999991</v>
          </cell>
          <cell r="M296">
            <v>5456550.4500000002</v>
          </cell>
        </row>
        <row r="297">
          <cell r="B297">
            <v>39605</v>
          </cell>
          <cell r="C297" t="str">
            <v>Wayne Community College</v>
          </cell>
          <cell r="D297">
            <v>13645333.992455112</v>
          </cell>
          <cell r="E297">
            <v>13930326.757781766</v>
          </cell>
          <cell r="F297">
            <v>136584894.22963971</v>
          </cell>
          <cell r="G297">
            <v>123243725.63790792</v>
          </cell>
          <cell r="H297">
            <v>763935.26000000013</v>
          </cell>
          <cell r="I297">
            <v>808650.25999999989</v>
          </cell>
          <cell r="J297">
            <v>2178145.2394867009</v>
          </cell>
          <cell r="K297">
            <v>2180419.3521594326</v>
          </cell>
          <cell r="L297">
            <v>763935.26000000013</v>
          </cell>
          <cell r="M297">
            <v>808650.25999999989</v>
          </cell>
        </row>
        <row r="298">
          <cell r="B298">
            <v>39700</v>
          </cell>
          <cell r="C298" t="str">
            <v>Wilkes County Schools</v>
          </cell>
          <cell r="D298">
            <v>51373629.631640837</v>
          </cell>
          <cell r="E298">
            <v>51881367.398366094</v>
          </cell>
          <cell r="F298">
            <v>575175662.19549978</v>
          </cell>
          <cell r="G298">
            <v>537622806.0951395</v>
          </cell>
          <cell r="H298">
            <v>2876157.31</v>
          </cell>
          <cell r="I298">
            <v>3011693.98</v>
          </cell>
          <cell r="J298">
            <v>8200548.7648146711</v>
          </cell>
          <cell r="K298">
            <v>8120637.7609698214</v>
          </cell>
          <cell r="L298">
            <v>2876157.31</v>
          </cell>
          <cell r="M298">
            <v>3011693.98</v>
          </cell>
        </row>
        <row r="299">
          <cell r="B299">
            <v>39703</v>
          </cell>
          <cell r="C299" t="str">
            <v>Pinnacle Classical Academy</v>
          </cell>
          <cell r="D299">
            <v>1308201.1514002564</v>
          </cell>
          <cell r="E299">
            <v>1778419.2061628855</v>
          </cell>
          <cell r="F299">
            <v>17925342.557399999</v>
          </cell>
          <cell r="G299">
            <v>21949850.818186976</v>
          </cell>
          <cell r="H299">
            <v>73239.760000000009</v>
          </cell>
          <cell r="I299">
            <v>103236.57000000004</v>
          </cell>
          <cell r="J299">
            <v>208822.45255330732</v>
          </cell>
          <cell r="K299">
            <v>278363.86904588644</v>
          </cell>
          <cell r="L299">
            <v>73239.760000000009</v>
          </cell>
          <cell r="M299">
            <v>103236.57000000004</v>
          </cell>
        </row>
        <row r="300">
          <cell r="B300">
            <v>39705</v>
          </cell>
          <cell r="C300" t="str">
            <v>Wilkes Community College</v>
          </cell>
          <cell r="D300">
            <v>13077733.94657556</v>
          </cell>
          <cell r="E300">
            <v>13656549.456141381</v>
          </cell>
          <cell r="F300">
            <v>134980747.61914989</v>
          </cell>
          <cell r="G300">
            <v>116803589.67112997</v>
          </cell>
          <cell r="H300">
            <v>732158.12</v>
          </cell>
          <cell r="I300">
            <v>792757.59</v>
          </cell>
          <cell r="J300">
            <v>2087541.7160736006</v>
          </cell>
          <cell r="K300">
            <v>2137566.8522103401</v>
          </cell>
          <cell r="L300">
            <v>732158.12</v>
          </cell>
          <cell r="M300">
            <v>792757.59</v>
          </cell>
        </row>
        <row r="301">
          <cell r="B301">
            <v>39800</v>
          </cell>
          <cell r="C301" t="str">
            <v>Wilson County Schools</v>
          </cell>
          <cell r="D301">
            <v>58486989.914635725</v>
          </cell>
          <cell r="E301">
            <v>60483275.513662077</v>
          </cell>
          <cell r="F301">
            <v>636552998.30438864</v>
          </cell>
          <cell r="G301">
            <v>594634717.94352019</v>
          </cell>
          <cell r="H301">
            <v>3274399.4299999992</v>
          </cell>
          <cell r="I301">
            <v>3511031.5300000007</v>
          </cell>
          <cell r="J301">
            <v>9336023.4879490491</v>
          </cell>
          <cell r="K301">
            <v>9467035.9644154999</v>
          </cell>
          <cell r="L301">
            <v>3274399.4299999992</v>
          </cell>
          <cell r="M301">
            <v>3511031.5300000007</v>
          </cell>
        </row>
        <row r="302">
          <cell r="B302">
            <v>39805</v>
          </cell>
          <cell r="C302" t="str">
            <v>Wilson Community College</v>
          </cell>
          <cell r="D302">
            <v>7421273.5115263863</v>
          </cell>
          <cell r="E302">
            <v>7653797.7883233661</v>
          </cell>
          <cell r="F302">
            <v>71594491.994422868</v>
          </cell>
          <cell r="G302">
            <v>64810107.521091938</v>
          </cell>
          <cell r="H302">
            <v>415480.67</v>
          </cell>
          <cell r="I302">
            <v>444300.1</v>
          </cell>
          <cell r="J302">
            <v>1184625.5708359955</v>
          </cell>
          <cell r="K302">
            <v>1197996.939005957</v>
          </cell>
          <cell r="L302">
            <v>415480.67</v>
          </cell>
          <cell r="M302">
            <v>444300.1</v>
          </cell>
        </row>
        <row r="303">
          <cell r="B303">
            <v>39900</v>
          </cell>
          <cell r="C303" t="str">
            <v>Yadkin County Schools</v>
          </cell>
          <cell r="D303">
            <v>29748048.485608377</v>
          </cell>
          <cell r="E303">
            <v>30818352.49624325</v>
          </cell>
          <cell r="F303">
            <v>314396250.08479983</v>
          </cell>
          <cell r="G303">
            <v>302358367.62397081</v>
          </cell>
          <cell r="H303">
            <v>1665447.19</v>
          </cell>
          <cell r="I303">
            <v>1788993.84</v>
          </cell>
          <cell r="J303">
            <v>4748551.4263538541</v>
          </cell>
          <cell r="K303">
            <v>4823787.2199905263</v>
          </cell>
          <cell r="L303">
            <v>1665447.19</v>
          </cell>
          <cell r="M303">
            <v>1788993.84</v>
          </cell>
        </row>
        <row r="304">
          <cell r="B304">
            <v>40000</v>
          </cell>
          <cell r="C304" t="str">
            <v>Consolidated Judicial Retirement System</v>
          </cell>
          <cell r="D304">
            <v>69126557.761851758</v>
          </cell>
          <cell r="E304">
            <v>72856570.009750307</v>
          </cell>
          <cell r="F304">
            <v>509405989.16756624</v>
          </cell>
          <cell r="G304">
            <v>420787689.29055727</v>
          </cell>
          <cell r="H304">
            <v>3870056.6</v>
          </cell>
          <cell r="I304">
            <v>4229296.6493539996</v>
          </cell>
          <cell r="J304">
            <v>11034371.367848745</v>
          </cell>
          <cell r="K304">
            <v>11403743.641008051</v>
          </cell>
          <cell r="L304">
            <v>3870056.6</v>
          </cell>
          <cell r="M304">
            <v>4229296.6493539996</v>
          </cell>
        </row>
        <row r="305">
          <cell r="B305">
            <v>51000</v>
          </cell>
          <cell r="C305" t="str">
            <v>Highway - Administrative</v>
          </cell>
          <cell r="D305">
            <v>503462664.72964084</v>
          </cell>
          <cell r="E305">
            <v>516294855.3490479</v>
          </cell>
          <cell r="F305">
            <v>4795804738.3380404</v>
          </cell>
          <cell r="G305">
            <v>4164462652.6893148</v>
          </cell>
          <cell r="H305">
            <v>28186402.90469946</v>
          </cell>
          <cell r="I305">
            <v>29970723.32</v>
          </cell>
          <cell r="J305">
            <v>80365552.579841956</v>
          </cell>
          <cell r="K305">
            <v>80812124.051186234</v>
          </cell>
          <cell r="L305">
            <v>28186402.90469946</v>
          </cell>
          <cell r="M305">
            <v>29970723.32</v>
          </cell>
        </row>
        <row r="306">
          <cell r="B306">
            <v>51000.1</v>
          </cell>
          <cell r="C306" t="str">
            <v>NC Global TransPark Authority (subset of DOT)</v>
          </cell>
          <cell r="D306">
            <v>447255.68896036019</v>
          </cell>
          <cell r="E306">
            <v>440795.25934749574</v>
          </cell>
          <cell r="F306">
            <v>2592522.6902000001</v>
          </cell>
          <cell r="G306">
            <v>2498619.514064997</v>
          </cell>
          <cell r="H306">
            <v>25039.650273224044</v>
          </cell>
          <cell r="I306">
            <v>25588</v>
          </cell>
          <cell r="J306">
            <v>71393.477820404325</v>
          </cell>
          <cell r="K306">
            <v>68994.685518379192</v>
          </cell>
          <cell r="L306">
            <v>25039.650273224044</v>
          </cell>
          <cell r="M306">
            <v>25588</v>
          </cell>
        </row>
        <row r="307">
          <cell r="B307">
            <v>51000.2</v>
          </cell>
          <cell r="C307" t="str">
            <v>NC State Ports Authority (subset of DOT)</v>
          </cell>
          <cell r="D307">
            <v>12325795.269466814</v>
          </cell>
          <cell r="E307">
            <v>12505472.447248802</v>
          </cell>
          <cell r="F307">
            <v>103182162.23689999</v>
          </cell>
          <cell r="G307">
            <v>96031999.96463792</v>
          </cell>
          <cell r="H307">
            <v>690060.76502732246</v>
          </cell>
          <cell r="I307">
            <v>725938</v>
          </cell>
          <cell r="J307">
            <v>1967513.0197561674</v>
          </cell>
          <cell r="K307">
            <v>1957396.5927716568</v>
          </cell>
          <cell r="L307">
            <v>690060.76502732246</v>
          </cell>
          <cell r="M307">
            <v>725938</v>
          </cell>
        </row>
        <row r="308">
          <cell r="B308">
            <v>60000</v>
          </cell>
          <cell r="C308" t="str">
            <v>Legislative Retirement System</v>
          </cell>
          <cell r="D308">
            <v>3616730.4149406692</v>
          </cell>
          <cell r="E308">
            <v>3618127.757320472</v>
          </cell>
          <cell r="F308">
            <v>24436426.90976106</v>
          </cell>
          <cell r="G308">
            <v>17779542.14137499</v>
          </cell>
          <cell r="H308">
            <v>202482.98</v>
          </cell>
          <cell r="I308">
            <v>210030.96356200005</v>
          </cell>
          <cell r="J308">
            <v>577322.92519667279</v>
          </cell>
          <cell r="K308">
            <v>566320.94263257599</v>
          </cell>
          <cell r="L308">
            <v>202482.98</v>
          </cell>
          <cell r="M308">
            <v>210030.96356200005</v>
          </cell>
        </row>
        <row r="309">
          <cell r="B309">
            <v>90901</v>
          </cell>
          <cell r="C309" t="str">
            <v>Bladen County</v>
          </cell>
          <cell r="D309">
            <v>13200527.889120577</v>
          </cell>
          <cell r="E309">
            <v>13364597.360440426</v>
          </cell>
          <cell r="F309">
            <v>121726805.52031019</v>
          </cell>
          <cell r="G309">
            <v>127670583.16554983</v>
          </cell>
          <cell r="H309">
            <v>739032.75</v>
          </cell>
          <cell r="I309">
            <v>775809.88000000012</v>
          </cell>
          <cell r="J309">
            <v>2107142.7783517479</v>
          </cell>
          <cell r="K309">
            <v>2091869.5752951191</v>
          </cell>
          <cell r="L309">
            <v>739032.75</v>
          </cell>
          <cell r="M309">
            <v>775809.88000000012</v>
          </cell>
        </row>
        <row r="310">
          <cell r="B310">
            <v>91041</v>
          </cell>
          <cell r="C310" t="str">
            <v>Town Of Sunset Beach</v>
          </cell>
          <cell r="D310">
            <v>2124507.5912101571</v>
          </cell>
          <cell r="E310">
            <v>2120562.4950688495</v>
          </cell>
          <cell r="F310">
            <v>22076590.634999998</v>
          </cell>
          <cell r="G310">
            <v>23318488.838417981</v>
          </cell>
          <cell r="H310">
            <v>118940.75</v>
          </cell>
          <cell r="I310">
            <v>123097.85999999999</v>
          </cell>
          <cell r="J310">
            <v>339125.8945077071</v>
          </cell>
          <cell r="K310">
            <v>331917.23224501597</v>
          </cell>
          <cell r="L310">
            <v>118940.75</v>
          </cell>
          <cell r="M310">
            <v>123097.85999999999</v>
          </cell>
        </row>
        <row r="311">
          <cell r="B311">
            <v>91111</v>
          </cell>
          <cell r="C311" t="str">
            <v>Town Of Biltmore Forest</v>
          </cell>
          <cell r="D311">
            <v>1394496.4480083075</v>
          </cell>
          <cell r="E311">
            <v>1455487.9273001943</v>
          </cell>
          <cell r="F311">
            <v>11927687.519399997</v>
          </cell>
          <cell r="G311">
            <v>13217825.019427987</v>
          </cell>
          <cell r="H311">
            <v>78071.010000000009</v>
          </cell>
          <cell r="I311">
            <v>84490.53</v>
          </cell>
          <cell r="J311">
            <v>222597.39493294051</v>
          </cell>
          <cell r="K311">
            <v>227817.63117989615</v>
          </cell>
          <cell r="L311">
            <v>78071.010000000009</v>
          </cell>
          <cell r="M311">
            <v>84490.53</v>
          </cell>
        </row>
        <row r="312">
          <cell r="B312">
            <v>91151</v>
          </cell>
          <cell r="C312" t="str">
            <v>Town Of Black Mountain</v>
          </cell>
          <cell r="D312">
            <v>3224644.2405681154</v>
          </cell>
          <cell r="E312">
            <v>3444827.182714941</v>
          </cell>
          <cell r="F312">
            <v>34714498.57093589</v>
          </cell>
          <cell r="G312">
            <v>36296291.065155953</v>
          </cell>
          <cell r="H312">
            <v>180532</v>
          </cell>
          <cell r="I312">
            <v>199970.93</v>
          </cell>
          <cell r="J312">
            <v>514735.91672547359</v>
          </cell>
          <cell r="K312">
            <v>539195.38174799981</v>
          </cell>
          <cell r="L312">
            <v>180532</v>
          </cell>
          <cell r="M312">
            <v>199970.93</v>
          </cell>
        </row>
        <row r="313">
          <cell r="B313">
            <v>98101</v>
          </cell>
          <cell r="C313" t="str">
            <v>Rutherford County</v>
          </cell>
          <cell r="D313">
            <v>16256267.875062801</v>
          </cell>
          <cell r="E313">
            <v>16395391.557811568</v>
          </cell>
          <cell r="F313">
            <v>157660588.45182958</v>
          </cell>
          <cell r="G313">
            <v>163016296.6347298</v>
          </cell>
          <cell r="H313">
            <v>910108.62999999989</v>
          </cell>
          <cell r="I313">
            <v>951746.34999999986</v>
          </cell>
          <cell r="J313">
            <v>2594917.2444930249</v>
          </cell>
          <cell r="K313">
            <v>2566259.1883506035</v>
          </cell>
          <cell r="L313">
            <v>910108.62999999989</v>
          </cell>
          <cell r="M313">
            <v>951746.34999999986</v>
          </cell>
        </row>
        <row r="314">
          <cell r="B314">
            <v>98103</v>
          </cell>
          <cell r="C314" t="str">
            <v>Rutherford Polk Mcdowell Dist Brd Of Health</v>
          </cell>
          <cell r="D314">
            <v>3500638.2566724643</v>
          </cell>
          <cell r="E314">
            <v>3522586.8566665528</v>
          </cell>
          <cell r="F314">
            <v>31727401.273866609</v>
          </cell>
          <cell r="G314">
            <v>30012179.904446982</v>
          </cell>
          <cell r="H314">
            <v>195983.55000000002</v>
          </cell>
          <cell r="I314">
            <v>204484.84999999998</v>
          </cell>
          <cell r="J314">
            <v>558791.63955621549</v>
          </cell>
          <cell r="K314">
            <v>551366.57491882681</v>
          </cell>
          <cell r="L314">
            <v>195983.55000000002</v>
          </cell>
          <cell r="M314">
            <v>204484.84999999998</v>
          </cell>
        </row>
        <row r="315">
          <cell r="B315">
            <v>98111</v>
          </cell>
          <cell r="C315" t="str">
            <v>Town Of Forest City</v>
          </cell>
          <cell r="D315">
            <v>5636206.2926051319</v>
          </cell>
          <cell r="E315">
            <v>5843788.3700848417</v>
          </cell>
          <cell r="F315">
            <v>60001728.72075171</v>
          </cell>
          <cell r="G315">
            <v>57854632.524067953</v>
          </cell>
          <cell r="H315">
            <v>315543.51999999996</v>
          </cell>
          <cell r="I315">
            <v>339229.73</v>
          </cell>
          <cell r="J315">
            <v>899683.06468649756</v>
          </cell>
          <cell r="K315">
            <v>914688.46880704549</v>
          </cell>
          <cell r="L315">
            <v>315543.51999999996</v>
          </cell>
          <cell r="M315">
            <v>339229.73</v>
          </cell>
        </row>
        <row r="316">
          <cell r="B316">
            <v>98131</v>
          </cell>
          <cell r="C316" t="str">
            <v>Town Of Lake Lure</v>
          </cell>
          <cell r="D316">
            <v>1660425.9988445011</v>
          </cell>
          <cell r="E316">
            <v>1615254.6755139043</v>
          </cell>
          <cell r="F316">
            <v>16897171.661800001</v>
          </cell>
          <cell r="G316">
            <v>14081782.946538989</v>
          </cell>
          <cell r="H316">
            <v>92959.1</v>
          </cell>
          <cell r="I316">
            <v>93764.930000000008</v>
          </cell>
          <cell r="J316">
            <v>265046.57100389391</v>
          </cell>
          <cell r="K316">
            <v>252824.83421927618</v>
          </cell>
          <cell r="L316">
            <v>92959.1</v>
          </cell>
          <cell r="M316">
            <v>93764.930000000008</v>
          </cell>
        </row>
        <row r="317">
          <cell r="B317">
            <v>99401</v>
          </cell>
          <cell r="C317" t="str">
            <v>Washington County</v>
          </cell>
          <cell r="D317">
            <v>5668534.8997434191</v>
          </cell>
          <cell r="E317">
            <v>5662636.2989499755</v>
          </cell>
          <cell r="F317">
            <v>51757330.603164405</v>
          </cell>
          <cell r="G317">
            <v>52301235.589592889</v>
          </cell>
          <cell r="H317">
            <v>317353.44</v>
          </cell>
          <cell r="I317">
            <v>328713.92000000004</v>
          </cell>
          <cell r="J317">
            <v>904843.53945218888</v>
          </cell>
          <cell r="K317">
            <v>886333.96654344455</v>
          </cell>
          <cell r="L317">
            <v>317353.44</v>
          </cell>
          <cell r="M317">
            <v>328713.92000000004</v>
          </cell>
        </row>
        <row r="318">
          <cell r="B318">
            <v>99521</v>
          </cell>
          <cell r="C318" t="str">
            <v>Town Of Blowing Rock</v>
          </cell>
          <cell r="D318">
            <v>2232952.7135386281</v>
          </cell>
          <cell r="E318">
            <v>2403270.9481164846</v>
          </cell>
          <cell r="F318">
            <v>23032820.853925698</v>
          </cell>
          <cell r="G318">
            <v>24140191.971841976</v>
          </cell>
          <cell r="H318">
            <v>125012.06</v>
          </cell>
          <cell r="I318">
            <v>139508.98000000001</v>
          </cell>
          <cell r="J318">
            <v>356436.51710411394</v>
          </cell>
          <cell r="K318">
            <v>376167.66461192176</v>
          </cell>
          <cell r="L318">
            <v>125012.06</v>
          </cell>
          <cell r="M318">
            <v>139508.98000000001</v>
          </cell>
        </row>
        <row r="319">
          <cell r="B319">
            <v>99831</v>
          </cell>
          <cell r="C319" t="str">
            <v>Town Of Black Creek</v>
          </cell>
          <cell r="D319">
            <v>349483.93913593877</v>
          </cell>
          <cell r="E319">
            <v>383467.93060299143</v>
          </cell>
          <cell r="F319">
            <v>2935521.3997</v>
          </cell>
          <cell r="G319">
            <v>3679518.546457998</v>
          </cell>
          <cell r="H319">
            <v>19565.890000000003</v>
          </cell>
          <cell r="I319">
            <v>22260.17</v>
          </cell>
          <cell r="J319">
            <v>55786.599194047471</v>
          </cell>
          <cell r="K319">
            <v>60021.628448321826</v>
          </cell>
          <cell r="L319">
            <v>19565.890000000003</v>
          </cell>
          <cell r="M319">
            <v>22260.17</v>
          </cell>
          <cell r="R319" t="str">
            <v>FALSE</v>
          </cell>
        </row>
      </sheetData>
      <sheetData sheetId="17">
        <row r="12">
          <cell r="P12">
            <v>0</v>
          </cell>
        </row>
      </sheetData>
      <sheetData sheetId="18" refreshError="1"/>
      <sheetData sheetId="19" refreshError="1"/>
      <sheetData sheetId="20" refreshError="1"/>
      <sheetData sheetId="21" refreshError="1"/>
      <sheetData sheetId="22" refreshError="1"/>
      <sheetData sheetId="23">
        <row r="8">
          <cell r="L8">
            <v>10200</v>
          </cell>
        </row>
      </sheetData>
      <sheetData sheetId="24"/>
      <sheetData sheetId="25">
        <row r="4">
          <cell r="D4">
            <v>2.2000000000000002</v>
          </cell>
        </row>
        <row r="7">
          <cell r="D7" t="str">
            <v>North Carolina State Health Plan</v>
          </cell>
        </row>
        <row r="8">
          <cell r="D8" t="str">
            <v>SHPNC</v>
          </cell>
        </row>
        <row r="9">
          <cell r="D9" t="str">
            <v>Client_GASB</v>
          </cell>
        </row>
        <row r="10">
          <cell r="D10" t="str">
            <v>Committee on Actuarial Valuation of Retired Employees' Health Benefits (OPEB)\nState of North Carolina</v>
          </cell>
        </row>
        <row r="11">
          <cell r="D11" t="str">
            <v>4901 Glenwood Avenue, Suite 300</v>
          </cell>
        </row>
        <row r="12">
          <cell r="D12" t="str">
            <v>Raleigh, North Carolina 27612</v>
          </cell>
        </row>
        <row r="17">
          <cell r="D17" t="str">
            <v>Kenneth C. Vieira</v>
          </cell>
        </row>
        <row r="18">
          <cell r="D18" t="str">
            <v>Senior Vice President and Actuary</v>
          </cell>
        </row>
        <row r="19">
          <cell r="D19" t="str">
            <v>FCA, FSA, MAAA</v>
          </cell>
        </row>
        <row r="20">
          <cell r="D20" t="str">
            <v>MAP</v>
          </cell>
        </row>
        <row r="21">
          <cell r="D21" t="str">
            <v>DAB</v>
          </cell>
        </row>
        <row r="22">
          <cell r="D22" t="str">
            <v>David A. Berger, FCA, ASA, MAAA, EA</v>
          </cell>
        </row>
        <row r="23">
          <cell r="D23" t="str">
            <v>Vice President and Associate Actuary</v>
          </cell>
        </row>
        <row r="24">
          <cell r="D24" t="str">
            <v>Atlanta</v>
          </cell>
        </row>
        <row r="25">
          <cell r="D25">
            <v>99999</v>
          </cell>
        </row>
        <row r="26">
          <cell r="D26">
            <v>1</v>
          </cell>
        </row>
        <row r="30">
          <cell r="D30">
            <v>42916</v>
          </cell>
          <cell r="E30">
            <v>42551</v>
          </cell>
        </row>
        <row r="31">
          <cell r="D31">
            <v>42916</v>
          </cell>
          <cell r="E31">
            <v>42551</v>
          </cell>
          <cell r="F31">
            <v>42185</v>
          </cell>
        </row>
        <row r="32">
          <cell r="D32">
            <v>42735</v>
          </cell>
          <cell r="E32">
            <v>42369</v>
          </cell>
        </row>
        <row r="33">
          <cell r="D33">
            <v>42735</v>
          </cell>
          <cell r="E33">
            <v>42369</v>
          </cell>
        </row>
        <row r="34">
          <cell r="F34" t="b">
            <v>0</v>
          </cell>
        </row>
        <row r="36">
          <cell r="D36">
            <v>0.5</v>
          </cell>
        </row>
        <row r="37">
          <cell r="D37">
            <v>0.5</v>
          </cell>
          <cell r="F37">
            <v>0.5</v>
          </cell>
        </row>
        <row r="38">
          <cell r="D38">
            <v>3.5000000000000003E-2</v>
          </cell>
          <cell r="E38">
            <v>3.5000000000000003E-2</v>
          </cell>
        </row>
        <row r="39">
          <cell r="D39">
            <v>4.4999999999999998E-2</v>
          </cell>
          <cell r="E39">
            <v>4.4999999999999998E-2</v>
          </cell>
        </row>
        <row r="40">
          <cell r="D40">
            <v>0</v>
          </cell>
          <cell r="E40">
            <v>0</v>
          </cell>
        </row>
        <row r="41">
          <cell r="D41">
            <v>0</v>
          </cell>
        </row>
        <row r="47">
          <cell r="D47">
            <v>2.8500000000000001E-2</v>
          </cell>
          <cell r="E47">
            <v>3.5799999999999998E-2</v>
          </cell>
          <cell r="F47">
            <v>3.5799999999999998E-2</v>
          </cell>
          <cell r="G47">
            <v>4.58E-2</v>
          </cell>
          <cell r="H47">
            <v>2.58E-2</v>
          </cell>
          <cell r="I47">
            <v>2.8500000000000001E-2</v>
          </cell>
        </row>
        <row r="52">
          <cell r="D52">
            <v>43281</v>
          </cell>
          <cell r="E52">
            <v>42916</v>
          </cell>
        </row>
        <row r="53">
          <cell r="E53">
            <v>7.2499999999999995E-2</v>
          </cell>
          <cell r="F53">
            <v>7.2499999999999995E-2</v>
          </cell>
        </row>
        <row r="54">
          <cell r="D54">
            <v>6</v>
          </cell>
          <cell r="E54">
            <v>6</v>
          </cell>
        </row>
        <row r="61">
          <cell r="D61">
            <v>304</v>
          </cell>
        </row>
        <row r="65">
          <cell r="D65">
            <v>1</v>
          </cell>
        </row>
        <row r="75">
          <cell r="K75" t="str">
            <v>Atlanta</v>
          </cell>
          <cell r="L75" t="str">
            <v>2018 Powers Ferry Road, Suite 850</v>
          </cell>
          <cell r="M75" t="str">
            <v>Atlanta, GA  30339</v>
          </cell>
          <cell r="N75" t="str">
            <v>678.306.3100</v>
          </cell>
          <cell r="O75" t="str">
            <v>678-669-1887</v>
          </cell>
        </row>
        <row r="76">
          <cell r="K76" t="str">
            <v>Boston</v>
          </cell>
          <cell r="L76" t="str">
            <v>116 Huntington Ave., 8th Floor</v>
          </cell>
          <cell r="M76" t="str">
            <v>Boston, MA  02116</v>
          </cell>
          <cell r="N76" t="str">
            <v>617.424.7300</v>
          </cell>
          <cell r="O76" t="str">
            <v>617.904.1833</v>
          </cell>
        </row>
        <row r="77">
          <cell r="K77" t="str">
            <v>Chicago</v>
          </cell>
          <cell r="L77" t="str">
            <v>101 North Wacker Drive, Suite 500</v>
          </cell>
          <cell r="M77" t="str">
            <v>Chicago, IL  60606</v>
          </cell>
          <cell r="N77" t="str">
            <v>312.984.8500</v>
          </cell>
          <cell r="O77" t="str">
            <v>312.896.9364</v>
          </cell>
        </row>
        <row r="78">
          <cell r="K78" t="str">
            <v>Cleveland</v>
          </cell>
          <cell r="L78" t="str">
            <v>1300 East Ninth Street, Suite 1900</v>
          </cell>
          <cell r="M78" t="str">
            <v>Cleveland, OH  44114</v>
          </cell>
          <cell r="N78" t="str">
            <v>216.687.4400</v>
          </cell>
          <cell r="O78" t="str">
            <v>216.916.4320</v>
          </cell>
        </row>
        <row r="79">
          <cell r="K79" t="str">
            <v>Denver</v>
          </cell>
          <cell r="L79" t="str">
            <v>5990 Greenwood Plaza Blvd., Suite 118</v>
          </cell>
          <cell r="M79" t="str">
            <v>Greenwood Village, CO  80111</v>
          </cell>
          <cell r="N79" t="str">
            <v>303.714.9900</v>
          </cell>
          <cell r="O79" t="str">
            <v>303.223.9234</v>
          </cell>
        </row>
        <row r="80">
          <cell r="K80" t="str">
            <v>Detroit</v>
          </cell>
          <cell r="L80" t="str">
            <v>40701 Woodward Avenue, Suite 100</v>
          </cell>
          <cell r="M80" t="str">
            <v>Bloomfield Hills, MI 48304-5078</v>
          </cell>
          <cell r="N80" t="str">
            <v>248.530.6370</v>
          </cell>
          <cell r="O80" t="str">
            <v>248.562.3223</v>
          </cell>
        </row>
        <row r="81">
          <cell r="K81" t="str">
            <v>Hartford</v>
          </cell>
          <cell r="L81" t="str">
            <v>30 Waterside Drive, Suite 300</v>
          </cell>
          <cell r="M81" t="str">
            <v>Farmington, CT  06032</v>
          </cell>
          <cell r="N81" t="str">
            <v>860.678.3000</v>
          </cell>
          <cell r="O81" t="str">
            <v>860.371.3429</v>
          </cell>
        </row>
        <row r="82">
          <cell r="K82" t="str">
            <v>Houston</v>
          </cell>
          <cell r="L82" t="str">
            <v>7900 North Sam Houston Parkway West, Suite 110</v>
          </cell>
          <cell r="M82" t="str">
            <v>Houston, TX  77064-3425</v>
          </cell>
          <cell r="N82" t="str">
            <v xml:space="preserve">281.671.5600 </v>
          </cell>
          <cell r="O82" t="str">
            <v>281.754.4722</v>
          </cell>
        </row>
        <row r="83">
          <cell r="K83" t="str">
            <v>Los Angeles</v>
          </cell>
          <cell r="L83" t="str">
            <v>330 North Brand Boulevard, Suite 1100</v>
          </cell>
          <cell r="M83" t="str">
            <v>Glendale, CA  91203</v>
          </cell>
          <cell r="N83" t="str">
            <v>818.956.6700</v>
          </cell>
          <cell r="O83" t="str">
            <v>818.484.2697</v>
          </cell>
        </row>
        <row r="84">
          <cell r="K84" t="str">
            <v>Minneapolis</v>
          </cell>
          <cell r="L84" t="str">
            <v>3800 American Boulevard West, Suite 870</v>
          </cell>
          <cell r="M84" t="str">
            <v>Bloomington, MN  55431</v>
          </cell>
          <cell r="N84" t="str">
            <v>952.259.2600</v>
          </cell>
          <cell r="O84" t="str">
            <v>952.487.0476</v>
          </cell>
        </row>
        <row r="85">
          <cell r="K85" t="str">
            <v>New Orleans</v>
          </cell>
          <cell r="L85" t="str">
            <v>P.O. Box 56268</v>
          </cell>
          <cell r="M85" t="str">
            <v>Metairie, LA  70055</v>
          </cell>
          <cell r="N85" t="str">
            <v>504.483.0744</v>
          </cell>
          <cell r="O85" t="str">
            <v>504.483.0771</v>
          </cell>
        </row>
        <row r="86">
          <cell r="K86" t="str">
            <v>New York</v>
          </cell>
          <cell r="L86" t="str">
            <v>333 West 34th Street</v>
          </cell>
          <cell r="M86" t="str">
            <v>New York, NY  10001</v>
          </cell>
          <cell r="N86" t="str">
            <v>212.251.5000</v>
          </cell>
          <cell r="O86" t="str">
            <v>646.365.3243</v>
          </cell>
        </row>
        <row r="87">
          <cell r="K87" t="str">
            <v>Philadelphia</v>
          </cell>
          <cell r="L87" t="str">
            <v>Two Penn Center, 1500 JFK Boulevard, Suite 200</v>
          </cell>
          <cell r="M87" t="str">
            <v>Philadelphia, PA 19102-1706</v>
          </cell>
          <cell r="N87" t="str">
            <v>215.854.4017</v>
          </cell>
          <cell r="O87" t="str">
            <v>215.854.4018</v>
          </cell>
        </row>
        <row r="88">
          <cell r="K88" t="str">
            <v>Phoenix</v>
          </cell>
          <cell r="L88" t="str">
            <v>1230 W Washington Street, Suite 501</v>
          </cell>
          <cell r="M88" t="str">
            <v>Tempe, AZ  85281</v>
          </cell>
          <cell r="N88" t="str">
            <v>602.381.4000</v>
          </cell>
          <cell r="O88" t="str">
            <v>602.532.7654</v>
          </cell>
        </row>
        <row r="89">
          <cell r="K89" t="str">
            <v>San Francisco</v>
          </cell>
          <cell r="L89" t="str">
            <v>100 Montgomery Street, Suite 500</v>
          </cell>
          <cell r="M89" t="str">
            <v>San Francisco, CA  94104</v>
          </cell>
          <cell r="N89" t="str">
            <v>415.263.8200</v>
          </cell>
          <cell r="O89" t="str">
            <v>415.376.1167</v>
          </cell>
        </row>
        <row r="90">
          <cell r="K90" t="str">
            <v>Toronto</v>
          </cell>
          <cell r="L90" t="str">
            <v>45 St. Clair Avenue West, Suite 802</v>
          </cell>
          <cell r="M90" t="str">
            <v>Toronto, ONT  M4V 1K9</v>
          </cell>
          <cell r="N90" t="str">
            <v>416.961.3264</v>
          </cell>
          <cell r="O90" t="str">
            <v>416.961.2101</v>
          </cell>
        </row>
        <row r="91">
          <cell r="K91" t="str">
            <v>Washington</v>
          </cell>
          <cell r="L91" t="str">
            <v>1800 M Street NW, Suite 900 S</v>
          </cell>
          <cell r="M91" t="str">
            <v>Washington, DC  20036</v>
          </cell>
          <cell r="N91" t="str">
            <v>202.833.6400</v>
          </cell>
          <cell r="O91" t="str">
            <v>202.330.5694</v>
          </cell>
        </row>
      </sheetData>
      <sheetData sheetId="2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low"/>
      <sheetName val="Membership"/>
      <sheetName val="Assets"/>
      <sheetName val="Assets Input"/>
      <sheetName val="Liabilities"/>
      <sheetName val="Liabilities Input"/>
      <sheetName val="Results"/>
      <sheetName val="GainLoss"/>
      <sheetName val="Reconciliation"/>
      <sheetName val="ProVal GainLoss"/>
      <sheetName val="NPL"/>
      <sheetName val="68 - SFL"/>
      <sheetName val="68 - SFL TPL Reconciliation"/>
      <sheetName val="68 - ER Contributions"/>
      <sheetName val="68 - Allocation Exhibit"/>
      <sheetName val="68 - Allocation Prior"/>
      <sheetName val="68 - Agency Reconciliation"/>
      <sheetName val="68 - Collect Pens Expense"/>
      <sheetName val="68 - Collect Amort Experience"/>
      <sheetName val="68 - Collect Amort Assump"/>
      <sheetName val="68 - Collect Amort AssetRtn"/>
      <sheetName val="68 - Estab New Paragraph 54"/>
      <sheetName val="68 - Estab New Paragraph 55"/>
      <sheetName val="68 - Maintain Outstanding Bases"/>
      <sheetName val="68 - Summary Exhibit"/>
      <sheetName val="68 - Deferred Amortization"/>
      <sheetName val="GASB 68 (JS Check)"/>
      <sheetName val="Report --&gt;"/>
      <sheetName val="Executive Summary"/>
      <sheetName val="Exec Summary Table"/>
      <sheetName val="Table 1"/>
      <sheetName val="Table 2"/>
      <sheetName val="Table 3"/>
      <sheetName val="Table 4"/>
      <sheetName val="Table 5-6"/>
      <sheetName val="Table 7"/>
      <sheetName val="Table 8"/>
      <sheetName val="Table 9"/>
      <sheetName val="Table 10"/>
      <sheetName val="Table 11"/>
      <sheetName val="Table 12"/>
      <sheetName val="Table 13"/>
      <sheetName val="Table 14"/>
      <sheetName val="Table 15"/>
      <sheetName val="Table 16"/>
      <sheetName val="Table 17"/>
      <sheetName val="Table 18"/>
      <sheetName val="Table 19"/>
      <sheetName val="Table 20"/>
      <sheetName val="Table 21"/>
      <sheetName val="Table 22"/>
      <sheetName val="Table 23"/>
      <sheetName val="GASB 25 26 --&gt;"/>
      <sheetName val="GASB 25 27 (1)"/>
      <sheetName val="GASB 25 27 (2)"/>
      <sheetName val="GASB 25 27 (3)"/>
      <sheetName val="GASB 25 27 (4)"/>
      <sheetName val="GASB 67 --&gt;"/>
      <sheetName val="GASB 67 (1.1)"/>
      <sheetName val="GASB 67 (1.2)"/>
      <sheetName val="GASB 67 (3)"/>
      <sheetName val="68 - Estab New Prop Share Base"/>
      <sheetName val="68 - Estab New Contrb Diff Base"/>
      <sheetName val="68 - Separately Financed Liab"/>
    </sheetNames>
    <sheetDataSet>
      <sheetData sheetId="0"/>
      <sheetData sheetId="1"/>
      <sheetData sheetId="2"/>
      <sheetData sheetId="3">
        <row r="37">
          <cell r="L37">
            <v>0</v>
          </cell>
        </row>
        <row r="38">
          <cell r="L38">
            <v>0</v>
          </cell>
        </row>
        <row r="39">
          <cell r="L39">
            <v>4249859016</v>
          </cell>
        </row>
        <row r="40">
          <cell r="L40">
            <v>0</v>
          </cell>
        </row>
        <row r="41">
          <cell r="L41">
            <v>0</v>
          </cell>
        </row>
        <row r="42">
          <cell r="K42" t="str">
            <v>C</v>
          </cell>
          <cell r="L42">
            <v>329196929</v>
          </cell>
        </row>
        <row r="43">
          <cell r="L43">
            <v>162733483</v>
          </cell>
        </row>
        <row r="44">
          <cell r="K44">
            <v>0</v>
          </cell>
          <cell r="L44">
            <v>29528</v>
          </cell>
        </row>
        <row r="45">
          <cell r="K45" t="str">
            <v>C</v>
          </cell>
          <cell r="L45">
            <v>1234415</v>
          </cell>
        </row>
        <row r="46">
          <cell r="K46" t="str">
            <v>C</v>
          </cell>
          <cell r="L46">
            <v>12649523</v>
          </cell>
        </row>
        <row r="47">
          <cell r="K47">
            <v>0</v>
          </cell>
          <cell r="L47">
            <v>505843878</v>
          </cell>
        </row>
        <row r="48">
          <cell r="K48">
            <v>0</v>
          </cell>
          <cell r="L48">
            <v>0</v>
          </cell>
        </row>
        <row r="49">
          <cell r="L49">
            <v>0</v>
          </cell>
        </row>
        <row r="50">
          <cell r="K50">
            <v>0</v>
          </cell>
          <cell r="L50">
            <v>272886687</v>
          </cell>
        </row>
        <row r="51">
          <cell r="K51" t="str">
            <v>P</v>
          </cell>
          <cell r="L51">
            <v>48038073</v>
          </cell>
        </row>
        <row r="52">
          <cell r="K52" t="str">
            <v>P</v>
          </cell>
          <cell r="L52">
            <v>3242156</v>
          </cell>
        </row>
        <row r="53">
          <cell r="K53" t="str">
            <v>P</v>
          </cell>
          <cell r="L53">
            <v>21864</v>
          </cell>
        </row>
        <row r="54">
          <cell r="K54">
            <v>0</v>
          </cell>
          <cell r="L54">
            <v>324188780</v>
          </cell>
        </row>
        <row r="55">
          <cell r="K55">
            <v>0</v>
          </cell>
          <cell r="L55">
            <v>0</v>
          </cell>
        </row>
        <row r="56">
          <cell r="K56">
            <v>0</v>
          </cell>
          <cell r="L56">
            <v>4431514114</v>
          </cell>
        </row>
        <row r="60">
          <cell r="K60">
            <v>0</v>
          </cell>
          <cell r="L60">
            <v>15473778789</v>
          </cell>
        </row>
        <row r="61">
          <cell r="K61">
            <v>0</v>
          </cell>
          <cell r="L61">
            <v>0</v>
          </cell>
        </row>
        <row r="62">
          <cell r="K62">
            <v>0</v>
          </cell>
          <cell r="L62">
            <v>0</v>
          </cell>
        </row>
        <row r="63">
          <cell r="K63">
            <v>0</v>
          </cell>
          <cell r="L63">
            <v>0</v>
          </cell>
        </row>
        <row r="64">
          <cell r="K64">
            <v>0</v>
          </cell>
          <cell r="L64">
            <v>0</v>
          </cell>
        </row>
        <row r="65">
          <cell r="K65">
            <v>0</v>
          </cell>
          <cell r="L65">
            <v>315973832</v>
          </cell>
        </row>
        <row r="66">
          <cell r="K66">
            <v>0</v>
          </cell>
          <cell r="L66">
            <v>70637813</v>
          </cell>
        </row>
        <row r="67">
          <cell r="K67">
            <v>0</v>
          </cell>
          <cell r="L67">
            <v>278178</v>
          </cell>
        </row>
        <row r="68">
          <cell r="K68">
            <v>0</v>
          </cell>
          <cell r="L68">
            <v>475429</v>
          </cell>
        </row>
        <row r="69">
          <cell r="K69">
            <v>0</v>
          </cell>
          <cell r="L69">
            <v>0</v>
          </cell>
        </row>
        <row r="70">
          <cell r="K70">
            <v>0</v>
          </cell>
          <cell r="L70">
            <v>11012485</v>
          </cell>
        </row>
        <row r="71">
          <cell r="K71">
            <v>0</v>
          </cell>
          <cell r="L71">
            <v>11130</v>
          </cell>
        </row>
        <row r="72">
          <cell r="K72" t="str">
            <v>C</v>
          </cell>
          <cell r="L72">
            <v>398388867</v>
          </cell>
        </row>
        <row r="73">
          <cell r="K73">
            <v>0</v>
          </cell>
          <cell r="L73">
            <v>0</v>
          </cell>
        </row>
        <row r="74">
          <cell r="K74">
            <v>0</v>
          </cell>
          <cell r="L74">
            <v>2388746266</v>
          </cell>
        </row>
        <row r="75">
          <cell r="K75">
            <v>0</v>
          </cell>
          <cell r="L75">
            <v>272886687</v>
          </cell>
        </row>
        <row r="76">
          <cell r="K76" t="str">
            <v>C</v>
          </cell>
          <cell r="L76">
            <v>3257736</v>
          </cell>
        </row>
        <row r="77">
          <cell r="K77" t="str">
            <v>C</v>
          </cell>
          <cell r="L77">
            <v>613547</v>
          </cell>
        </row>
        <row r="78">
          <cell r="K78" t="str">
            <v>E</v>
          </cell>
          <cell r="L78">
            <v>815300</v>
          </cell>
        </row>
        <row r="79">
          <cell r="K79" t="str">
            <v>C</v>
          </cell>
          <cell r="L79">
            <v>56441</v>
          </cell>
        </row>
        <row r="80">
          <cell r="K80" t="str">
            <v>E</v>
          </cell>
          <cell r="L80">
            <v>10400</v>
          </cell>
        </row>
        <row r="81">
          <cell r="K81" t="str">
            <v>C</v>
          </cell>
          <cell r="L81">
            <v>139147</v>
          </cell>
        </row>
        <row r="82">
          <cell r="K82">
            <v>0</v>
          </cell>
          <cell r="L82">
            <v>0</v>
          </cell>
        </row>
        <row r="83">
          <cell r="K83">
            <v>0</v>
          </cell>
          <cell r="L83">
            <v>3064914391</v>
          </cell>
        </row>
        <row r="84">
          <cell r="K84">
            <v>0</v>
          </cell>
          <cell r="L84">
            <v>0</v>
          </cell>
        </row>
        <row r="85">
          <cell r="L85">
            <v>0</v>
          </cell>
        </row>
        <row r="86">
          <cell r="K86" t="str">
            <v>P</v>
          </cell>
          <cell r="L86">
            <v>1013743417</v>
          </cell>
        </row>
        <row r="87">
          <cell r="K87">
            <v>0</v>
          </cell>
          <cell r="L87">
            <v>29528</v>
          </cell>
        </row>
        <row r="88">
          <cell r="K88">
            <v>0</v>
          </cell>
          <cell r="L88">
            <v>162733483</v>
          </cell>
        </row>
        <row r="89">
          <cell r="K89">
            <v>0</v>
          </cell>
          <cell r="L89">
            <v>0</v>
          </cell>
        </row>
        <row r="90">
          <cell r="K90" t="str">
            <v>P</v>
          </cell>
          <cell r="L90">
            <v>3887107</v>
          </cell>
        </row>
        <row r="91">
          <cell r="K91" t="str">
            <v>P</v>
          </cell>
          <cell r="L91">
            <v>19235</v>
          </cell>
        </row>
        <row r="92">
          <cell r="K92" t="str">
            <v>P</v>
          </cell>
          <cell r="L92">
            <v>4322147</v>
          </cell>
        </row>
        <row r="93">
          <cell r="K93" t="str">
            <v>P</v>
          </cell>
          <cell r="L93">
            <v>5989</v>
          </cell>
        </row>
        <row r="94">
          <cell r="K94" t="str">
            <v>P</v>
          </cell>
          <cell r="L94">
            <v>1211288</v>
          </cell>
        </row>
        <row r="95">
          <cell r="K95">
            <v>0</v>
          </cell>
          <cell r="L95">
            <v>1185952194</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refreshError="1"/>
      <sheetData sheetId="62" refreshError="1"/>
      <sheetData sheetId="6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
      <sheetName val="JE Template"/>
      <sheetName val="2018 Summary"/>
      <sheetName val="2017 Summary"/>
      <sheetName val="TSERS Contributions FY 2017"/>
      <sheetName val="Deferred Amortization"/>
    </sheetNames>
    <sheetDataSet>
      <sheetData sheetId="0"/>
      <sheetData sheetId="1"/>
      <sheetData sheetId="2"/>
      <sheetData sheetId="3"/>
      <sheetData sheetId="4">
        <row r="2">
          <cell r="A2" t="str">
            <v>N/A</v>
          </cell>
          <cell r="B2" t="str">
            <v>NO AGENCY CHOSEN</v>
          </cell>
          <cell r="C2">
            <v>0</v>
          </cell>
        </row>
        <row r="3">
          <cell r="A3">
            <v>10200</v>
          </cell>
          <cell r="B3" t="str">
            <v>NORTH CAROLINA EDUCATION LOTTERY</v>
          </cell>
          <cell r="C3">
            <v>1443743.05</v>
          </cell>
        </row>
        <row r="4">
          <cell r="A4">
            <v>10400</v>
          </cell>
          <cell r="B4" t="str">
            <v>DEPARTMENT OF JUSTICE</v>
          </cell>
          <cell r="C4">
            <v>4948936.209999999</v>
          </cell>
        </row>
        <row r="5">
          <cell r="A5">
            <v>10500</v>
          </cell>
          <cell r="B5" t="str">
            <v>STATE AUDITOR</v>
          </cell>
          <cell r="C5">
            <v>1061675.81</v>
          </cell>
        </row>
        <row r="6">
          <cell r="A6">
            <v>10700</v>
          </cell>
          <cell r="B6" t="str">
            <v>DEPARTMENT OF NATURAL AND CULTURAL RESOURCES</v>
          </cell>
          <cell r="C6">
            <v>7339207.2700000005</v>
          </cell>
        </row>
        <row r="7">
          <cell r="A7">
            <v>10800</v>
          </cell>
          <cell r="B7" t="str">
            <v>ADMINISTRATIVE OFFICE OF THE COURTS</v>
          </cell>
          <cell r="C7">
            <v>30753061.119999997</v>
          </cell>
        </row>
        <row r="8">
          <cell r="A8">
            <v>10850</v>
          </cell>
          <cell r="B8" t="str">
            <v>OFFICE OF ADMINISTRATIVE HEARING</v>
          </cell>
          <cell r="C8">
            <v>311655.44000000006</v>
          </cell>
        </row>
        <row r="9">
          <cell r="A9">
            <v>10900</v>
          </cell>
          <cell r="B9" t="str">
            <v>DEPARTMENT OF ADMINISTRATION</v>
          </cell>
          <cell r="C9">
            <v>3210852.66</v>
          </cell>
        </row>
        <row r="10">
          <cell r="A10">
            <v>10910</v>
          </cell>
          <cell r="B10" t="str">
            <v>OFFICE OF STATE BUDGET &amp; MANAGEMENT</v>
          </cell>
          <cell r="C10">
            <v>412896.21000000008</v>
          </cell>
        </row>
        <row r="11">
          <cell r="A11">
            <v>10930</v>
          </cell>
          <cell r="B11" t="str">
            <v>INFORMATION TECHNOLOGY SERVICES</v>
          </cell>
          <cell r="C11">
            <v>4598708.6399999997</v>
          </cell>
        </row>
        <row r="12">
          <cell r="A12">
            <v>10940</v>
          </cell>
          <cell r="B12" t="str">
            <v>OFFICE OF STATE CONTROLLER</v>
          </cell>
          <cell r="C12">
            <v>1160611.5399999998</v>
          </cell>
        </row>
        <row r="13">
          <cell r="A13">
            <v>10950</v>
          </cell>
          <cell r="B13" t="str">
            <v>N C SCHOOL OF SCIENCE &amp; MATHEMATICS</v>
          </cell>
          <cell r="C13">
            <v>1035714.4400000001</v>
          </cell>
        </row>
        <row r="14">
          <cell r="A14">
            <v>11300</v>
          </cell>
          <cell r="B14" t="str">
            <v>ENVIRONMENT AND NATURAL RESOURCES</v>
          </cell>
          <cell r="C14">
            <v>8092145.2500000009</v>
          </cell>
        </row>
        <row r="15">
          <cell r="A15">
            <v>11310</v>
          </cell>
          <cell r="B15" t="str">
            <v>NC HOUSING FINANCE AGENCY</v>
          </cell>
          <cell r="C15">
            <v>861312.00000000023</v>
          </cell>
        </row>
        <row r="16">
          <cell r="A16">
            <v>11600</v>
          </cell>
          <cell r="B16" t="str">
            <v>WILDLIFE RESOURCES COMMISSION</v>
          </cell>
          <cell r="C16">
            <v>3102467.14</v>
          </cell>
        </row>
        <row r="17">
          <cell r="A17">
            <v>11900</v>
          </cell>
          <cell r="B17" t="str">
            <v>STATE BOARD OF ELECTIONS</v>
          </cell>
          <cell r="C17">
            <v>310607.86</v>
          </cell>
        </row>
        <row r="18">
          <cell r="A18">
            <v>12100</v>
          </cell>
          <cell r="B18" t="str">
            <v>GOVERNOR'S OFFICE</v>
          </cell>
          <cell r="C18">
            <v>402066.77999999997</v>
          </cell>
        </row>
        <row r="19">
          <cell r="A19">
            <v>12150</v>
          </cell>
          <cell r="B19" t="str">
            <v>LT GOVERNOR'S OFFICE</v>
          </cell>
          <cell r="C19">
            <v>48546.299999999988</v>
          </cell>
        </row>
        <row r="20">
          <cell r="A20">
            <v>12160</v>
          </cell>
          <cell r="B20" t="str">
            <v>GENERAL ASSEMBLY</v>
          </cell>
          <cell r="C20">
            <v>3074313.0100000002</v>
          </cell>
        </row>
        <row r="21">
          <cell r="A21">
            <v>12220</v>
          </cell>
          <cell r="B21" t="str">
            <v>HEALTH &amp; HUMAN SVCS</v>
          </cell>
          <cell r="C21">
            <v>76495429.139999986</v>
          </cell>
        </row>
        <row r="22">
          <cell r="A22">
            <v>12510</v>
          </cell>
          <cell r="B22" t="str">
            <v>DEPARTMENT OF COMMERCE</v>
          </cell>
          <cell r="C22">
            <v>9239274.3700000029</v>
          </cell>
        </row>
        <row r="23">
          <cell r="A23">
            <v>12600</v>
          </cell>
          <cell r="B23" t="str">
            <v>INSURANCE DEPARTMENT</v>
          </cell>
          <cell r="C23">
            <v>2508411.69</v>
          </cell>
        </row>
        <row r="24">
          <cell r="A24">
            <v>12700</v>
          </cell>
          <cell r="B24" t="str">
            <v>LABOR DEPARTMENT</v>
          </cell>
          <cell r="C24">
            <v>1927194.41</v>
          </cell>
        </row>
        <row r="25">
          <cell r="A25">
            <v>13500</v>
          </cell>
          <cell r="B25" t="str">
            <v>REVENUE DEPARTMENT</v>
          </cell>
          <cell r="C25">
            <v>6953791.7199999997</v>
          </cell>
        </row>
        <row r="26">
          <cell r="A26">
            <v>13700</v>
          </cell>
          <cell r="B26" t="str">
            <v>SECRETARY OF STATE</v>
          </cell>
          <cell r="C26">
            <v>819023.69</v>
          </cell>
        </row>
        <row r="27">
          <cell r="A27">
            <v>14300</v>
          </cell>
          <cell r="B27" t="str">
            <v>STATE TREASURER</v>
          </cell>
          <cell r="C27">
            <v>2740607.29</v>
          </cell>
        </row>
        <row r="28">
          <cell r="A28">
            <v>18400</v>
          </cell>
          <cell r="B28" t="str">
            <v>DEPT OF AGRICULTURE &amp; CONSUMER SVCS.</v>
          </cell>
          <cell r="C28">
            <v>8978291.6900000013</v>
          </cell>
        </row>
        <row r="29">
          <cell r="A29">
            <v>18600</v>
          </cell>
          <cell r="B29" t="str">
            <v>BARBER EXAMINERS, STATE BOARD OF</v>
          </cell>
          <cell r="C29">
            <v>25219.660000000003</v>
          </cell>
        </row>
        <row r="30">
          <cell r="A30">
            <v>18640</v>
          </cell>
          <cell r="B30" t="str">
            <v>NORTH CAROLINA BOARD OF OPTICIANS</v>
          </cell>
          <cell r="C30">
            <v>498.5</v>
          </cell>
        </row>
        <row r="31">
          <cell r="A31">
            <v>18690</v>
          </cell>
          <cell r="B31" t="str">
            <v>N C REAL ESTATE COMMISSION</v>
          </cell>
          <cell r="C31">
            <v>6267.16</v>
          </cell>
        </row>
        <row r="32">
          <cell r="A32">
            <v>18740</v>
          </cell>
          <cell r="B32" t="str">
            <v>N C AUCTIONEERS LICENSING BOARD</v>
          </cell>
          <cell r="C32">
            <v>12972.959999999995</v>
          </cell>
        </row>
        <row r="33">
          <cell r="A33">
            <v>18780</v>
          </cell>
          <cell r="B33" t="str">
            <v>N C STATE BOARD OF EXAMINERS OF PRACTICING PSYCHOL</v>
          </cell>
          <cell r="C33">
            <v>24763.699999999997</v>
          </cell>
        </row>
        <row r="34">
          <cell r="A34">
            <v>19005</v>
          </cell>
          <cell r="B34" t="str">
            <v>COMMUNITY COLLEGES ADMINISTRATION</v>
          </cell>
          <cell r="C34">
            <v>1362086.37</v>
          </cell>
        </row>
        <row r="35">
          <cell r="A35">
            <v>19100</v>
          </cell>
          <cell r="B35" t="str">
            <v>DEPARTMENT OF PUBLIC SAFETY</v>
          </cell>
          <cell r="C35">
            <v>103912458.98</v>
          </cell>
        </row>
        <row r="36">
          <cell r="A36">
            <v>20100</v>
          </cell>
          <cell r="B36" t="str">
            <v>APPALACHIAN STATE UNIVERSITY</v>
          </cell>
          <cell r="C36">
            <v>8943397.4800000023</v>
          </cell>
        </row>
        <row r="37">
          <cell r="A37">
            <v>20200</v>
          </cell>
          <cell r="B37" t="str">
            <v>N C SCHOOL OF THE ARTS</v>
          </cell>
          <cell r="C37">
            <v>1359983.4799999997</v>
          </cell>
        </row>
        <row r="38">
          <cell r="A38">
            <v>20300</v>
          </cell>
          <cell r="B38" t="str">
            <v>EAST CAROLINA UNIVERSITY</v>
          </cell>
          <cell r="C38">
            <v>19890080.510000002</v>
          </cell>
        </row>
        <row r="39">
          <cell r="A39">
            <v>20400</v>
          </cell>
          <cell r="B39" t="str">
            <v>ELIZABETH CITY STATE UNIVERSITY</v>
          </cell>
          <cell r="C39">
            <v>1638502.4500000002</v>
          </cell>
        </row>
        <row r="40">
          <cell r="A40">
            <v>20600</v>
          </cell>
          <cell r="B40" t="str">
            <v>FAYETTEVILLE STATE UNIVERSITY</v>
          </cell>
          <cell r="C40">
            <v>3188018.69</v>
          </cell>
        </row>
        <row r="41">
          <cell r="A41">
            <v>20700</v>
          </cell>
          <cell r="B41" t="str">
            <v>NC A&amp;T UNIVERSITY</v>
          </cell>
          <cell r="C41">
            <v>6632723.3700000001</v>
          </cell>
        </row>
        <row r="42">
          <cell r="A42">
            <v>20800</v>
          </cell>
          <cell r="B42" t="str">
            <v>N C CENTRAL UNIVERSITY</v>
          </cell>
          <cell r="C42">
            <v>5506646.1600000001</v>
          </cell>
        </row>
        <row r="43">
          <cell r="A43">
            <v>20900</v>
          </cell>
          <cell r="B43" t="str">
            <v>UNIVERSITY OF NORTH CAROLINA AT GREENSBORO</v>
          </cell>
          <cell r="C43">
            <v>7752113.6599999992</v>
          </cell>
        </row>
        <row r="44">
          <cell r="A44">
            <v>21200</v>
          </cell>
          <cell r="B44" t="str">
            <v>UNC - PEMBROKE</v>
          </cell>
          <cell r="C44">
            <v>2724493.3000000003</v>
          </cell>
        </row>
        <row r="45">
          <cell r="A45">
            <v>21300</v>
          </cell>
          <cell r="B45" t="str">
            <v>N C STATE UNIVERSITY</v>
          </cell>
          <cell r="C45">
            <v>32673852.580000002</v>
          </cell>
        </row>
        <row r="46">
          <cell r="A46">
            <v>21520</v>
          </cell>
          <cell r="B46" t="str">
            <v>UNC-CHAPEL HILL CB1260</v>
          </cell>
          <cell r="C46">
            <v>47279811.800000012</v>
          </cell>
        </row>
        <row r="47">
          <cell r="A47">
            <v>21525</v>
          </cell>
          <cell r="B47" t="str">
            <v>UNC-GENERAL ADMINISTRATION</v>
          </cell>
          <cell r="C47">
            <v>2122088.4500000002</v>
          </cell>
        </row>
        <row r="48">
          <cell r="A48">
            <v>21550</v>
          </cell>
          <cell r="B48" t="str">
            <v>UNC HEALTH CARE SYSTEM</v>
          </cell>
          <cell r="C48">
            <v>51431768.870000012</v>
          </cell>
        </row>
        <row r="49">
          <cell r="A49">
            <v>21570</v>
          </cell>
          <cell r="B49" t="str">
            <v>UNIVERSITY OF NORTH CAROLINA PRESS</v>
          </cell>
          <cell r="C49">
            <v>291769.24</v>
          </cell>
        </row>
        <row r="50">
          <cell r="A50">
            <v>21800</v>
          </cell>
          <cell r="B50" t="str">
            <v>WESTERN CAROLINA UNIVERSITY</v>
          </cell>
          <cell r="C50">
            <v>4669808.7600000007</v>
          </cell>
        </row>
        <row r="51">
          <cell r="A51">
            <v>21900</v>
          </cell>
          <cell r="B51" t="str">
            <v>WINSTON-SALEM STATE UNIVERSITY</v>
          </cell>
          <cell r="C51">
            <v>3533765.9499999997</v>
          </cell>
        </row>
        <row r="52">
          <cell r="A52">
            <v>22000</v>
          </cell>
          <cell r="B52" t="str">
            <v>DEPARTMENT OF PUBLIC INSTRUCTION</v>
          </cell>
          <cell r="C52">
            <v>6435415.3399999999</v>
          </cell>
        </row>
        <row r="53">
          <cell r="A53">
            <v>23000</v>
          </cell>
          <cell r="B53" t="str">
            <v>UNIVERSITY OF NORTH CAROLINA AT ASHEVILLE</v>
          </cell>
          <cell r="C53">
            <v>1904990.8099999998</v>
          </cell>
        </row>
        <row r="54">
          <cell r="A54">
            <v>23100</v>
          </cell>
          <cell r="B54" t="str">
            <v>UNIVERSITY OF NORTH CAROLINA AT CHARLOTTE</v>
          </cell>
          <cell r="C54">
            <v>10922014.460000001</v>
          </cell>
        </row>
        <row r="55">
          <cell r="A55">
            <v>23200</v>
          </cell>
          <cell r="B55" t="str">
            <v>UNIVERSITY OF NORTH CAROLINA AT WILMINGTON</v>
          </cell>
          <cell r="C55">
            <v>5191169.82</v>
          </cell>
        </row>
        <row r="56">
          <cell r="A56">
            <v>30000</v>
          </cell>
          <cell r="B56" t="str">
            <v>YANCEY COUNTY SCHOOLS</v>
          </cell>
          <cell r="C56">
            <v>1383858.3099999998</v>
          </cell>
        </row>
        <row r="57">
          <cell r="A57">
            <v>30100</v>
          </cell>
          <cell r="B57" t="str">
            <v>ALAMANCE COUNTY SCHOOLS</v>
          </cell>
          <cell r="C57">
            <v>11430855.33</v>
          </cell>
        </row>
        <row r="58">
          <cell r="A58">
            <v>30102</v>
          </cell>
          <cell r="B58" t="str">
            <v>CLOVER GARDEN CHARTER SCHOOL</v>
          </cell>
          <cell r="C58">
            <v>203529.14</v>
          </cell>
        </row>
        <row r="59">
          <cell r="A59">
            <v>30103</v>
          </cell>
          <cell r="B59" t="str">
            <v>RIVER MILL ACADEMY CHARTER</v>
          </cell>
          <cell r="C59">
            <v>270128.38</v>
          </cell>
        </row>
        <row r="60">
          <cell r="A60">
            <v>30104</v>
          </cell>
          <cell r="B60" t="str">
            <v>THE HAWBRIDGE SCHOOL</v>
          </cell>
          <cell r="C60">
            <v>138541.81</v>
          </cell>
        </row>
        <row r="61">
          <cell r="A61">
            <v>30105</v>
          </cell>
          <cell r="B61" t="str">
            <v>ALAMANCE COMMUNITY COLLEGE</v>
          </cell>
          <cell r="C61">
            <v>1371050.8200000003</v>
          </cell>
        </row>
        <row r="62">
          <cell r="A62">
            <v>30200</v>
          </cell>
          <cell r="B62" t="str">
            <v>ALEXANDER COUNTY SCHOOLS</v>
          </cell>
          <cell r="C62">
            <v>2736692.9900000007</v>
          </cell>
        </row>
        <row r="63">
          <cell r="A63">
            <v>30300</v>
          </cell>
          <cell r="B63" t="str">
            <v>ALLEGHANY COUNTY SCHOOLS</v>
          </cell>
          <cell r="C63">
            <v>907815.66</v>
          </cell>
        </row>
        <row r="64">
          <cell r="A64">
            <v>30400</v>
          </cell>
          <cell r="B64" t="str">
            <v>ANSON COUNTY SCHOOLS</v>
          </cell>
          <cell r="C64">
            <v>1847314.25</v>
          </cell>
        </row>
        <row r="65">
          <cell r="A65">
            <v>30405</v>
          </cell>
          <cell r="B65" t="str">
            <v>SOUTH PIEDMONT COMMUNITY COLLEGE</v>
          </cell>
          <cell r="C65">
            <v>1158569.4899999998</v>
          </cell>
        </row>
        <row r="66">
          <cell r="A66">
            <v>30500</v>
          </cell>
          <cell r="B66" t="str">
            <v>ASHE COUNTY SCHOOLS</v>
          </cell>
          <cell r="C66">
            <v>1817556.9300000002</v>
          </cell>
        </row>
        <row r="67">
          <cell r="A67">
            <v>30600</v>
          </cell>
          <cell r="B67" t="str">
            <v>AVERY COUNTY SCHOOLS</v>
          </cell>
          <cell r="C67">
            <v>1423310.2200000002</v>
          </cell>
        </row>
        <row r="68">
          <cell r="A68">
            <v>30601</v>
          </cell>
          <cell r="B68" t="str">
            <v>GRANDFATHER ACADEMY</v>
          </cell>
          <cell r="C68">
            <v>30394.890000000003</v>
          </cell>
        </row>
        <row r="69">
          <cell r="A69">
            <v>30700</v>
          </cell>
          <cell r="B69" t="str">
            <v>BEAUFORT COUNTY SCHOOLS</v>
          </cell>
          <cell r="C69">
            <v>3688042.12</v>
          </cell>
        </row>
        <row r="70">
          <cell r="A70">
            <v>30705</v>
          </cell>
          <cell r="B70" t="str">
            <v>BEAUFORT COUNTY COMMUNITY COLLEGE</v>
          </cell>
          <cell r="C70">
            <v>723775.48000000021</v>
          </cell>
        </row>
        <row r="71">
          <cell r="A71">
            <v>30800</v>
          </cell>
          <cell r="B71" t="str">
            <v>BERTIE COUNTY SCHOOLS</v>
          </cell>
          <cell r="C71">
            <v>1426227.2999999998</v>
          </cell>
        </row>
        <row r="72">
          <cell r="A72">
            <v>30900</v>
          </cell>
          <cell r="B72" t="str">
            <v>BLADEN COUNTY SCHOOLS</v>
          </cell>
          <cell r="C72">
            <v>2515935.13</v>
          </cell>
        </row>
        <row r="73">
          <cell r="A73">
            <v>30905</v>
          </cell>
          <cell r="B73" t="str">
            <v>BLADEN COMMUNITY COLLEGE</v>
          </cell>
          <cell r="C73">
            <v>590746.52</v>
          </cell>
        </row>
        <row r="74">
          <cell r="A74">
            <v>31000</v>
          </cell>
          <cell r="B74" t="str">
            <v>BRUNSWICK COUNTY SCHOOLS</v>
          </cell>
          <cell r="C74">
            <v>6875239.8500000006</v>
          </cell>
        </row>
        <row r="75">
          <cell r="A75">
            <v>31005</v>
          </cell>
          <cell r="B75" t="str">
            <v>BRUNSWICK COMMUNITY COLLEGE</v>
          </cell>
          <cell r="C75">
            <v>753730.32</v>
          </cell>
        </row>
        <row r="76">
          <cell r="A76">
            <v>31100</v>
          </cell>
          <cell r="B76" t="str">
            <v>BUNCOMBE COUNTY SCHOOLS</v>
          </cell>
          <cell r="C76">
            <v>13774844.390000001</v>
          </cell>
        </row>
        <row r="77">
          <cell r="A77">
            <v>31101</v>
          </cell>
          <cell r="B77" t="str">
            <v>F DELANY NEW SCHOOL FOR CHILDREN</v>
          </cell>
          <cell r="C77">
            <v>84528.38</v>
          </cell>
        </row>
        <row r="78">
          <cell r="A78">
            <v>31102</v>
          </cell>
          <cell r="B78" t="str">
            <v>EVERGREEN COMMUNITY CHARTER SCHOOL</v>
          </cell>
          <cell r="C78">
            <v>199023.38</v>
          </cell>
        </row>
        <row r="79">
          <cell r="A79">
            <v>31105</v>
          </cell>
          <cell r="B79" t="str">
            <v>ASHEVILLE-BUNCOMBE TECHNICAL COLLEGE</v>
          </cell>
          <cell r="C79">
            <v>2355840.8699999996</v>
          </cell>
        </row>
        <row r="80">
          <cell r="A80">
            <v>31110</v>
          </cell>
          <cell r="B80" t="str">
            <v>ASHEVILLE CITY SCHOOLS</v>
          </cell>
          <cell r="C80">
            <v>3019048.09</v>
          </cell>
        </row>
        <row r="81">
          <cell r="A81">
            <v>31200</v>
          </cell>
          <cell r="B81" t="str">
            <v>BURKE COUNTY SCHOOLS</v>
          </cell>
          <cell r="C81">
            <v>6275234.5899999989</v>
          </cell>
        </row>
        <row r="82">
          <cell r="A82">
            <v>31205</v>
          </cell>
          <cell r="B82" t="str">
            <v>WESTERN PIEDMONT COMM COLLEGE</v>
          </cell>
          <cell r="C82">
            <v>847793.00999999989</v>
          </cell>
        </row>
        <row r="83">
          <cell r="A83">
            <v>31300</v>
          </cell>
          <cell r="B83" t="str">
            <v>CABARRUS COUNTY SCHOOLS</v>
          </cell>
          <cell r="C83">
            <v>15725398.760000002</v>
          </cell>
        </row>
        <row r="84">
          <cell r="A84">
            <v>31301</v>
          </cell>
          <cell r="B84" t="str">
            <v>CAROLINA INTERNATIONAL SCHOOL</v>
          </cell>
          <cell r="C84">
            <v>343564.04</v>
          </cell>
        </row>
        <row r="85">
          <cell r="A85">
            <v>31320</v>
          </cell>
          <cell r="B85" t="str">
            <v>KANNAPOLIS CITY SCHOOLS</v>
          </cell>
          <cell r="C85">
            <v>2839854.22</v>
          </cell>
        </row>
        <row r="86">
          <cell r="A86">
            <v>31400</v>
          </cell>
          <cell r="B86" t="str">
            <v>CALDWELL COUNTY SCHOOLS</v>
          </cell>
          <cell r="C86">
            <v>6539804.5399999991</v>
          </cell>
        </row>
        <row r="87">
          <cell r="A87">
            <v>31405</v>
          </cell>
          <cell r="B87" t="str">
            <v>CALDWELL COMMUNITY COLLEGE</v>
          </cell>
          <cell r="C87">
            <v>1492128.98</v>
          </cell>
        </row>
        <row r="88">
          <cell r="A88">
            <v>31500</v>
          </cell>
          <cell r="B88" t="str">
            <v>CAMDEN COUNTY SCHOOLS</v>
          </cell>
          <cell r="C88">
            <v>1042824.07</v>
          </cell>
        </row>
        <row r="89">
          <cell r="A89">
            <v>31600</v>
          </cell>
          <cell r="B89" t="str">
            <v>CARTERET COUNTY SCHOOLS</v>
          </cell>
          <cell r="C89">
            <v>4619193.3099999996</v>
          </cell>
        </row>
        <row r="90">
          <cell r="A90">
            <v>31605</v>
          </cell>
          <cell r="B90" t="str">
            <v>CARTERET COMMUNITY COLLEGE</v>
          </cell>
          <cell r="C90">
            <v>757652.99000000011</v>
          </cell>
        </row>
        <row r="91">
          <cell r="A91">
            <v>31700</v>
          </cell>
          <cell r="B91" t="str">
            <v>CASWELL COUNTY SCHOOLS</v>
          </cell>
          <cell r="C91">
            <v>1473220.39</v>
          </cell>
        </row>
        <row r="92">
          <cell r="A92">
            <v>31800</v>
          </cell>
          <cell r="B92" t="str">
            <v>CATAWBA COUNTY SCHOOLS</v>
          </cell>
          <cell r="C92">
            <v>8354515.5299999984</v>
          </cell>
        </row>
        <row r="93">
          <cell r="A93">
            <v>31805</v>
          </cell>
          <cell r="B93" t="str">
            <v>CATAWBA VALLEY COMMUNITY COLLEGE</v>
          </cell>
          <cell r="C93">
            <v>1783168.91</v>
          </cell>
        </row>
        <row r="94">
          <cell r="A94">
            <v>31810</v>
          </cell>
          <cell r="B94" t="str">
            <v>HICKORY CITY SCHOOLS</v>
          </cell>
          <cell r="C94">
            <v>2119572.9300000002</v>
          </cell>
        </row>
        <row r="95">
          <cell r="A95">
            <v>31820</v>
          </cell>
          <cell r="B95" t="str">
            <v>NEWTON-CONOVER CITY SCHOOLS</v>
          </cell>
          <cell r="C95">
            <v>1741873.49</v>
          </cell>
        </row>
        <row r="96">
          <cell r="A96">
            <v>31900</v>
          </cell>
          <cell r="B96" t="str">
            <v>CHATHAM COUNTY SCHOOLS</v>
          </cell>
          <cell r="C96">
            <v>4970830.3499999996</v>
          </cell>
        </row>
        <row r="97">
          <cell r="A97">
            <v>32000</v>
          </cell>
          <cell r="B97" t="str">
            <v>CHEROKEE COUNTY SCHOOLS</v>
          </cell>
          <cell r="C97">
            <v>2043254.3900000001</v>
          </cell>
        </row>
        <row r="98">
          <cell r="A98">
            <v>32005</v>
          </cell>
          <cell r="B98" t="str">
            <v>TRI-COUNTY COMMUNITY COLLEGE</v>
          </cell>
          <cell r="C98">
            <v>509660.10999999993</v>
          </cell>
        </row>
        <row r="99">
          <cell r="A99">
            <v>32100</v>
          </cell>
          <cell r="B99" t="str">
            <v>EDENTON-CHOWAN COUNTY SCHOOLS</v>
          </cell>
          <cell r="C99">
            <v>1244079.51</v>
          </cell>
        </row>
        <row r="100">
          <cell r="A100">
            <v>32200</v>
          </cell>
          <cell r="B100" t="str">
            <v>CLAY COUNTY SCHOOLS</v>
          </cell>
          <cell r="C100">
            <v>795968.39</v>
          </cell>
        </row>
        <row r="101">
          <cell r="A101">
            <v>32300</v>
          </cell>
          <cell r="B101" t="str">
            <v>CLEVELAND COUNTY SCHOOLS</v>
          </cell>
          <cell r="C101">
            <v>8472960.7799999993</v>
          </cell>
        </row>
        <row r="102">
          <cell r="A102">
            <v>32305</v>
          </cell>
          <cell r="B102" t="str">
            <v>CLEVELAND COMMUNITY COLLEGE</v>
          </cell>
          <cell r="C102">
            <v>995186.34000000008</v>
          </cell>
        </row>
        <row r="103">
          <cell r="A103">
            <v>32400</v>
          </cell>
          <cell r="B103" t="str">
            <v>COLUMBUS COUNTY SCHOOLS</v>
          </cell>
          <cell r="C103">
            <v>3289937.8899999997</v>
          </cell>
        </row>
        <row r="104">
          <cell r="A104">
            <v>32405</v>
          </cell>
          <cell r="B104" t="str">
            <v>SOUTHEASTERN COMMUNITY COLLEGE</v>
          </cell>
          <cell r="C104">
            <v>889333.40000000026</v>
          </cell>
        </row>
        <row r="105">
          <cell r="A105">
            <v>32410</v>
          </cell>
          <cell r="B105" t="str">
            <v>WHITEVILLE CITY SCHOOLS</v>
          </cell>
          <cell r="C105">
            <v>1298635.7100000002</v>
          </cell>
        </row>
        <row r="106">
          <cell r="A106">
            <v>32500</v>
          </cell>
          <cell r="B106" t="str">
            <v>NEW BERN CRAVEN COUNTY BOARD OF EDUCATION</v>
          </cell>
          <cell r="C106">
            <v>6739516.1899999995</v>
          </cell>
        </row>
        <row r="107">
          <cell r="A107">
            <v>32505</v>
          </cell>
          <cell r="B107" t="str">
            <v>CRAVEN COMMUNITY COLLEGE</v>
          </cell>
          <cell r="C107">
            <v>1106813.93</v>
          </cell>
        </row>
        <row r="108">
          <cell r="A108">
            <v>32600</v>
          </cell>
          <cell r="B108" t="str">
            <v>CUMBERLAND COUNTY SCHOOLS</v>
          </cell>
          <cell r="C108">
            <v>24350594.630000003</v>
          </cell>
        </row>
        <row r="109">
          <cell r="A109">
            <v>32605</v>
          </cell>
          <cell r="B109" t="str">
            <v>FAYETTEVILLE TECHNICAL COMMUNITY COLLEGE</v>
          </cell>
          <cell r="C109">
            <v>3902908.92</v>
          </cell>
        </row>
        <row r="110">
          <cell r="A110">
            <v>32700</v>
          </cell>
          <cell r="B110" t="str">
            <v>CURRITUCK COUNTY SCHOOLS</v>
          </cell>
          <cell r="C110">
            <v>2262317.0299999998</v>
          </cell>
        </row>
        <row r="111">
          <cell r="A111">
            <v>32800</v>
          </cell>
          <cell r="B111" t="str">
            <v>DARE COUNTY SCHOOLS</v>
          </cell>
          <cell r="C111">
            <v>3329356.71</v>
          </cell>
        </row>
        <row r="112">
          <cell r="A112">
            <v>32900</v>
          </cell>
          <cell r="B112" t="str">
            <v>DAVIDSON COUNTY SCHOOLS</v>
          </cell>
          <cell r="C112">
            <v>9104216.7199999988</v>
          </cell>
        </row>
        <row r="113">
          <cell r="A113">
            <v>32901</v>
          </cell>
          <cell r="B113" t="str">
            <v>INVEST COLLEGIATE CHARTER (DAVIDSON)</v>
          </cell>
          <cell r="C113">
            <v>195378.97999999998</v>
          </cell>
        </row>
        <row r="114">
          <cell r="A114">
            <v>32905</v>
          </cell>
          <cell r="B114" t="str">
            <v>DAVIDSON COUNTY COMMUNITY COLLEGE</v>
          </cell>
          <cell r="C114">
            <v>1454566.09</v>
          </cell>
        </row>
        <row r="115">
          <cell r="A115">
            <v>32910</v>
          </cell>
          <cell r="B115" t="str">
            <v>LEXINGTON CITY SCHOOLS</v>
          </cell>
          <cell r="C115">
            <v>1775406.8399999999</v>
          </cell>
        </row>
        <row r="116">
          <cell r="A116">
            <v>32920</v>
          </cell>
          <cell r="B116" t="str">
            <v>THOMASVILLE CITY SCHOOLS</v>
          </cell>
          <cell r="C116">
            <v>1403159.9500000002</v>
          </cell>
        </row>
        <row r="117">
          <cell r="A117">
            <v>33000</v>
          </cell>
          <cell r="B117" t="str">
            <v>DAVIE COUNTY SCHOOLS</v>
          </cell>
          <cell r="C117">
            <v>3346436.4199999995</v>
          </cell>
        </row>
        <row r="118">
          <cell r="A118">
            <v>33001</v>
          </cell>
          <cell r="B118" t="str">
            <v>N.E. REGIONAL SCHOOL FOR BIOTECHNOLOGY</v>
          </cell>
          <cell r="C118">
            <v>99879.040000000008</v>
          </cell>
        </row>
        <row r="119">
          <cell r="A119">
            <v>33027</v>
          </cell>
          <cell r="B119" t="str">
            <v>CORNERSTONE ACADEMY</v>
          </cell>
          <cell r="C119">
            <v>321801.76</v>
          </cell>
        </row>
        <row r="120">
          <cell r="A120">
            <v>33100</v>
          </cell>
          <cell r="B120" t="str">
            <v>DUPLIN COUNTY SCHOOLS</v>
          </cell>
          <cell r="C120">
            <v>5000926</v>
          </cell>
        </row>
        <row r="121">
          <cell r="A121">
            <v>33105</v>
          </cell>
          <cell r="B121" t="str">
            <v>JAMES SPRUNT TECHNICAL COLLEGE</v>
          </cell>
          <cell r="C121">
            <v>599441.89</v>
          </cell>
        </row>
        <row r="122">
          <cell r="A122">
            <v>33200</v>
          </cell>
          <cell r="B122" t="str">
            <v>DURHAM PUBLIC SCHOOLS</v>
          </cell>
          <cell r="C122">
            <v>20835379.730000004</v>
          </cell>
        </row>
        <row r="123">
          <cell r="A123">
            <v>33202</v>
          </cell>
          <cell r="B123" t="str">
            <v>CENTRAL PARK SCH FOR CHILDREN</v>
          </cell>
          <cell r="C123">
            <v>270999.69</v>
          </cell>
        </row>
        <row r="124">
          <cell r="A124">
            <v>33203</v>
          </cell>
          <cell r="B124" t="str">
            <v>HEALTHY START ACADEMY</v>
          </cell>
          <cell r="C124">
            <v>157859.74000000002</v>
          </cell>
        </row>
        <row r="125">
          <cell r="A125">
            <v>33204</v>
          </cell>
          <cell r="B125" t="str">
            <v>VOYAGER ACADEMY</v>
          </cell>
          <cell r="C125">
            <v>535946.6</v>
          </cell>
        </row>
        <row r="126">
          <cell r="A126">
            <v>33205</v>
          </cell>
          <cell r="B126" t="str">
            <v>DURHAM TECHNICAL INSTITUTE</v>
          </cell>
          <cell r="C126">
            <v>1938174.0200000003</v>
          </cell>
        </row>
        <row r="127">
          <cell r="A127">
            <v>33206</v>
          </cell>
          <cell r="B127" t="str">
            <v>BEAR GRASS CHARTER SCHOOL</v>
          </cell>
          <cell r="C127">
            <v>155436.62</v>
          </cell>
        </row>
        <row r="128">
          <cell r="A128">
            <v>33207</v>
          </cell>
          <cell r="B128" t="str">
            <v>INVEST COLLEGIATE CHARTER (BUNCOMBE)</v>
          </cell>
          <cell r="C128">
            <v>310450.93000000005</v>
          </cell>
        </row>
        <row r="129">
          <cell r="A129">
            <v>33208</v>
          </cell>
          <cell r="B129" t="str">
            <v>KIPP HALIFAX COLLEGE PREP CHARTER</v>
          </cell>
          <cell r="C129">
            <v>11222.56</v>
          </cell>
        </row>
        <row r="130">
          <cell r="A130">
            <v>33209</v>
          </cell>
          <cell r="B130" t="str">
            <v>PIONEER SPRINGS COMMUNITY CHARTER</v>
          </cell>
          <cell r="C130">
            <v>97339.160000000018</v>
          </cell>
        </row>
        <row r="131">
          <cell r="A131">
            <v>33300</v>
          </cell>
          <cell r="B131" t="str">
            <v>EDGECOMBE COUNTY SCHOOLS</v>
          </cell>
          <cell r="C131">
            <v>3249564.4499999993</v>
          </cell>
        </row>
        <row r="132">
          <cell r="A132">
            <v>33305</v>
          </cell>
          <cell r="B132" t="str">
            <v>EDGECOMBE TECHNICAL COLLEGE</v>
          </cell>
          <cell r="C132">
            <v>955651.14999999991</v>
          </cell>
        </row>
        <row r="133">
          <cell r="A133">
            <v>33400</v>
          </cell>
          <cell r="B133" t="str">
            <v>WINSTON-SALEM-FORSYTH COUNTY SCHOOLS</v>
          </cell>
          <cell r="C133">
            <v>29076028.090000004</v>
          </cell>
        </row>
        <row r="134">
          <cell r="A134">
            <v>33402</v>
          </cell>
          <cell r="B134" t="str">
            <v>ARTS BASED ELEMENTARY CHARTER</v>
          </cell>
          <cell r="C134">
            <v>208317.66000000003</v>
          </cell>
        </row>
        <row r="135">
          <cell r="A135">
            <v>33405</v>
          </cell>
          <cell r="B135" t="str">
            <v>FORSYTH TECHNICAL INSTITUTE</v>
          </cell>
          <cell r="C135">
            <v>3030608.6100000003</v>
          </cell>
        </row>
        <row r="136">
          <cell r="A136">
            <v>33500</v>
          </cell>
          <cell r="B136" t="str">
            <v>FRANKLIN COUNTY SCHOOLS</v>
          </cell>
          <cell r="C136">
            <v>4330346.4799999995</v>
          </cell>
        </row>
        <row r="137">
          <cell r="A137">
            <v>33501</v>
          </cell>
          <cell r="B137" t="str">
            <v>A CHILDS GARDEN CHARTER (AKA CROSS CREEK CHARTER)</v>
          </cell>
          <cell r="C137">
            <v>96060.67</v>
          </cell>
        </row>
        <row r="138">
          <cell r="A138">
            <v>33600</v>
          </cell>
          <cell r="B138" t="str">
            <v>GASTON COUNTY SCHOOLS</v>
          </cell>
          <cell r="C138">
            <v>14965570.999999998</v>
          </cell>
        </row>
        <row r="139">
          <cell r="A139">
            <v>33605</v>
          </cell>
          <cell r="B139" t="str">
            <v>GASTON COLLEGE</v>
          </cell>
          <cell r="C139">
            <v>2299487.0799999996</v>
          </cell>
        </row>
        <row r="140">
          <cell r="A140">
            <v>33700</v>
          </cell>
          <cell r="B140" t="str">
            <v>GATES COUNTY SCHOOLS</v>
          </cell>
          <cell r="C140">
            <v>1080813.67</v>
          </cell>
        </row>
        <row r="141">
          <cell r="A141">
            <v>33800</v>
          </cell>
          <cell r="B141" t="str">
            <v>GRAHAM COUNTY SCHOOLS</v>
          </cell>
          <cell r="C141">
            <v>816940.55</v>
          </cell>
        </row>
        <row r="142">
          <cell r="A142">
            <v>33900</v>
          </cell>
          <cell r="B142" t="str">
            <v>GRANVILLE COUNTY SCHOOLS AND OXFORD ORPHANAGE</v>
          </cell>
          <cell r="C142">
            <v>4215172.28</v>
          </cell>
        </row>
        <row r="143">
          <cell r="A143">
            <v>34000</v>
          </cell>
          <cell r="B143" t="str">
            <v>GREENE COUNTY SCHOOLS</v>
          </cell>
          <cell r="C143">
            <v>1774935.9799999997</v>
          </cell>
        </row>
        <row r="144">
          <cell r="A144">
            <v>34100</v>
          </cell>
          <cell r="B144" t="str">
            <v>GUILFORD COUNTY SCHOOLS</v>
          </cell>
          <cell r="C144">
            <v>39704333.719999999</v>
          </cell>
        </row>
        <row r="145">
          <cell r="A145">
            <v>34105</v>
          </cell>
          <cell r="B145" t="str">
            <v>GUILFORD TECHNICAL COMMUNITY COLLEGE</v>
          </cell>
          <cell r="C145">
            <v>3859870.1399999997</v>
          </cell>
        </row>
        <row r="146">
          <cell r="A146">
            <v>34200</v>
          </cell>
          <cell r="B146" t="str">
            <v>HALIFAX COUNTY SCHOOLS</v>
          </cell>
          <cell r="C146">
            <v>1482102.38</v>
          </cell>
        </row>
        <row r="147">
          <cell r="A147">
            <v>34205</v>
          </cell>
          <cell r="B147" t="str">
            <v>HALIFAX COMMUNITY COLLEGE</v>
          </cell>
          <cell r="C147">
            <v>727583.19000000006</v>
          </cell>
        </row>
        <row r="148">
          <cell r="A148">
            <v>34220</v>
          </cell>
          <cell r="B148" t="str">
            <v>ROANOKE RAPIDS CITY SCHOOLS</v>
          </cell>
          <cell r="C148">
            <v>1615026.35</v>
          </cell>
        </row>
        <row r="149">
          <cell r="A149">
            <v>34230</v>
          </cell>
          <cell r="B149" t="str">
            <v>WELDON CITY SCHOOLS</v>
          </cell>
          <cell r="C149">
            <v>629955.59</v>
          </cell>
        </row>
        <row r="150">
          <cell r="A150">
            <v>34300</v>
          </cell>
          <cell r="B150" t="str">
            <v>HARNETT COUNTY SCHOOLS</v>
          </cell>
          <cell r="C150">
            <v>9548801.9399999976</v>
          </cell>
        </row>
        <row r="151">
          <cell r="A151">
            <v>34400</v>
          </cell>
          <cell r="B151" t="str">
            <v>HAYWOOD COUNTY SCHOOLS</v>
          </cell>
          <cell r="C151">
            <v>3864608.09</v>
          </cell>
        </row>
        <row r="152">
          <cell r="A152">
            <v>34405</v>
          </cell>
          <cell r="B152" t="str">
            <v>HAYWOOD TECHNICAL COLLEGE</v>
          </cell>
          <cell r="C152">
            <v>820413.16999999993</v>
          </cell>
        </row>
        <row r="153">
          <cell r="A153">
            <v>34500</v>
          </cell>
          <cell r="B153" t="str">
            <v>HENDERSON COUNTY SCHOOLS</v>
          </cell>
          <cell r="C153">
            <v>6998083.3399999999</v>
          </cell>
        </row>
        <row r="154">
          <cell r="A154">
            <v>34501</v>
          </cell>
          <cell r="B154" t="str">
            <v>MOUNTAIN COMMUNITY SCHOOL</v>
          </cell>
          <cell r="C154">
            <v>80343.94</v>
          </cell>
        </row>
        <row r="155">
          <cell r="A155">
            <v>34505</v>
          </cell>
          <cell r="B155" t="str">
            <v>BLUE RIDGE COMMUNITY COLLEGE</v>
          </cell>
          <cell r="C155">
            <v>1032685.25</v>
          </cell>
        </row>
        <row r="156">
          <cell r="A156">
            <v>34600</v>
          </cell>
          <cell r="B156" t="str">
            <v>HERTFORD COUNTY SCHOOLS</v>
          </cell>
          <cell r="C156">
            <v>1781310.69</v>
          </cell>
        </row>
        <row r="157">
          <cell r="A157">
            <v>34605</v>
          </cell>
          <cell r="B157" t="str">
            <v>ROANOKE-CHOWAN COMMUNITY COLLEGE</v>
          </cell>
          <cell r="C157">
            <v>382102.23</v>
          </cell>
        </row>
        <row r="158">
          <cell r="A158">
            <v>34700</v>
          </cell>
          <cell r="B158" t="str">
            <v>HOKE COUNTY SCHOOLS</v>
          </cell>
          <cell r="C158">
            <v>4239854.18</v>
          </cell>
        </row>
        <row r="159">
          <cell r="A159">
            <v>34800</v>
          </cell>
          <cell r="B159" t="str">
            <v>HYDE COUNTY SCHOOLS</v>
          </cell>
          <cell r="C159">
            <v>572771.71000000008</v>
          </cell>
        </row>
        <row r="160">
          <cell r="A160">
            <v>34900</v>
          </cell>
          <cell r="B160" t="str">
            <v>IREDELL-STATESVILLE SCHOOLS</v>
          </cell>
          <cell r="C160">
            <v>10227939.130000001</v>
          </cell>
        </row>
        <row r="161">
          <cell r="A161">
            <v>34901</v>
          </cell>
          <cell r="B161" t="str">
            <v>AMERICAN RENAISSANCE MID SCHOOL</v>
          </cell>
          <cell r="C161">
            <v>219076.46999999994</v>
          </cell>
        </row>
        <row r="162">
          <cell r="A162">
            <v>34903</v>
          </cell>
          <cell r="B162" t="str">
            <v>SUCCESS INSTITUTE</v>
          </cell>
          <cell r="C162">
            <v>25754.54</v>
          </cell>
        </row>
        <row r="163">
          <cell r="A163">
            <v>34905</v>
          </cell>
          <cell r="B163" t="str">
            <v>MITCHELL COMMUNITY COLLEGE</v>
          </cell>
          <cell r="C163">
            <v>1041661.7799999999</v>
          </cell>
        </row>
        <row r="164">
          <cell r="A164">
            <v>34910</v>
          </cell>
          <cell r="B164" t="str">
            <v>MOORESVILLE CITY SCHOOLS</v>
          </cell>
          <cell r="C164">
            <v>3016910.4699999997</v>
          </cell>
        </row>
        <row r="165">
          <cell r="A165">
            <v>35000</v>
          </cell>
          <cell r="B165" t="str">
            <v>JACKSON COUNTY SCHOOLS</v>
          </cell>
          <cell r="C165">
            <v>2042772.8100000003</v>
          </cell>
        </row>
        <row r="166">
          <cell r="A166">
            <v>35005</v>
          </cell>
          <cell r="B166" t="str">
            <v>SOUTHWESTERN COMMUNITY COLLEGE</v>
          </cell>
          <cell r="C166">
            <v>1031101.47</v>
          </cell>
        </row>
        <row r="167">
          <cell r="A167">
            <v>35100</v>
          </cell>
          <cell r="B167" t="str">
            <v>JOHNSTON COUNTY SCHOOLS</v>
          </cell>
          <cell r="C167">
            <v>17403240.620000001</v>
          </cell>
        </row>
        <row r="168">
          <cell r="A168">
            <v>35105</v>
          </cell>
          <cell r="B168" t="str">
            <v>JOHNSTON TECHNICAL COLLEGE</v>
          </cell>
          <cell r="C168">
            <v>1605837.62</v>
          </cell>
        </row>
        <row r="169">
          <cell r="A169">
            <v>35106</v>
          </cell>
          <cell r="B169" t="str">
            <v>NEUSE CHARTER SCHOOL</v>
          </cell>
          <cell r="C169">
            <v>343896.48000000004</v>
          </cell>
        </row>
        <row r="170">
          <cell r="A170">
            <v>35200</v>
          </cell>
          <cell r="B170" t="str">
            <v>JONES COUNTY SCHOOLS</v>
          </cell>
          <cell r="C170">
            <v>852815.27</v>
          </cell>
        </row>
        <row r="171">
          <cell r="A171">
            <v>35300</v>
          </cell>
          <cell r="B171" t="str">
            <v>SANFORD-LEE COUNTY BOARD OF EDUCATION</v>
          </cell>
          <cell r="C171">
            <v>5334538.33</v>
          </cell>
        </row>
        <row r="172">
          <cell r="A172">
            <v>35305</v>
          </cell>
          <cell r="B172" t="str">
            <v>CENTRAL CAROLINA COMMUNITY COLLEGE</v>
          </cell>
          <cell r="C172">
            <v>2067815.72</v>
          </cell>
        </row>
        <row r="173">
          <cell r="A173">
            <v>35400</v>
          </cell>
          <cell r="B173" t="str">
            <v>LENOIR COUNTY SCHOOLS</v>
          </cell>
          <cell r="C173">
            <v>4305422.7300000004</v>
          </cell>
        </row>
        <row r="174">
          <cell r="A174">
            <v>35401</v>
          </cell>
          <cell r="B174" t="str">
            <v>CHILDRENS VILLAGE ACADEMY</v>
          </cell>
          <cell r="C174">
            <v>45085.850000000006</v>
          </cell>
        </row>
        <row r="175">
          <cell r="A175">
            <v>35405</v>
          </cell>
          <cell r="B175" t="str">
            <v>LENOIR COUNTY COMMUNITY COLLEGE</v>
          </cell>
          <cell r="C175">
            <v>1447918.2499999998</v>
          </cell>
        </row>
        <row r="176">
          <cell r="A176">
            <v>35500</v>
          </cell>
          <cell r="B176" t="str">
            <v>LINCOLN COUNTY SCHOOLS</v>
          </cell>
          <cell r="C176">
            <v>5628920.5</v>
          </cell>
        </row>
        <row r="177">
          <cell r="A177">
            <v>35600</v>
          </cell>
          <cell r="B177" t="str">
            <v>MACON COUNTY SCHOOLS</v>
          </cell>
          <cell r="C177">
            <v>2430727.3199999998</v>
          </cell>
        </row>
        <row r="178">
          <cell r="A178">
            <v>35700</v>
          </cell>
          <cell r="B178" t="str">
            <v>MADISON COUNTY SCHOOLS</v>
          </cell>
          <cell r="C178">
            <v>1342107.1999999997</v>
          </cell>
        </row>
        <row r="179">
          <cell r="A179">
            <v>35800</v>
          </cell>
          <cell r="B179" t="str">
            <v>MARTIN COUNTY SCHOOLS</v>
          </cell>
          <cell r="C179">
            <v>2035094.46</v>
          </cell>
        </row>
        <row r="180">
          <cell r="A180">
            <v>35805</v>
          </cell>
          <cell r="B180" t="str">
            <v>MARTIN COMMUNITY COLLEGE</v>
          </cell>
          <cell r="C180">
            <v>397711.87</v>
          </cell>
        </row>
        <row r="181">
          <cell r="A181">
            <v>35900</v>
          </cell>
          <cell r="B181" t="str">
            <v>MCDOWELL COUNTY SCHOOLS</v>
          </cell>
          <cell r="C181">
            <v>3457052.5900000008</v>
          </cell>
        </row>
        <row r="182">
          <cell r="A182">
            <v>35905</v>
          </cell>
          <cell r="B182" t="str">
            <v>MCDOWELL TECHNICAL COLLEGE</v>
          </cell>
          <cell r="C182">
            <v>591159.85</v>
          </cell>
        </row>
        <row r="183">
          <cell r="A183">
            <v>36000</v>
          </cell>
          <cell r="B183" t="str">
            <v>CHARLOTTE-MECKLENBURG COUNTY SCHOOLS</v>
          </cell>
          <cell r="C183">
            <v>78132406.680000007</v>
          </cell>
        </row>
        <row r="184">
          <cell r="A184">
            <v>36001</v>
          </cell>
          <cell r="B184" t="str">
            <v>COMMUNITY CHARTER SCHOOL</v>
          </cell>
          <cell r="C184">
            <v>44350.73</v>
          </cell>
        </row>
        <row r="185">
          <cell r="A185">
            <v>36003</v>
          </cell>
          <cell r="B185" t="str">
            <v>COMMUNITY SCHOOL OF DAVIDSON</v>
          </cell>
          <cell r="C185">
            <v>512201.02999999997</v>
          </cell>
        </row>
        <row r="186">
          <cell r="A186">
            <v>36004</v>
          </cell>
          <cell r="B186" t="str">
            <v>CORVIAN COMMUNITY CHARTER SCHOOL</v>
          </cell>
          <cell r="C186">
            <v>270630.74</v>
          </cell>
        </row>
        <row r="187">
          <cell r="A187">
            <v>36005</v>
          </cell>
          <cell r="B187" t="str">
            <v>CENTRAL PIEDMONT COMMUNITY COLLEGE</v>
          </cell>
          <cell r="C187">
            <v>7296450.1700000018</v>
          </cell>
        </row>
        <row r="188">
          <cell r="A188">
            <v>36006</v>
          </cell>
          <cell r="B188" t="str">
            <v>LAKE NORMAN CHARTER SCHOOL</v>
          </cell>
          <cell r="C188">
            <v>664153.98</v>
          </cell>
        </row>
        <row r="189">
          <cell r="A189">
            <v>36007</v>
          </cell>
          <cell r="B189" t="str">
            <v>SOCRATES ACADEMY</v>
          </cell>
          <cell r="C189">
            <v>244210.78000000003</v>
          </cell>
        </row>
        <row r="190">
          <cell r="A190">
            <v>36008</v>
          </cell>
          <cell r="B190" t="str">
            <v>PINE LAKE PREP CHARTER</v>
          </cell>
          <cell r="C190">
            <v>687679.0199999999</v>
          </cell>
        </row>
        <row r="191">
          <cell r="A191">
            <v>36009</v>
          </cell>
          <cell r="B191" t="str">
            <v>CHARLOTTE SECONDARY CHARTER</v>
          </cell>
          <cell r="C191">
            <v>169828.71999999997</v>
          </cell>
        </row>
        <row r="192">
          <cell r="A192">
            <v>36100</v>
          </cell>
          <cell r="B192" t="str">
            <v>MITCHELL COUNTY SCHOOLS</v>
          </cell>
          <cell r="C192">
            <v>1122456.8299999998</v>
          </cell>
        </row>
        <row r="193">
          <cell r="A193">
            <v>36102</v>
          </cell>
          <cell r="B193" t="str">
            <v>KIPP CHARLOTTE CHARTER</v>
          </cell>
          <cell r="C193">
            <v>243574.52999999997</v>
          </cell>
        </row>
        <row r="194">
          <cell r="A194">
            <v>36105</v>
          </cell>
          <cell r="B194" t="str">
            <v>MAYLAND TECHNICAL COLLEGE</v>
          </cell>
          <cell r="C194">
            <v>630238.27000000014</v>
          </cell>
        </row>
        <row r="195">
          <cell r="A195">
            <v>36200</v>
          </cell>
          <cell r="B195" t="str">
            <v>MONTGOMERY COUNTY SCHOOLS</v>
          </cell>
          <cell r="C195">
            <v>2300464.58</v>
          </cell>
        </row>
        <row r="196">
          <cell r="A196">
            <v>36205</v>
          </cell>
          <cell r="B196" t="str">
            <v>MONTGOMERY COMMUNITY COLLEGE</v>
          </cell>
          <cell r="C196">
            <v>406918.12999999995</v>
          </cell>
        </row>
        <row r="197">
          <cell r="A197">
            <v>36300</v>
          </cell>
          <cell r="B197" t="str">
            <v>MOORE COUNTY SCHOOLS</v>
          </cell>
          <cell r="C197">
            <v>6899436.919999999</v>
          </cell>
        </row>
        <row r="198">
          <cell r="A198">
            <v>36301</v>
          </cell>
          <cell r="B198" t="str">
            <v>ACADEMY OF MOORE COUNTY</v>
          </cell>
          <cell r="C198">
            <v>91683.549999999988</v>
          </cell>
        </row>
        <row r="199">
          <cell r="A199">
            <v>36302</v>
          </cell>
          <cell r="B199" t="str">
            <v>STARS CHARTER SCHOOL</v>
          </cell>
          <cell r="C199">
            <v>143357.11000000002</v>
          </cell>
        </row>
        <row r="200">
          <cell r="A200">
            <v>36303</v>
          </cell>
          <cell r="B200" t="str">
            <v>THE NORTH CAROLINA LEADERSHIP ACADEMY</v>
          </cell>
          <cell r="C200">
            <v>63730.48</v>
          </cell>
        </row>
        <row r="201">
          <cell r="A201">
            <v>36305</v>
          </cell>
          <cell r="B201" t="str">
            <v>SANDHILLS COMMUNITY COLLEGE</v>
          </cell>
          <cell r="C201">
            <v>1523974.1900000002</v>
          </cell>
        </row>
        <row r="202">
          <cell r="A202">
            <v>36310</v>
          </cell>
          <cell r="B202" t="str">
            <v>FERNLEAF COMMUNITY CHARTER</v>
          </cell>
          <cell r="C202">
            <v>49219.649999999987</v>
          </cell>
        </row>
        <row r="203">
          <cell r="A203">
            <v>36400</v>
          </cell>
          <cell r="B203" t="str">
            <v>NASH-ROCKY MOUNT SCHOOLS</v>
          </cell>
          <cell r="C203">
            <v>8123351.6800000006</v>
          </cell>
        </row>
        <row r="204">
          <cell r="A204">
            <v>36405</v>
          </cell>
          <cell r="B204" t="str">
            <v>NASH COMMUNITY COLLEGE</v>
          </cell>
          <cell r="C204">
            <v>1333428.3599999999</v>
          </cell>
        </row>
        <row r="205">
          <cell r="A205">
            <v>36500</v>
          </cell>
          <cell r="B205" t="str">
            <v>NEW HANOVER COUNTY SCHOOLS</v>
          </cell>
          <cell r="C205">
            <v>15013988.010000004</v>
          </cell>
        </row>
        <row r="206">
          <cell r="A206">
            <v>36501</v>
          </cell>
          <cell r="B206" t="str">
            <v>CAPE FEAR CTR FOR INQUIRY</v>
          </cell>
          <cell r="C206">
            <v>170677.66</v>
          </cell>
        </row>
        <row r="207">
          <cell r="A207">
            <v>36502</v>
          </cell>
          <cell r="B207" t="str">
            <v>WILMINGTON PREP ACADEMY</v>
          </cell>
          <cell r="C207">
            <v>61164.210000000006</v>
          </cell>
        </row>
        <row r="208">
          <cell r="A208">
            <v>36505</v>
          </cell>
          <cell r="B208" t="str">
            <v>CAPE FEAR COMMUNITY COLLEGE</v>
          </cell>
          <cell r="C208">
            <v>3234987.98</v>
          </cell>
        </row>
        <row r="209">
          <cell r="A209">
            <v>36600</v>
          </cell>
          <cell r="B209" t="str">
            <v>NORTHAMPTON COUNTY SCHOOLS</v>
          </cell>
          <cell r="C209">
            <v>1237269.8400000003</v>
          </cell>
        </row>
        <row r="210">
          <cell r="A210">
            <v>36601</v>
          </cell>
          <cell r="B210" t="str">
            <v>GASTON COLLEGE PREPARATORY CHARTER</v>
          </cell>
          <cell r="C210">
            <v>529532.88</v>
          </cell>
        </row>
        <row r="211">
          <cell r="A211">
            <v>36700</v>
          </cell>
          <cell r="B211" t="str">
            <v>ONSLOW COUNTY SCHOOLS</v>
          </cell>
          <cell r="C211">
            <v>12459213.009999998</v>
          </cell>
        </row>
        <row r="212">
          <cell r="A212">
            <v>36701</v>
          </cell>
          <cell r="B212" t="str">
            <v>ZECA SCHOOL OF THE ARTS AND TECHNOLOGY</v>
          </cell>
          <cell r="C212">
            <v>34636.160000000003</v>
          </cell>
        </row>
        <row r="213">
          <cell r="A213">
            <v>36705</v>
          </cell>
          <cell r="B213" t="str">
            <v>COASTAL CAROLINA COMMUNITY COLLEGE</v>
          </cell>
          <cell r="C213">
            <v>1583552.23</v>
          </cell>
        </row>
        <row r="214">
          <cell r="A214">
            <v>36800</v>
          </cell>
          <cell r="B214" t="str">
            <v>ORANGE COUNTY SCHOOLS</v>
          </cell>
          <cell r="C214">
            <v>5008221.87</v>
          </cell>
        </row>
        <row r="215">
          <cell r="A215">
            <v>36802</v>
          </cell>
          <cell r="B215" t="str">
            <v>ORANGE CHARTER SCHOOL</v>
          </cell>
          <cell r="C215">
            <v>138916.84000000003</v>
          </cell>
        </row>
        <row r="216">
          <cell r="A216">
            <v>36810</v>
          </cell>
          <cell r="B216" t="str">
            <v>CHAPEL HILL - CARRBORO CITY SCHOOLS</v>
          </cell>
          <cell r="C216">
            <v>8961885.2800000012</v>
          </cell>
        </row>
        <row r="217">
          <cell r="A217">
            <v>36900</v>
          </cell>
          <cell r="B217" t="str">
            <v>PAMLICO COUNTY SCHOOLS</v>
          </cell>
          <cell r="C217">
            <v>923488.58000000007</v>
          </cell>
        </row>
        <row r="218">
          <cell r="A218">
            <v>36901</v>
          </cell>
          <cell r="B218" t="str">
            <v>ARAPAHOE CHARTER SCHOOL</v>
          </cell>
          <cell r="C218">
            <v>316088.78999999998</v>
          </cell>
        </row>
        <row r="219">
          <cell r="A219">
            <v>36905</v>
          </cell>
          <cell r="B219" t="str">
            <v>PAMLICO COMMUNITY COLLEGE</v>
          </cell>
          <cell r="C219">
            <v>356645.35000000003</v>
          </cell>
        </row>
        <row r="220">
          <cell r="A220">
            <v>37000</v>
          </cell>
          <cell r="B220" t="str">
            <v>ELIZABETH CITY AND PASQUOTANK COUNTY SCHOOLS</v>
          </cell>
          <cell r="C220">
            <v>3052554.3099999996</v>
          </cell>
        </row>
        <row r="221">
          <cell r="A221">
            <v>37001</v>
          </cell>
          <cell r="B221" t="str">
            <v>N.E. ACADEMY OF AEROSPACE &amp; ADV.TECH</v>
          </cell>
          <cell r="C221">
            <v>102760.54000000002</v>
          </cell>
        </row>
        <row r="222">
          <cell r="A222">
            <v>37005</v>
          </cell>
          <cell r="B222" t="str">
            <v>COLLEGE OF THE ALBEMARLE</v>
          </cell>
          <cell r="C222">
            <v>843611.50000000023</v>
          </cell>
        </row>
        <row r="223">
          <cell r="A223">
            <v>37100</v>
          </cell>
          <cell r="B223" t="str">
            <v>PENDER COUNTY SCHOOLS</v>
          </cell>
          <cell r="C223">
            <v>4383122.4400000004</v>
          </cell>
        </row>
        <row r="224">
          <cell r="A224">
            <v>37200</v>
          </cell>
          <cell r="B224" t="str">
            <v>PERQUIMANS COUNTY SCHOOLS</v>
          </cell>
          <cell r="C224">
            <v>1013602.2899999999</v>
          </cell>
        </row>
        <row r="225">
          <cell r="A225">
            <v>37300</v>
          </cell>
          <cell r="B225" t="str">
            <v>PERSON COUNTY SCHOOLS</v>
          </cell>
          <cell r="C225">
            <v>2592788.0599999996</v>
          </cell>
        </row>
        <row r="226">
          <cell r="A226">
            <v>37301</v>
          </cell>
          <cell r="B226" t="str">
            <v>ROXBORO COMMUNITY SCHOOL</v>
          </cell>
          <cell r="C226">
            <v>283479.43</v>
          </cell>
        </row>
        <row r="227">
          <cell r="A227">
            <v>37305</v>
          </cell>
          <cell r="B227" t="str">
            <v>PIEDMONT COMMUNITY COLLEGE</v>
          </cell>
          <cell r="C227">
            <v>895729.04999999993</v>
          </cell>
        </row>
        <row r="228">
          <cell r="A228">
            <v>37400</v>
          </cell>
          <cell r="B228" t="str">
            <v>PITT COUNTY SCHOOLS</v>
          </cell>
          <cell r="C228">
            <v>11914832.379999999</v>
          </cell>
        </row>
        <row r="229">
          <cell r="A229">
            <v>37405</v>
          </cell>
          <cell r="B229" t="str">
            <v>PITT COMMUNITY COLLEGE</v>
          </cell>
          <cell r="C229">
            <v>2900462.6799999997</v>
          </cell>
        </row>
        <row r="230">
          <cell r="A230">
            <v>37500</v>
          </cell>
          <cell r="B230" t="str">
            <v>POLK COUNTY SCHOOLS</v>
          </cell>
          <cell r="C230">
            <v>1476053.8399999999</v>
          </cell>
        </row>
        <row r="231">
          <cell r="A231">
            <v>37600</v>
          </cell>
          <cell r="B231" t="str">
            <v>RANDOLPH COUNTY SCHOOLS</v>
          </cell>
          <cell r="C231">
            <v>8602849.120000001</v>
          </cell>
        </row>
        <row r="232">
          <cell r="A232">
            <v>37601</v>
          </cell>
          <cell r="B232" t="str">
            <v>UWHARRIE CHARTER ACADEMY</v>
          </cell>
          <cell r="C232">
            <v>300479.86</v>
          </cell>
        </row>
        <row r="233">
          <cell r="A233">
            <v>37605</v>
          </cell>
          <cell r="B233" t="str">
            <v>RANDOLPH COMMUNITY COLLEGE</v>
          </cell>
          <cell r="C233">
            <v>1079835.8400000001</v>
          </cell>
        </row>
        <row r="234">
          <cell r="A234">
            <v>37610</v>
          </cell>
          <cell r="B234" t="str">
            <v>ASHEBORO CITY SCHOOLS</v>
          </cell>
          <cell r="C234">
            <v>2525679.9400000004</v>
          </cell>
        </row>
        <row r="235">
          <cell r="A235">
            <v>37700</v>
          </cell>
          <cell r="B235" t="str">
            <v>RICHMOND COUNTY SCHOOLS</v>
          </cell>
          <cell r="C235">
            <v>3779572.5699999994</v>
          </cell>
        </row>
        <row r="236">
          <cell r="A236">
            <v>37705</v>
          </cell>
          <cell r="B236" t="str">
            <v>RICHMOND TECHNICAL COLLEGE</v>
          </cell>
          <cell r="C236">
            <v>1166864.27</v>
          </cell>
        </row>
        <row r="237">
          <cell r="A237">
            <v>37800</v>
          </cell>
          <cell r="B237" t="str">
            <v>ROBESON COUNTY SCHOOLS</v>
          </cell>
          <cell r="C237">
            <v>11790388.75</v>
          </cell>
        </row>
        <row r="238">
          <cell r="A238">
            <v>37801</v>
          </cell>
          <cell r="B238" t="str">
            <v>SOUTHEASTERN ACADEMY CHARTER SCHOOL</v>
          </cell>
          <cell r="C238">
            <v>71719.600000000006</v>
          </cell>
        </row>
        <row r="239">
          <cell r="A239">
            <v>37805</v>
          </cell>
          <cell r="B239" t="str">
            <v>ROBESON COMMUNITY COLLEGE</v>
          </cell>
          <cell r="C239">
            <v>964457.7300000001</v>
          </cell>
        </row>
        <row r="240">
          <cell r="A240">
            <v>37900</v>
          </cell>
          <cell r="B240" t="str">
            <v>ROCKINGHAM COUNTY SCHOOLS</v>
          </cell>
          <cell r="C240">
            <v>6268610.2999999998</v>
          </cell>
        </row>
        <row r="241">
          <cell r="A241">
            <v>37901</v>
          </cell>
          <cell r="B241" t="str">
            <v>BETHANY COMMUNITY MIDDLE SCHOOL</v>
          </cell>
          <cell r="C241">
            <v>86750.98000000001</v>
          </cell>
        </row>
        <row r="242">
          <cell r="A242">
            <v>37905</v>
          </cell>
          <cell r="B242" t="str">
            <v>ROCKINGHAM COMMUNITY COLLEGE</v>
          </cell>
          <cell r="C242">
            <v>834157.75</v>
          </cell>
        </row>
        <row r="243">
          <cell r="A243">
            <v>38000</v>
          </cell>
          <cell r="B243" t="str">
            <v>ROWAN-SALISBURY SCHOOL SYSTEM</v>
          </cell>
          <cell r="C243">
            <v>10014489.33</v>
          </cell>
        </row>
        <row r="244">
          <cell r="A244">
            <v>38005</v>
          </cell>
          <cell r="B244" t="str">
            <v>ROWAN-CABARRUS COMMUNITY COLLEGE</v>
          </cell>
          <cell r="C244">
            <v>2009661.2499999998</v>
          </cell>
        </row>
        <row r="245">
          <cell r="A245">
            <v>38100</v>
          </cell>
          <cell r="B245" t="str">
            <v>RUTHERFORD COUNTY SCHOOLS</v>
          </cell>
          <cell r="C245">
            <v>4654330.59</v>
          </cell>
        </row>
        <row r="246">
          <cell r="A246">
            <v>38105</v>
          </cell>
          <cell r="B246" t="str">
            <v>ISOTHERMAL COMMUNITY COLLEGE</v>
          </cell>
          <cell r="C246">
            <v>942930.13</v>
          </cell>
        </row>
        <row r="247">
          <cell r="A247">
            <v>38200</v>
          </cell>
          <cell r="B247" t="str">
            <v>SAMPSON COUNTY SCHOOLS</v>
          </cell>
          <cell r="C247">
            <v>4275624.2299999995</v>
          </cell>
        </row>
        <row r="248">
          <cell r="A248">
            <v>38205</v>
          </cell>
          <cell r="B248" t="str">
            <v>SAMPSON COMMUNITY COLLEGE</v>
          </cell>
          <cell r="C248">
            <v>709040.92</v>
          </cell>
        </row>
        <row r="249">
          <cell r="A249">
            <v>38210</v>
          </cell>
          <cell r="B249" t="str">
            <v>CLINTON CITY SCHOOLS</v>
          </cell>
          <cell r="C249">
            <v>1608571.72</v>
          </cell>
        </row>
        <row r="250">
          <cell r="A250">
            <v>38300</v>
          </cell>
          <cell r="B250" t="str">
            <v>SCOTLAND COUNTY SCHOOLS</v>
          </cell>
          <cell r="C250">
            <v>3424378.4</v>
          </cell>
        </row>
        <row r="251">
          <cell r="A251">
            <v>38400</v>
          </cell>
          <cell r="B251" t="str">
            <v>STANLY COUNTY SCHOOLS</v>
          </cell>
          <cell r="C251">
            <v>4261269.2</v>
          </cell>
        </row>
        <row r="252">
          <cell r="A252">
            <v>38402</v>
          </cell>
          <cell r="B252" t="str">
            <v>GRAY STONE DAY SCHOOL</v>
          </cell>
          <cell r="C252">
            <v>155241.31</v>
          </cell>
        </row>
        <row r="253">
          <cell r="A253">
            <v>38405</v>
          </cell>
          <cell r="B253" t="str">
            <v>STANLY COMMUNITY COLLEGE</v>
          </cell>
          <cell r="C253">
            <v>1073554.3999999997</v>
          </cell>
        </row>
        <row r="254">
          <cell r="A254">
            <v>38500</v>
          </cell>
          <cell r="B254" t="str">
            <v>STOKES COUNTY SCHOOLS</v>
          </cell>
          <cell r="C254">
            <v>3336401.78</v>
          </cell>
        </row>
        <row r="255">
          <cell r="A255">
            <v>38600</v>
          </cell>
          <cell r="B255" t="str">
            <v>SURRY COUNTY SCHOOLS</v>
          </cell>
          <cell r="C255">
            <v>4235055.59</v>
          </cell>
        </row>
        <row r="256">
          <cell r="A256">
            <v>38601</v>
          </cell>
          <cell r="B256" t="str">
            <v>BRIDGES CHARTER SCHOOLS</v>
          </cell>
          <cell r="C256">
            <v>46119.86</v>
          </cell>
        </row>
        <row r="257">
          <cell r="A257">
            <v>38602</v>
          </cell>
          <cell r="B257" t="str">
            <v>MILLENNIUM CHARTER ACADEMY</v>
          </cell>
          <cell r="C257">
            <v>301498.39</v>
          </cell>
        </row>
        <row r="258">
          <cell r="A258">
            <v>38605</v>
          </cell>
          <cell r="B258" t="str">
            <v>SURRY COMMUNITY COLLEGE</v>
          </cell>
          <cell r="C258">
            <v>1192364.6099999999</v>
          </cell>
        </row>
        <row r="259">
          <cell r="A259">
            <v>38610</v>
          </cell>
          <cell r="B259" t="str">
            <v>MOUNT AIRY CITY SCHOOLS</v>
          </cell>
          <cell r="C259">
            <v>900463.33000000019</v>
          </cell>
        </row>
        <row r="260">
          <cell r="A260">
            <v>38620</v>
          </cell>
          <cell r="B260" t="str">
            <v>ELKIN CITY SCHOOLS</v>
          </cell>
          <cell r="C260">
            <v>709715.69</v>
          </cell>
        </row>
        <row r="261">
          <cell r="A261">
            <v>38700</v>
          </cell>
          <cell r="B261" t="str">
            <v>SWAIN COUNTY SCHOOLS</v>
          </cell>
          <cell r="C261">
            <v>1220317.7100000002</v>
          </cell>
        </row>
        <row r="262">
          <cell r="A262">
            <v>38701</v>
          </cell>
          <cell r="B262" t="str">
            <v>MTN DISCOVERY CHARTER</v>
          </cell>
          <cell r="C262">
            <v>81826.330000000016</v>
          </cell>
        </row>
        <row r="263">
          <cell r="A263">
            <v>38800</v>
          </cell>
          <cell r="B263" t="str">
            <v>TRANSYLVANIA COUNTY SCHOOLS</v>
          </cell>
          <cell r="C263">
            <v>2128018.98</v>
          </cell>
        </row>
        <row r="264">
          <cell r="A264">
            <v>38801</v>
          </cell>
          <cell r="B264" t="str">
            <v>BREVARD ACADEMY CHARTER SCHOOL</v>
          </cell>
          <cell r="C264">
            <v>150779.38</v>
          </cell>
        </row>
        <row r="265">
          <cell r="A265">
            <v>38900</v>
          </cell>
          <cell r="B265" t="str">
            <v>TYRRELL COUNTY SCHOOLS</v>
          </cell>
          <cell r="C265">
            <v>476882.9</v>
          </cell>
        </row>
        <row r="266">
          <cell r="A266">
            <v>39000</v>
          </cell>
          <cell r="B266" t="str">
            <v>UNION COUNTY SCHOOLS</v>
          </cell>
          <cell r="C266">
            <v>20871983.339999996</v>
          </cell>
        </row>
        <row r="267">
          <cell r="A267">
            <v>39100</v>
          </cell>
          <cell r="B267" t="str">
            <v>VANCE COUNTY SCHOOLS</v>
          </cell>
          <cell r="C267">
            <v>3530602.0300000003</v>
          </cell>
        </row>
        <row r="268">
          <cell r="A268">
            <v>39101</v>
          </cell>
          <cell r="B268" t="str">
            <v>VANCE CHARTER SCHOOL</v>
          </cell>
          <cell r="C268">
            <v>282346.37</v>
          </cell>
        </row>
        <row r="269">
          <cell r="A269">
            <v>39105</v>
          </cell>
          <cell r="B269" t="str">
            <v>VANCE-GRANVILLE COMMUNITY COLLEGE</v>
          </cell>
          <cell r="C269">
            <v>1406214.8199999998</v>
          </cell>
        </row>
        <row r="270">
          <cell r="A270">
            <v>39200</v>
          </cell>
          <cell r="B270" t="str">
            <v>WAKE COUNTY PUBLIC SCHOOLS SYSTEM</v>
          </cell>
          <cell r="C270">
            <v>87215438.190000013</v>
          </cell>
        </row>
        <row r="271">
          <cell r="A271">
            <v>39201</v>
          </cell>
          <cell r="B271" t="str">
            <v>ENDEAVOR CHARTER SCHOOL</v>
          </cell>
          <cell r="C271">
            <v>214021.94</v>
          </cell>
        </row>
        <row r="272">
          <cell r="A272">
            <v>39204</v>
          </cell>
          <cell r="B272" t="str">
            <v>SOUTHERN WAKE ACADEMY</v>
          </cell>
          <cell r="C272">
            <v>216940.32</v>
          </cell>
        </row>
        <row r="273">
          <cell r="A273">
            <v>39205</v>
          </cell>
          <cell r="B273" t="str">
            <v>WAKE TECHNICAL COLLEGE</v>
          </cell>
          <cell r="C273">
            <v>7736894.79</v>
          </cell>
        </row>
        <row r="274">
          <cell r="A274">
            <v>39208</v>
          </cell>
          <cell r="B274" t="str">
            <v>EAST WAKE FIRST ACADEMY</v>
          </cell>
          <cell r="C274">
            <v>462824.68</v>
          </cell>
        </row>
        <row r="275">
          <cell r="A275">
            <v>39209</v>
          </cell>
          <cell r="B275" t="str">
            <v>CASA ESPERANZA MONTESSORI</v>
          </cell>
          <cell r="C275">
            <v>241365.49000000005</v>
          </cell>
        </row>
        <row r="276">
          <cell r="A276">
            <v>39300</v>
          </cell>
          <cell r="B276" t="str">
            <v>WARREN COUNTY SCHOOLS</v>
          </cell>
          <cell r="C276">
            <v>1288530.95</v>
          </cell>
        </row>
        <row r="277">
          <cell r="A277">
            <v>39301</v>
          </cell>
          <cell r="B277" t="str">
            <v>HALIWA-SAPONI TRIBAL CHARTER</v>
          </cell>
          <cell r="C277">
            <v>80536.790000000008</v>
          </cell>
        </row>
        <row r="278">
          <cell r="A278">
            <v>39400</v>
          </cell>
          <cell r="B278" t="str">
            <v>WASHINGTON COUNTY SCHOOLS</v>
          </cell>
          <cell r="C278">
            <v>980162.27</v>
          </cell>
        </row>
        <row r="279">
          <cell r="A279">
            <v>39401</v>
          </cell>
          <cell r="B279" t="str">
            <v>HENDERSON COLLEGIATE CHARTER SCHOOL</v>
          </cell>
          <cell r="C279">
            <v>350218.44999999995</v>
          </cell>
        </row>
        <row r="280">
          <cell r="A280">
            <v>39500</v>
          </cell>
          <cell r="B280" t="str">
            <v>WATAUGA COUNTY SCHOOLS</v>
          </cell>
          <cell r="C280">
            <v>2743385.8299999996</v>
          </cell>
        </row>
        <row r="281">
          <cell r="A281">
            <v>39501</v>
          </cell>
          <cell r="B281" t="str">
            <v>TWO RIVERS COMM SCHOOL</v>
          </cell>
          <cell r="C281">
            <v>86172.920000000013</v>
          </cell>
        </row>
        <row r="282">
          <cell r="A282">
            <v>39600</v>
          </cell>
          <cell r="B282" t="str">
            <v>WAYNE COUNTY SCHOOLS</v>
          </cell>
          <cell r="C282">
            <v>9361507.9199999999</v>
          </cell>
        </row>
        <row r="283">
          <cell r="A283">
            <v>39605</v>
          </cell>
          <cell r="B283" t="str">
            <v>WAYNE COMMUNITY COLLEGE</v>
          </cell>
          <cell r="C283">
            <v>1388419.7600000002</v>
          </cell>
        </row>
        <row r="284">
          <cell r="A284">
            <v>39700</v>
          </cell>
          <cell r="B284" t="str">
            <v>WILKES COUNTY SCHOOLS</v>
          </cell>
          <cell r="C284">
            <v>5174962.8899999987</v>
          </cell>
        </row>
        <row r="285">
          <cell r="A285">
            <v>39703</v>
          </cell>
          <cell r="B285" t="str">
            <v>PINNACLE CLASSICAL ACADEMY</v>
          </cell>
          <cell r="C285">
            <v>176926.94</v>
          </cell>
        </row>
        <row r="286">
          <cell r="A286">
            <v>39705</v>
          </cell>
          <cell r="B286" t="str">
            <v>WILKES COMMUNITY COLLEGE</v>
          </cell>
          <cell r="C286">
            <v>1363369.1199999999</v>
          </cell>
        </row>
        <row r="287">
          <cell r="A287">
            <v>39800</v>
          </cell>
          <cell r="B287" t="str">
            <v>WILSON COUNTY SCHOOLS</v>
          </cell>
          <cell r="C287">
            <v>6020873</v>
          </cell>
        </row>
        <row r="288">
          <cell r="A288">
            <v>39805</v>
          </cell>
          <cell r="B288" t="str">
            <v>WILSON COMMUNITY COLLEGE</v>
          </cell>
          <cell r="C288">
            <v>763058.43</v>
          </cell>
        </row>
        <row r="289">
          <cell r="A289">
            <v>39900</v>
          </cell>
          <cell r="B289" t="str">
            <v>YADKIN COUNTY SCHOOLS</v>
          </cell>
          <cell r="C289">
            <v>3062723.3400000008</v>
          </cell>
        </row>
        <row r="290">
          <cell r="A290">
            <v>51000</v>
          </cell>
          <cell r="B290" t="str">
            <v>HIGHWAY - ADMINISTRATIVE</v>
          </cell>
          <cell r="C290">
            <v>52824372.349999994</v>
          </cell>
        </row>
      </sheetData>
      <sheetData sheetId="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7.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8"/>
  <sheetViews>
    <sheetView tabSelected="1" zoomScaleNormal="100" workbookViewId="0">
      <selection activeCell="A2" sqref="A2:K3"/>
    </sheetView>
  </sheetViews>
  <sheetFormatPr defaultRowHeight="12.75" x14ac:dyDescent="0.2"/>
  <cols>
    <col min="1" max="1" width="4.28515625" customWidth="1"/>
    <col min="11" max="11" width="17.42578125" customWidth="1"/>
    <col min="12" max="12" width="3.42578125" customWidth="1"/>
  </cols>
  <sheetData>
    <row r="1" spans="1:11" ht="7.5" customHeight="1" x14ac:dyDescent="0.2"/>
    <row r="2" spans="1:11" x14ac:dyDescent="0.2">
      <c r="A2" s="863" t="s">
        <v>1658</v>
      </c>
      <c r="B2" s="864"/>
      <c r="C2" s="864"/>
      <c r="D2" s="864"/>
      <c r="E2" s="864"/>
      <c r="F2" s="864"/>
      <c r="G2" s="864"/>
      <c r="H2" s="864"/>
      <c r="I2" s="864"/>
      <c r="J2" s="864"/>
      <c r="K2" s="865"/>
    </row>
    <row r="3" spans="1:11" ht="21" customHeight="1" x14ac:dyDescent="0.2">
      <c r="A3" s="866"/>
      <c r="B3" s="867"/>
      <c r="C3" s="867"/>
      <c r="D3" s="867"/>
      <c r="E3" s="867"/>
      <c r="F3" s="867"/>
      <c r="G3" s="867"/>
      <c r="H3" s="867"/>
      <c r="I3" s="867"/>
      <c r="J3" s="867"/>
      <c r="K3" s="868"/>
    </row>
    <row r="4" spans="1:11" ht="8.25" customHeight="1" x14ac:dyDescent="0.2"/>
    <row r="5" spans="1:11" x14ac:dyDescent="0.2">
      <c r="A5" s="858" t="s">
        <v>656</v>
      </c>
      <c r="B5" s="858"/>
      <c r="C5" s="858"/>
      <c r="D5" s="858"/>
      <c r="E5" s="858"/>
      <c r="F5" s="858"/>
      <c r="G5" s="858"/>
      <c r="H5" s="858"/>
      <c r="I5" s="858"/>
      <c r="J5" s="858"/>
      <c r="K5" s="858"/>
    </row>
    <row r="6" spans="1:11" x14ac:dyDescent="0.2">
      <c r="A6" s="858"/>
      <c r="B6" s="858"/>
      <c r="C6" s="858"/>
      <c r="D6" s="858"/>
      <c r="E6" s="858"/>
      <c r="F6" s="858"/>
      <c r="G6" s="858"/>
      <c r="H6" s="858"/>
      <c r="I6" s="858"/>
      <c r="J6" s="858"/>
      <c r="K6" s="858"/>
    </row>
    <row r="7" spans="1:11" ht="24.75" customHeight="1" x14ac:dyDescent="0.2">
      <c r="A7" s="858"/>
      <c r="B7" s="858"/>
      <c r="C7" s="858"/>
      <c r="D7" s="858"/>
      <c r="E7" s="858"/>
      <c r="F7" s="858"/>
      <c r="G7" s="858"/>
      <c r="H7" s="858"/>
      <c r="I7" s="858"/>
      <c r="J7" s="858"/>
      <c r="K7" s="858"/>
    </row>
    <row r="8" spans="1:11" ht="9.75" customHeight="1" x14ac:dyDescent="0.2"/>
    <row r="9" spans="1:11" ht="12.75" customHeight="1" x14ac:dyDescent="0.2">
      <c r="A9" s="858" t="s">
        <v>531</v>
      </c>
      <c r="B9" s="858"/>
      <c r="C9" s="858"/>
      <c r="D9" s="858"/>
      <c r="E9" s="858"/>
      <c r="F9" s="858"/>
      <c r="G9" s="858"/>
      <c r="H9" s="858"/>
      <c r="I9" s="858"/>
      <c r="J9" s="858"/>
      <c r="K9" s="858"/>
    </row>
    <row r="10" spans="1:11" ht="36.75" customHeight="1" x14ac:dyDescent="0.2">
      <c r="A10" s="858"/>
      <c r="B10" s="858"/>
      <c r="C10" s="858"/>
      <c r="D10" s="858"/>
      <c r="E10" s="858"/>
      <c r="F10" s="858"/>
      <c r="G10" s="858"/>
      <c r="H10" s="858"/>
      <c r="I10" s="858"/>
      <c r="J10" s="858"/>
      <c r="K10" s="858"/>
    </row>
    <row r="11" spans="1:11" ht="9.75" customHeight="1" x14ac:dyDescent="0.2"/>
    <row r="12" spans="1:11" x14ac:dyDescent="0.2">
      <c r="A12" s="858" t="s">
        <v>532</v>
      </c>
      <c r="B12" s="858"/>
      <c r="C12" s="858"/>
      <c r="D12" s="858"/>
      <c r="E12" s="858"/>
      <c r="F12" s="858"/>
      <c r="G12" s="858"/>
      <c r="H12" s="858"/>
      <c r="I12" s="858"/>
      <c r="J12" s="858"/>
      <c r="K12" s="858"/>
    </row>
    <row r="13" spans="1:11" x14ac:dyDescent="0.2">
      <c r="A13" s="858"/>
      <c r="B13" s="858"/>
      <c r="C13" s="858"/>
      <c r="D13" s="858"/>
      <c r="E13" s="858"/>
      <c r="F13" s="858"/>
      <c r="G13" s="858"/>
      <c r="H13" s="858"/>
      <c r="I13" s="858"/>
      <c r="J13" s="858"/>
      <c r="K13" s="858"/>
    </row>
    <row r="14" spans="1:11" x14ac:dyDescent="0.2">
      <c r="A14" s="858"/>
      <c r="B14" s="858"/>
      <c r="C14" s="858"/>
      <c r="D14" s="858"/>
      <c r="E14" s="858"/>
      <c r="F14" s="858"/>
      <c r="G14" s="858"/>
      <c r="H14" s="858"/>
      <c r="I14" s="858"/>
      <c r="J14" s="858"/>
      <c r="K14" s="858"/>
    </row>
    <row r="15" spans="1:11" s="529" customFormat="1" x14ac:dyDescent="0.2">
      <c r="A15" s="528"/>
      <c r="B15" s="528"/>
      <c r="C15" s="528"/>
      <c r="D15" s="528"/>
      <c r="E15" s="528"/>
      <c r="F15" s="528"/>
      <c r="G15" s="528"/>
      <c r="H15" s="528"/>
      <c r="I15" s="528"/>
      <c r="J15" s="528"/>
      <c r="K15" s="528"/>
    </row>
    <row r="16" spans="1:11" s="529" customFormat="1" ht="12.75" customHeight="1" x14ac:dyDescent="0.2">
      <c r="A16" s="869" t="s">
        <v>1144</v>
      </c>
      <c r="B16" s="869"/>
      <c r="C16" s="869"/>
      <c r="D16" s="869"/>
      <c r="E16" s="869"/>
      <c r="F16" s="869"/>
      <c r="G16" s="869"/>
      <c r="H16" s="869"/>
      <c r="I16" s="869"/>
      <c r="J16" s="869"/>
      <c r="K16" s="869"/>
    </row>
    <row r="17" spans="1:11" s="529" customFormat="1" x14ac:dyDescent="0.2">
      <c r="A17" s="869"/>
      <c r="B17" s="869"/>
      <c r="C17" s="869"/>
      <c r="D17" s="869"/>
      <c r="E17" s="869"/>
      <c r="F17" s="869"/>
      <c r="G17" s="869"/>
      <c r="H17" s="869"/>
      <c r="I17" s="869"/>
      <c r="J17" s="869"/>
      <c r="K17" s="869"/>
    </row>
    <row r="18" spans="1:11" ht="56.25" customHeight="1" x14ac:dyDescent="0.2">
      <c r="A18" s="869"/>
      <c r="B18" s="869"/>
      <c r="C18" s="869"/>
      <c r="D18" s="869"/>
      <c r="E18" s="869"/>
      <c r="F18" s="869"/>
      <c r="G18" s="869"/>
      <c r="H18" s="869"/>
      <c r="I18" s="869"/>
      <c r="J18" s="869"/>
      <c r="K18" s="869"/>
    </row>
    <row r="19" spans="1:11" s="529" customFormat="1" ht="9.75" customHeight="1" x14ac:dyDescent="0.2"/>
    <row r="20" spans="1:11" x14ac:dyDescent="0.2">
      <c r="A20" s="858" t="s">
        <v>604</v>
      </c>
      <c r="B20" s="858"/>
      <c r="C20" s="858"/>
      <c r="D20" s="858"/>
      <c r="E20" s="858"/>
      <c r="F20" s="858"/>
      <c r="G20" s="858"/>
      <c r="H20" s="858"/>
      <c r="I20" s="858"/>
      <c r="J20" s="858"/>
      <c r="K20" s="858"/>
    </row>
    <row r="21" spans="1:11" x14ac:dyDescent="0.2">
      <c r="A21" s="858"/>
      <c r="B21" s="858"/>
      <c r="C21" s="858"/>
      <c r="D21" s="858"/>
      <c r="E21" s="858"/>
      <c r="F21" s="858"/>
      <c r="G21" s="858"/>
      <c r="H21" s="858"/>
      <c r="I21" s="858"/>
      <c r="J21" s="858"/>
      <c r="K21" s="858"/>
    </row>
    <row r="22" spans="1:11" ht="26.25" customHeight="1" x14ac:dyDescent="0.2">
      <c r="A22" s="858"/>
      <c r="B22" s="858"/>
      <c r="C22" s="858"/>
      <c r="D22" s="858"/>
      <c r="E22" s="858"/>
      <c r="F22" s="858"/>
      <c r="G22" s="858"/>
      <c r="H22" s="858"/>
      <c r="I22" s="858"/>
      <c r="J22" s="858"/>
      <c r="K22" s="858"/>
    </row>
    <row r="23" spans="1:11" ht="9.75" customHeight="1" x14ac:dyDescent="0.2">
      <c r="A23" s="858"/>
      <c r="B23" s="858"/>
      <c r="C23" s="858"/>
      <c r="D23" s="858"/>
      <c r="E23" s="858"/>
      <c r="F23" s="858"/>
      <c r="G23" s="858"/>
      <c r="H23" s="858"/>
      <c r="I23" s="858"/>
      <c r="J23" s="858"/>
      <c r="K23" s="858"/>
    </row>
    <row r="24" spans="1:11" x14ac:dyDescent="0.2">
      <c r="A24" s="858" t="s">
        <v>605</v>
      </c>
      <c r="B24" s="858"/>
      <c r="C24" s="858"/>
      <c r="D24" s="858"/>
      <c r="E24" s="858"/>
      <c r="F24" s="858"/>
      <c r="G24" s="858"/>
      <c r="H24" s="858"/>
      <c r="I24" s="858"/>
      <c r="J24" s="858"/>
      <c r="K24" s="858"/>
    </row>
    <row r="25" spans="1:11" x14ac:dyDescent="0.2">
      <c r="A25" s="858"/>
      <c r="B25" s="858"/>
      <c r="C25" s="858"/>
      <c r="D25" s="858"/>
      <c r="E25" s="858"/>
      <c r="F25" s="858"/>
      <c r="G25" s="858"/>
      <c r="H25" s="858"/>
      <c r="I25" s="858"/>
      <c r="J25" s="858"/>
      <c r="K25" s="858"/>
    </row>
    <row r="26" spans="1:11" ht="38.25" customHeight="1" x14ac:dyDescent="0.2">
      <c r="A26" s="858"/>
      <c r="B26" s="858"/>
      <c r="C26" s="858"/>
      <c r="D26" s="858"/>
      <c r="E26" s="858"/>
      <c r="F26" s="858"/>
      <c r="G26" s="858"/>
      <c r="H26" s="858"/>
      <c r="I26" s="858"/>
      <c r="J26" s="858"/>
      <c r="K26" s="858"/>
    </row>
    <row r="27" spans="1:11" ht="9.75" customHeight="1" x14ac:dyDescent="0.2"/>
    <row r="28" spans="1:11" x14ac:dyDescent="0.2">
      <c r="A28" s="859" t="s">
        <v>13</v>
      </c>
      <c r="B28" s="859"/>
      <c r="C28" s="859"/>
      <c r="D28" s="859"/>
      <c r="E28" s="859"/>
      <c r="F28" s="859"/>
      <c r="G28" s="859"/>
      <c r="H28" s="859"/>
      <c r="I28" s="859"/>
      <c r="J28" s="859"/>
      <c r="K28" s="859"/>
    </row>
    <row r="29" spans="1:11" x14ac:dyDescent="0.2">
      <c r="A29" s="859"/>
      <c r="B29" s="859"/>
      <c r="C29" s="859"/>
      <c r="D29" s="859"/>
      <c r="E29" s="859"/>
      <c r="F29" s="859"/>
      <c r="G29" s="859"/>
      <c r="H29" s="859"/>
      <c r="I29" s="859"/>
      <c r="J29" s="859"/>
      <c r="K29" s="859"/>
    </row>
    <row r="30" spans="1:11" x14ac:dyDescent="0.2">
      <c r="A30" s="859"/>
      <c r="B30" s="859"/>
      <c r="C30" s="859"/>
      <c r="D30" s="859"/>
      <c r="E30" s="859"/>
      <c r="F30" s="859"/>
      <c r="G30" s="859"/>
      <c r="H30" s="859"/>
      <c r="I30" s="859"/>
      <c r="J30" s="859"/>
      <c r="K30" s="859"/>
    </row>
    <row r="31" spans="1:11" x14ac:dyDescent="0.2">
      <c r="A31" s="859"/>
      <c r="B31" s="859"/>
      <c r="C31" s="859"/>
      <c r="D31" s="859"/>
      <c r="E31" s="859"/>
      <c r="F31" s="859"/>
      <c r="G31" s="859"/>
      <c r="H31" s="859"/>
      <c r="I31" s="859"/>
      <c r="J31" s="859"/>
      <c r="K31" s="859"/>
    </row>
    <row r="32" spans="1:11" x14ac:dyDescent="0.2">
      <c r="A32" s="859"/>
      <c r="B32" s="859"/>
      <c r="C32" s="859"/>
      <c r="D32" s="859"/>
      <c r="E32" s="859"/>
      <c r="F32" s="859"/>
      <c r="G32" s="859"/>
      <c r="H32" s="859"/>
      <c r="I32" s="859"/>
      <c r="J32" s="859"/>
      <c r="K32" s="859"/>
    </row>
    <row r="33" spans="1:11" hidden="1" x14ac:dyDescent="0.2">
      <c r="A33" s="859"/>
      <c r="B33" s="859"/>
      <c r="C33" s="859"/>
      <c r="D33" s="859"/>
      <c r="E33" s="859"/>
      <c r="F33" s="859"/>
      <c r="G33" s="859"/>
      <c r="H33" s="859"/>
      <c r="I33" s="859"/>
      <c r="J33" s="859"/>
      <c r="K33" s="859"/>
    </row>
    <row r="34" spans="1:11" ht="9.75" customHeight="1" x14ac:dyDescent="0.2"/>
    <row r="35" spans="1:11" x14ac:dyDescent="0.2">
      <c r="A35" s="858" t="s">
        <v>724</v>
      </c>
      <c r="B35" s="858"/>
      <c r="C35" s="858"/>
      <c r="D35" s="858"/>
      <c r="E35" s="858"/>
      <c r="F35" s="858"/>
      <c r="G35" s="858"/>
      <c r="H35" s="858"/>
      <c r="I35" s="858"/>
      <c r="J35" s="858"/>
      <c r="K35" s="858"/>
    </row>
    <row r="36" spans="1:11" x14ac:dyDescent="0.2">
      <c r="A36" s="858"/>
      <c r="B36" s="858"/>
      <c r="C36" s="858"/>
      <c r="D36" s="858"/>
      <c r="E36" s="858"/>
      <c r="F36" s="858"/>
      <c r="G36" s="858"/>
      <c r="H36" s="858"/>
      <c r="I36" s="858"/>
      <c r="J36" s="858"/>
      <c r="K36" s="858"/>
    </row>
    <row r="37" spans="1:11" x14ac:dyDescent="0.2">
      <c r="A37" s="858"/>
      <c r="B37" s="858"/>
      <c r="C37" s="858"/>
      <c r="D37" s="858"/>
      <c r="E37" s="858"/>
      <c r="F37" s="858"/>
      <c r="G37" s="858"/>
      <c r="H37" s="858"/>
      <c r="I37" s="858"/>
      <c r="J37" s="858"/>
      <c r="K37" s="858"/>
    </row>
    <row r="38" spans="1:11" ht="9.75" customHeight="1" x14ac:dyDescent="0.2"/>
    <row r="39" spans="1:11" x14ac:dyDescent="0.2">
      <c r="A39" s="858" t="s">
        <v>209</v>
      </c>
      <c r="B39" s="858"/>
      <c r="C39" s="858"/>
      <c r="D39" s="858"/>
      <c r="E39" s="858"/>
      <c r="F39" s="858"/>
      <c r="G39" s="858"/>
      <c r="H39" s="858"/>
      <c r="I39" s="858"/>
      <c r="J39" s="858"/>
      <c r="K39" s="858"/>
    </row>
    <row r="40" spans="1:11" ht="36.75" customHeight="1" x14ac:dyDescent="0.2">
      <c r="A40" s="858"/>
      <c r="B40" s="858"/>
      <c r="C40" s="858"/>
      <c r="D40" s="858"/>
      <c r="E40" s="858"/>
      <c r="F40" s="858"/>
      <c r="G40" s="858"/>
      <c r="H40" s="858"/>
      <c r="I40" s="858"/>
      <c r="J40" s="858"/>
      <c r="K40" s="858"/>
    </row>
    <row r="41" spans="1:11" ht="18.75" customHeight="1" x14ac:dyDescent="0.2"/>
    <row r="42" spans="1:11" x14ac:dyDescent="0.2">
      <c r="A42" s="4" t="s">
        <v>210</v>
      </c>
    </row>
    <row r="43" spans="1:11" ht="8.25" customHeight="1" x14ac:dyDescent="0.2">
      <c r="A43" s="4"/>
    </row>
    <row r="44" spans="1:11" ht="15.6" customHeight="1" x14ac:dyDescent="0.2">
      <c r="A44" s="858" t="s">
        <v>401</v>
      </c>
      <c r="B44" s="858"/>
      <c r="C44" s="858"/>
      <c r="D44" s="858"/>
      <c r="E44" s="858"/>
      <c r="F44" s="858"/>
      <c r="G44" s="858"/>
      <c r="H44" s="858"/>
      <c r="I44" s="858"/>
      <c r="J44" s="858"/>
      <c r="K44" s="858"/>
    </row>
    <row r="45" spans="1:11" x14ac:dyDescent="0.2">
      <c r="A45" s="858"/>
      <c r="B45" s="858"/>
      <c r="C45" s="858"/>
      <c r="D45" s="858"/>
      <c r="E45" s="858"/>
      <c r="F45" s="858"/>
      <c r="G45" s="858"/>
      <c r="H45" s="858"/>
      <c r="I45" s="858"/>
      <c r="J45" s="858"/>
      <c r="K45" s="858"/>
    </row>
    <row r="46" spans="1:11" x14ac:dyDescent="0.2">
      <c r="A46" s="858"/>
      <c r="B46" s="858"/>
      <c r="C46" s="858"/>
      <c r="D46" s="858"/>
      <c r="E46" s="858"/>
      <c r="F46" s="858"/>
      <c r="G46" s="858"/>
      <c r="H46" s="858"/>
      <c r="I46" s="858"/>
      <c r="J46" s="858"/>
      <c r="K46" s="858"/>
    </row>
    <row r="47" spans="1:11" x14ac:dyDescent="0.2">
      <c r="A47" s="858"/>
      <c r="B47" s="858"/>
      <c r="C47" s="858"/>
      <c r="D47" s="858"/>
      <c r="E47" s="858"/>
      <c r="F47" s="858"/>
      <c r="G47" s="858"/>
      <c r="H47" s="858"/>
      <c r="I47" s="858"/>
      <c r="J47" s="858"/>
      <c r="K47" s="858"/>
    </row>
    <row r="48" spans="1:11" ht="26.25" customHeight="1" x14ac:dyDescent="0.2">
      <c r="A48" s="858"/>
      <c r="B48" s="858"/>
      <c r="C48" s="858"/>
      <c r="D48" s="858"/>
      <c r="E48" s="858"/>
      <c r="F48" s="858"/>
      <c r="G48" s="858"/>
      <c r="H48" s="858"/>
      <c r="I48" s="858"/>
      <c r="J48" s="858"/>
      <c r="K48" s="858"/>
    </row>
    <row r="49" spans="1:11" ht="36.75" customHeight="1" x14ac:dyDescent="0.2">
      <c r="A49" s="858"/>
      <c r="B49" s="858"/>
      <c r="C49" s="858"/>
      <c r="D49" s="858"/>
      <c r="E49" s="858"/>
      <c r="F49" s="858"/>
      <c r="G49" s="858"/>
      <c r="H49" s="858"/>
      <c r="I49" s="858"/>
      <c r="J49" s="858"/>
      <c r="K49" s="858"/>
    </row>
    <row r="50" spans="1:11" ht="9.75" customHeight="1" x14ac:dyDescent="0.2">
      <c r="A50" s="34"/>
      <c r="B50" s="34"/>
      <c r="C50" s="34"/>
      <c r="D50" s="34"/>
      <c r="E50" s="34"/>
      <c r="F50" s="34"/>
      <c r="G50" s="34"/>
      <c r="H50" s="34"/>
      <c r="I50" s="34"/>
      <c r="J50" s="34"/>
      <c r="K50" s="34"/>
    </row>
    <row r="51" spans="1:11" x14ac:dyDescent="0.2">
      <c r="A51" s="858" t="s">
        <v>471</v>
      </c>
      <c r="B51" s="858"/>
      <c r="C51" s="858"/>
      <c r="D51" s="858"/>
      <c r="E51" s="858"/>
      <c r="F51" s="858"/>
      <c r="G51" s="858"/>
      <c r="H51" s="858"/>
      <c r="I51" s="858"/>
      <c r="J51" s="858"/>
      <c r="K51" s="858"/>
    </row>
    <row r="52" spans="1:11" x14ac:dyDescent="0.2">
      <c r="A52" s="858"/>
      <c r="B52" s="858"/>
      <c r="C52" s="858"/>
      <c r="D52" s="858"/>
      <c r="E52" s="858"/>
      <c r="F52" s="858"/>
      <c r="G52" s="858"/>
      <c r="H52" s="858"/>
      <c r="I52" s="858"/>
      <c r="J52" s="858"/>
      <c r="K52" s="858"/>
    </row>
    <row r="53" spans="1:11" x14ac:dyDescent="0.2">
      <c r="A53" s="858"/>
      <c r="B53" s="858"/>
      <c r="C53" s="858"/>
      <c r="D53" s="858"/>
      <c r="E53" s="858"/>
      <c r="F53" s="858"/>
      <c r="G53" s="858"/>
      <c r="H53" s="858"/>
      <c r="I53" s="858"/>
      <c r="J53" s="858"/>
      <c r="K53" s="858"/>
    </row>
    <row r="54" spans="1:11" ht="13.5" customHeight="1" x14ac:dyDescent="0.2">
      <c r="A54" s="858"/>
      <c r="B54" s="858"/>
      <c r="C54" s="858"/>
      <c r="D54" s="858"/>
      <c r="E54" s="858"/>
      <c r="F54" s="858"/>
      <c r="G54" s="858"/>
      <c r="H54" s="858"/>
      <c r="I54" s="858"/>
      <c r="J54" s="858"/>
      <c r="K54" s="858"/>
    </row>
    <row r="55" spans="1:11" ht="15.75" customHeight="1" x14ac:dyDescent="0.2">
      <c r="A55" s="858"/>
      <c r="B55" s="858"/>
      <c r="C55" s="858"/>
      <c r="D55" s="858"/>
      <c r="E55" s="858"/>
      <c r="F55" s="858"/>
      <c r="G55" s="858"/>
      <c r="H55" s="858"/>
      <c r="I55" s="858"/>
      <c r="J55" s="858"/>
      <c r="K55" s="858"/>
    </row>
    <row r="56" spans="1:11" x14ac:dyDescent="0.2">
      <c r="A56" s="34"/>
      <c r="B56" s="34"/>
      <c r="C56" s="34"/>
      <c r="D56" s="34"/>
      <c r="E56" s="34"/>
      <c r="F56" s="34"/>
      <c r="G56" s="34"/>
      <c r="H56" s="34"/>
      <c r="I56" s="34"/>
      <c r="J56" s="34"/>
      <c r="K56" s="34"/>
    </row>
    <row r="57" spans="1:11" x14ac:dyDescent="0.2">
      <c r="A57" s="96" t="s">
        <v>403</v>
      </c>
      <c r="B57" s="34"/>
      <c r="C57" s="34"/>
      <c r="D57" s="34"/>
      <c r="E57" s="34"/>
      <c r="F57" s="34"/>
      <c r="G57" s="34"/>
      <c r="H57" s="34"/>
      <c r="I57" s="34"/>
      <c r="J57" s="34"/>
      <c r="K57" s="34"/>
    </row>
    <row r="58" spans="1:11" x14ac:dyDescent="0.2">
      <c r="A58" s="34"/>
      <c r="B58" s="34"/>
      <c r="C58" s="34"/>
      <c r="D58" s="34"/>
      <c r="E58" s="34"/>
      <c r="F58" s="34"/>
      <c r="G58" s="34"/>
      <c r="H58" s="34"/>
      <c r="I58" s="34"/>
      <c r="J58" s="34"/>
      <c r="K58" s="34"/>
    </row>
    <row r="59" spans="1:11" ht="12.75" customHeight="1" x14ac:dyDescent="0.2">
      <c r="A59" s="859" t="s">
        <v>725</v>
      </c>
      <c r="B59" s="859"/>
      <c r="C59" s="859"/>
      <c r="D59" s="859"/>
      <c r="E59" s="859"/>
      <c r="F59" s="859"/>
      <c r="G59" s="859"/>
      <c r="H59" s="859"/>
      <c r="I59" s="859"/>
      <c r="J59" s="859"/>
      <c r="K59" s="859"/>
    </row>
    <row r="60" spans="1:11" x14ac:dyDescent="0.2">
      <c r="A60" s="859"/>
      <c r="B60" s="859"/>
      <c r="C60" s="859"/>
      <c r="D60" s="859"/>
      <c r="E60" s="859"/>
      <c r="F60" s="859"/>
      <c r="G60" s="859"/>
      <c r="H60" s="859"/>
      <c r="I60" s="859"/>
      <c r="J60" s="859"/>
      <c r="K60" s="859"/>
    </row>
    <row r="61" spans="1:11" x14ac:dyDescent="0.2">
      <c r="A61" s="859"/>
      <c r="B61" s="859"/>
      <c r="C61" s="859"/>
      <c r="D61" s="859"/>
      <c r="E61" s="859"/>
      <c r="F61" s="859"/>
      <c r="G61" s="859"/>
      <c r="H61" s="859"/>
      <c r="I61" s="859"/>
      <c r="J61" s="859"/>
      <c r="K61" s="859"/>
    </row>
    <row r="62" spans="1:11" x14ac:dyDescent="0.2">
      <c r="A62" s="859"/>
      <c r="B62" s="859"/>
      <c r="C62" s="859"/>
      <c r="D62" s="859"/>
      <c r="E62" s="859"/>
      <c r="F62" s="859"/>
      <c r="G62" s="859"/>
      <c r="H62" s="859"/>
      <c r="I62" s="859"/>
      <c r="J62" s="859"/>
      <c r="K62" s="859"/>
    </row>
    <row r="63" spans="1:11" ht="12.75" customHeight="1" x14ac:dyDescent="0.2">
      <c r="A63" s="859"/>
      <c r="B63" s="859"/>
      <c r="C63" s="859"/>
      <c r="D63" s="859"/>
      <c r="E63" s="859"/>
      <c r="F63" s="859"/>
      <c r="G63" s="859"/>
      <c r="H63" s="859"/>
      <c r="I63" s="859"/>
      <c r="J63" s="859"/>
      <c r="K63" s="859"/>
    </row>
    <row r="64" spans="1:11" ht="15" customHeight="1" x14ac:dyDescent="0.2">
      <c r="A64" s="859"/>
      <c r="B64" s="859"/>
      <c r="C64" s="859"/>
      <c r="D64" s="859"/>
      <c r="E64" s="859"/>
      <c r="F64" s="859"/>
      <c r="G64" s="859"/>
      <c r="H64" s="859"/>
      <c r="I64" s="859"/>
      <c r="J64" s="859"/>
      <c r="K64" s="859"/>
    </row>
    <row r="65" spans="1:11" ht="18" customHeight="1" x14ac:dyDescent="0.2">
      <c r="A65" s="34"/>
      <c r="B65" s="34"/>
      <c r="C65" s="34"/>
      <c r="D65" s="34"/>
      <c r="E65" s="34"/>
      <c r="F65" s="34"/>
      <c r="G65" s="34"/>
      <c r="H65" s="34"/>
      <c r="I65" s="34"/>
      <c r="J65" s="34"/>
      <c r="K65" s="34"/>
    </row>
    <row r="66" spans="1:11" x14ac:dyDescent="0.2">
      <c r="A66" s="4" t="s">
        <v>404</v>
      </c>
    </row>
    <row r="67" spans="1:11" ht="6" customHeight="1" x14ac:dyDescent="0.2"/>
    <row r="68" spans="1:11" ht="12.75" customHeight="1" x14ac:dyDescent="0.2">
      <c r="A68" s="858" t="s">
        <v>222</v>
      </c>
      <c r="B68" s="858"/>
      <c r="C68" s="858"/>
      <c r="D68" s="858"/>
      <c r="E68" s="858"/>
      <c r="F68" s="858"/>
      <c r="G68" s="858"/>
      <c r="H68" s="858"/>
      <c r="I68" s="858"/>
      <c r="J68" s="858"/>
      <c r="K68" s="858"/>
    </row>
    <row r="69" spans="1:11" ht="12.75" customHeight="1" x14ac:dyDescent="0.2">
      <c r="A69" s="858"/>
      <c r="B69" s="858"/>
      <c r="C69" s="858"/>
      <c r="D69" s="858"/>
      <c r="E69" s="858"/>
      <c r="F69" s="858"/>
      <c r="G69" s="858"/>
      <c r="H69" s="858"/>
      <c r="I69" s="858"/>
      <c r="J69" s="858"/>
      <c r="K69" s="858"/>
    </row>
    <row r="70" spans="1:11" ht="12.75" customHeight="1" x14ac:dyDescent="0.2"/>
    <row r="71" spans="1:11" ht="12.75" customHeight="1" x14ac:dyDescent="0.2">
      <c r="B71" s="4" t="s">
        <v>223</v>
      </c>
    </row>
    <row r="72" spans="1:11" ht="12.75" customHeight="1" x14ac:dyDescent="0.2">
      <c r="A72" s="862"/>
      <c r="B72" s="861" t="s">
        <v>225</v>
      </c>
      <c r="C72" s="861"/>
      <c r="D72" s="861"/>
      <c r="E72" s="861"/>
      <c r="F72" s="861"/>
      <c r="G72" s="861"/>
      <c r="H72" s="861"/>
      <c r="I72" s="861"/>
      <c r="J72" s="861"/>
      <c r="K72" s="861"/>
    </row>
    <row r="73" spans="1:11" ht="26.25" customHeight="1" x14ac:dyDescent="0.2">
      <c r="A73" s="862"/>
      <c r="B73" s="861"/>
      <c r="C73" s="861"/>
      <c r="D73" s="861"/>
      <c r="E73" s="861"/>
      <c r="F73" s="861"/>
      <c r="G73" s="861"/>
      <c r="H73" s="861"/>
      <c r="I73" s="861"/>
      <c r="J73" s="861"/>
      <c r="K73" s="861"/>
    </row>
    <row r="74" spans="1:11" ht="12.75" customHeight="1" x14ac:dyDescent="0.2">
      <c r="A74" s="860"/>
      <c r="B74" s="861" t="s">
        <v>224</v>
      </c>
      <c r="C74" s="861"/>
      <c r="D74" s="861"/>
      <c r="E74" s="861"/>
      <c r="F74" s="861"/>
      <c r="G74" s="861"/>
      <c r="H74" s="861"/>
      <c r="I74" s="861"/>
      <c r="J74" s="861"/>
      <c r="K74" s="861"/>
    </row>
    <row r="75" spans="1:11" ht="39.75" customHeight="1" x14ac:dyDescent="0.2">
      <c r="A75" s="860"/>
      <c r="B75" s="861"/>
      <c r="C75" s="861"/>
      <c r="D75" s="861"/>
      <c r="E75" s="861"/>
      <c r="F75" s="861"/>
      <c r="G75" s="861"/>
      <c r="H75" s="861"/>
      <c r="I75" s="861"/>
      <c r="J75" s="861"/>
      <c r="K75" s="861"/>
    </row>
    <row r="76" spans="1:11" x14ac:dyDescent="0.2">
      <c r="A76" s="371" t="s">
        <v>333</v>
      </c>
      <c r="B76" s="861" t="s">
        <v>226</v>
      </c>
      <c r="C76" s="861"/>
      <c r="D76" s="861"/>
      <c r="E76" s="861"/>
      <c r="F76" s="861"/>
      <c r="G76" s="861"/>
      <c r="H76" s="861"/>
      <c r="I76" s="861"/>
      <c r="J76" s="861"/>
      <c r="K76" s="861"/>
    </row>
    <row r="77" spans="1:11" ht="24.75" customHeight="1" x14ac:dyDescent="0.2">
      <c r="A77" s="37"/>
      <c r="B77" s="861"/>
      <c r="C77" s="861"/>
      <c r="D77" s="861"/>
      <c r="E77" s="861"/>
      <c r="F77" s="861"/>
      <c r="G77" s="861"/>
      <c r="H77" s="861"/>
      <c r="I77" s="861"/>
      <c r="J77" s="861"/>
      <c r="K77" s="861"/>
    </row>
    <row r="78" spans="1:11" x14ac:dyDescent="0.2">
      <c r="A78" s="37" t="s">
        <v>334</v>
      </c>
      <c r="B78" s="871" t="s">
        <v>220</v>
      </c>
      <c r="C78" s="871"/>
      <c r="D78" s="871"/>
      <c r="E78" s="871"/>
      <c r="F78" s="871"/>
      <c r="G78" s="871"/>
      <c r="H78" s="871"/>
      <c r="I78" s="871"/>
      <c r="J78" s="871"/>
      <c r="K78" s="871"/>
    </row>
    <row r="79" spans="1:11" x14ac:dyDescent="0.2">
      <c r="A79" s="37" t="s">
        <v>515</v>
      </c>
      <c r="B79" s="861" t="s">
        <v>472</v>
      </c>
      <c r="C79" s="861"/>
      <c r="D79" s="861"/>
      <c r="E79" s="861"/>
      <c r="F79" s="861"/>
      <c r="G79" s="861"/>
      <c r="H79" s="861"/>
      <c r="I79" s="861"/>
      <c r="J79" s="861"/>
      <c r="K79" s="861"/>
    </row>
    <row r="80" spans="1:11" ht="24.75" customHeight="1" x14ac:dyDescent="0.2">
      <c r="A80" s="37"/>
      <c r="B80" s="861"/>
      <c r="C80" s="861"/>
      <c r="D80" s="861"/>
      <c r="E80" s="861"/>
      <c r="F80" s="861"/>
      <c r="G80" s="861"/>
      <c r="H80" s="861"/>
      <c r="I80" s="861"/>
      <c r="J80" s="861"/>
      <c r="K80" s="861"/>
    </row>
    <row r="81" spans="1:11" x14ac:dyDescent="0.2">
      <c r="A81" s="37" t="s">
        <v>517</v>
      </c>
      <c r="B81" s="861" t="s">
        <v>227</v>
      </c>
      <c r="C81" s="861"/>
      <c r="D81" s="861"/>
      <c r="E81" s="861"/>
      <c r="F81" s="861"/>
      <c r="G81" s="861"/>
      <c r="H81" s="861"/>
      <c r="I81" s="861"/>
      <c r="J81" s="861"/>
      <c r="K81" s="861"/>
    </row>
    <row r="82" spans="1:11" x14ac:dyDescent="0.2">
      <c r="A82" s="37"/>
      <c r="B82" s="861"/>
      <c r="C82" s="861"/>
      <c r="D82" s="861"/>
      <c r="E82" s="861"/>
      <c r="F82" s="861"/>
      <c r="G82" s="861"/>
      <c r="H82" s="861"/>
      <c r="I82" s="861"/>
      <c r="J82" s="861"/>
      <c r="K82" s="861"/>
    </row>
    <row r="83" spans="1:11" x14ac:dyDescent="0.2">
      <c r="A83" s="37" t="s">
        <v>522</v>
      </c>
      <c r="B83" s="4" t="s">
        <v>671</v>
      </c>
    </row>
    <row r="84" spans="1:11" x14ac:dyDescent="0.2">
      <c r="A84" s="37" t="s">
        <v>579</v>
      </c>
      <c r="B84" s="4" t="s">
        <v>672</v>
      </c>
    </row>
    <row r="85" spans="1:11" x14ac:dyDescent="0.2">
      <c r="A85" s="37" t="s">
        <v>580</v>
      </c>
      <c r="B85" s="861" t="s">
        <v>673</v>
      </c>
      <c r="C85" s="861"/>
      <c r="D85" s="861"/>
      <c r="E85" s="861"/>
      <c r="F85" s="861"/>
      <c r="G85" s="861"/>
      <c r="H85" s="861"/>
      <c r="I85" s="861"/>
      <c r="J85" s="861"/>
      <c r="K85" s="861"/>
    </row>
    <row r="86" spans="1:11" x14ac:dyDescent="0.2">
      <c r="A86" s="37"/>
      <c r="B86" s="861"/>
      <c r="C86" s="861"/>
      <c r="D86" s="861"/>
      <c r="E86" s="861"/>
      <c r="F86" s="861"/>
      <c r="G86" s="861"/>
      <c r="H86" s="861"/>
      <c r="I86" s="861"/>
      <c r="J86" s="861"/>
      <c r="K86" s="861"/>
    </row>
    <row r="87" spans="1:11" x14ac:dyDescent="0.2">
      <c r="A87" s="37" t="s">
        <v>635</v>
      </c>
      <c r="B87" s="861" t="s">
        <v>627</v>
      </c>
      <c r="C87" s="861"/>
      <c r="D87" s="861"/>
      <c r="E87" s="861"/>
      <c r="F87" s="861"/>
      <c r="G87" s="861"/>
      <c r="H87" s="861"/>
      <c r="I87" s="861"/>
      <c r="J87" s="861"/>
      <c r="K87" s="861"/>
    </row>
    <row r="88" spans="1:11" x14ac:dyDescent="0.2">
      <c r="A88" s="37"/>
      <c r="B88" s="861"/>
      <c r="C88" s="861"/>
      <c r="D88" s="861"/>
      <c r="E88" s="861"/>
      <c r="F88" s="861"/>
      <c r="G88" s="861"/>
      <c r="H88" s="861"/>
      <c r="I88" s="861"/>
      <c r="J88" s="861"/>
      <c r="K88" s="861"/>
    </row>
    <row r="89" spans="1:11" x14ac:dyDescent="0.2">
      <c r="A89" s="37" t="s">
        <v>109</v>
      </c>
      <c r="B89" s="861" t="s">
        <v>754</v>
      </c>
      <c r="C89" s="861"/>
      <c r="D89" s="861"/>
      <c r="E89" s="861"/>
      <c r="F89" s="861"/>
      <c r="G89" s="861"/>
      <c r="H89" s="861"/>
      <c r="I89" s="861"/>
      <c r="J89" s="861"/>
      <c r="K89" s="861"/>
    </row>
    <row r="90" spans="1:11" ht="37.5" customHeight="1" x14ac:dyDescent="0.2">
      <c r="A90" s="37"/>
      <c r="B90" s="861"/>
      <c r="C90" s="861"/>
      <c r="D90" s="861"/>
      <c r="E90" s="861"/>
      <c r="F90" s="861"/>
      <c r="G90" s="861"/>
      <c r="H90" s="861"/>
      <c r="I90" s="861"/>
      <c r="J90" s="861"/>
      <c r="K90" s="861"/>
    </row>
    <row r="91" spans="1:11" x14ac:dyDescent="0.2">
      <c r="A91" s="4"/>
    </row>
    <row r="92" spans="1:11" ht="12.75" customHeight="1" x14ac:dyDescent="0.2">
      <c r="A92" s="4"/>
      <c r="B92" s="870" t="s">
        <v>674</v>
      </c>
      <c r="C92" s="870"/>
      <c r="D92" s="870"/>
      <c r="E92" s="870"/>
      <c r="F92" s="870"/>
      <c r="G92" s="870"/>
      <c r="H92" s="870"/>
      <c r="I92" s="870"/>
      <c r="J92" s="870"/>
      <c r="K92" s="870"/>
    </row>
    <row r="93" spans="1:11" x14ac:dyDescent="0.2">
      <c r="A93" s="4"/>
      <c r="B93" s="870"/>
      <c r="C93" s="870"/>
      <c r="D93" s="870"/>
      <c r="E93" s="870"/>
      <c r="F93" s="870"/>
      <c r="G93" s="870"/>
      <c r="H93" s="870"/>
      <c r="I93" s="870"/>
      <c r="J93" s="870"/>
      <c r="K93" s="870"/>
    </row>
    <row r="94" spans="1:11" x14ac:dyDescent="0.2">
      <c r="A94" s="4"/>
    </row>
    <row r="95" spans="1:11" x14ac:dyDescent="0.2">
      <c r="A95" s="4" t="s">
        <v>675</v>
      </c>
    </row>
    <row r="97" spans="2:11" x14ac:dyDescent="0.2">
      <c r="B97" s="160"/>
      <c r="C97" s="160"/>
      <c r="D97" s="160"/>
      <c r="E97" s="160"/>
      <c r="F97" s="160"/>
      <c r="G97" s="160"/>
      <c r="H97" s="160"/>
      <c r="I97" s="160"/>
      <c r="J97" s="160"/>
      <c r="K97" s="160"/>
    </row>
    <row r="98" spans="2:11" x14ac:dyDescent="0.2">
      <c r="B98" s="160"/>
      <c r="C98" s="160"/>
      <c r="D98" s="160"/>
      <c r="E98" s="160"/>
      <c r="F98" s="160"/>
      <c r="G98" s="160"/>
      <c r="H98" s="160"/>
      <c r="I98" s="160"/>
      <c r="J98" s="160"/>
      <c r="K98" s="160"/>
    </row>
    <row r="99" spans="2:11" x14ac:dyDescent="0.2">
      <c r="B99" s="160"/>
      <c r="C99" s="160"/>
      <c r="D99" s="160"/>
      <c r="E99" s="160"/>
      <c r="F99" s="160"/>
      <c r="G99" s="160"/>
      <c r="H99" s="160"/>
      <c r="I99" s="160"/>
      <c r="J99" s="160"/>
      <c r="K99" s="160"/>
    </row>
    <row r="100" spans="2:11" x14ac:dyDescent="0.2">
      <c r="B100" s="160"/>
      <c r="C100" s="160"/>
      <c r="D100" s="160"/>
      <c r="E100" s="160"/>
      <c r="F100" s="160"/>
      <c r="G100" s="160"/>
      <c r="H100" s="160"/>
      <c r="I100" s="160"/>
      <c r="J100" s="160"/>
      <c r="K100" s="160"/>
    </row>
    <row r="101" spans="2:11" x14ac:dyDescent="0.2">
      <c r="B101" s="160"/>
      <c r="C101" s="160"/>
      <c r="D101" s="160"/>
      <c r="E101" s="160"/>
      <c r="F101" s="160"/>
      <c r="G101" s="160"/>
      <c r="H101" s="160"/>
      <c r="I101" s="160"/>
      <c r="J101" s="160"/>
      <c r="K101" s="160"/>
    </row>
    <row r="102" spans="2:11" x14ac:dyDescent="0.2">
      <c r="B102" s="160"/>
      <c r="C102" s="160"/>
      <c r="D102" s="160"/>
      <c r="E102" s="160"/>
      <c r="F102" s="160"/>
      <c r="G102" s="160"/>
      <c r="H102" s="160"/>
      <c r="I102" s="160"/>
      <c r="J102" s="160"/>
      <c r="K102" s="160"/>
    </row>
    <row r="103" spans="2:11" x14ac:dyDescent="0.2">
      <c r="B103" s="160"/>
      <c r="C103" s="160"/>
      <c r="D103" s="160"/>
      <c r="E103" s="160"/>
      <c r="F103" s="160"/>
      <c r="G103" s="160"/>
      <c r="H103" s="160"/>
      <c r="I103" s="160"/>
      <c r="J103" s="160"/>
      <c r="K103" s="160"/>
    </row>
    <row r="104" spans="2:11" x14ac:dyDescent="0.2">
      <c r="B104" s="160"/>
      <c r="C104" s="160"/>
      <c r="D104" s="160"/>
      <c r="E104" s="160"/>
      <c r="F104" s="160"/>
      <c r="G104" s="160"/>
      <c r="H104" s="160"/>
      <c r="I104" s="160"/>
      <c r="J104" s="160"/>
      <c r="K104" s="160"/>
    </row>
    <row r="105" spans="2:11" x14ac:dyDescent="0.2">
      <c r="B105" s="160"/>
      <c r="C105" s="160"/>
      <c r="D105" s="160"/>
      <c r="E105" s="160"/>
      <c r="F105" s="160"/>
      <c r="G105" s="160"/>
      <c r="H105" s="160"/>
      <c r="I105" s="160"/>
      <c r="J105" s="160"/>
      <c r="K105" s="160"/>
    </row>
    <row r="106" spans="2:11" x14ac:dyDescent="0.2">
      <c r="B106" s="160"/>
      <c r="C106" s="160"/>
      <c r="D106" s="160"/>
      <c r="E106" s="160"/>
      <c r="F106" s="160"/>
      <c r="G106" s="160"/>
      <c r="H106" s="160"/>
      <c r="I106" s="160"/>
      <c r="J106" s="160"/>
      <c r="K106" s="160"/>
    </row>
    <row r="107" spans="2:11" x14ac:dyDescent="0.2">
      <c r="B107" s="160"/>
      <c r="C107" s="160"/>
      <c r="D107" s="160"/>
      <c r="E107" s="160"/>
      <c r="F107" s="160"/>
      <c r="G107" s="160"/>
      <c r="H107" s="160"/>
      <c r="I107" s="160"/>
      <c r="J107" s="160"/>
      <c r="K107" s="160"/>
    </row>
    <row r="108" spans="2:11" x14ac:dyDescent="0.2">
      <c r="B108" s="160"/>
      <c r="C108" s="160"/>
      <c r="D108" s="160"/>
      <c r="E108" s="160"/>
      <c r="F108" s="160"/>
      <c r="G108" s="160"/>
      <c r="H108" s="160"/>
      <c r="I108" s="160"/>
      <c r="J108" s="160"/>
      <c r="K108" s="160"/>
    </row>
  </sheetData>
  <sheetProtection algorithmName="SHA-512" hashValue="3CgE/N6ibupFLCHVBlU9oUvWCnm2Rjbu1IYRM10OvGTp4E194xipXXJlWWxD+F1PTyZML5ZX3afBySYcDGnq4A==" saltValue="iKb0uVbtm+lKn84p6cazYQ==" spinCount="100000" sheet="1" objects="1" scenarios="1"/>
  <mergeCells count="27">
    <mergeCell ref="B92:K93"/>
    <mergeCell ref="B85:K86"/>
    <mergeCell ref="B87:K88"/>
    <mergeCell ref="B89:K90"/>
    <mergeCell ref="B76:K77"/>
    <mergeCell ref="B78:K78"/>
    <mergeCell ref="B79:K80"/>
    <mergeCell ref="B81:K82"/>
    <mergeCell ref="A2:K3"/>
    <mergeCell ref="A5:K7"/>
    <mergeCell ref="A9:K10"/>
    <mergeCell ref="A12:K14"/>
    <mergeCell ref="A20:K22"/>
    <mergeCell ref="A16:K18"/>
    <mergeCell ref="A23:K23"/>
    <mergeCell ref="A24:K26"/>
    <mergeCell ref="A28:K33"/>
    <mergeCell ref="A74:A75"/>
    <mergeCell ref="B74:K75"/>
    <mergeCell ref="A72:A73"/>
    <mergeCell ref="B72:K73"/>
    <mergeCell ref="A59:K64"/>
    <mergeCell ref="A68:K69"/>
    <mergeCell ref="A35:K37"/>
    <mergeCell ref="A39:K40"/>
    <mergeCell ref="A44:K49"/>
    <mergeCell ref="A51:K55"/>
  </mergeCells>
  <phoneticPr fontId="0" type="noConversion"/>
  <pageMargins left="0.51" right="0.5" top="0.73" bottom="0.64" header="0.5" footer="0.5"/>
  <pageSetup scale="90" orientation="portrait" r:id="rId1"/>
  <headerFooter alignWithMargins="0">
    <oddFooter>&amp;L&amp;F</oddFooter>
  </headerFooter>
  <rowBreaks count="1" manualBreakCount="1">
    <brk id="56" max="16383" man="1"/>
  </rowBreaks>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O137"/>
  <sheetViews>
    <sheetView workbookViewId="0">
      <selection activeCell="A2" sqref="A2:O2"/>
    </sheetView>
  </sheetViews>
  <sheetFormatPr defaultRowHeight="12.75" x14ac:dyDescent="0.2"/>
  <cols>
    <col min="1" max="1" width="4" style="4" customWidth="1"/>
    <col min="2" max="2" width="4" customWidth="1"/>
    <col min="4" max="4" width="9.28515625" customWidth="1"/>
    <col min="5" max="5" width="4.42578125" customWidth="1"/>
    <col min="6" max="6" width="10.42578125" bestFit="1" customWidth="1"/>
    <col min="7" max="7" width="11.28515625" bestFit="1" customWidth="1"/>
    <col min="8" max="8" width="10.42578125" style="1" customWidth="1"/>
    <col min="10" max="10" width="4" customWidth="1"/>
    <col min="11" max="12" width="12.7109375" customWidth="1"/>
    <col min="13" max="13" width="0.7109375" customWidth="1"/>
    <col min="14" max="14" width="12.7109375" customWidth="1"/>
    <col min="15" max="15" width="10.42578125" bestFit="1" customWidth="1"/>
  </cols>
  <sheetData>
    <row r="1" spans="1:15" ht="3" customHeight="1" x14ac:dyDescent="0.2"/>
    <row r="2" spans="1:15" ht="33.75" customHeight="1" x14ac:dyDescent="0.2">
      <c r="A2" s="963" t="s">
        <v>612</v>
      </c>
      <c r="B2" s="964"/>
      <c r="C2" s="964"/>
      <c r="D2" s="964"/>
      <c r="E2" s="964"/>
      <c r="F2" s="964"/>
      <c r="G2" s="964"/>
      <c r="H2" s="964"/>
      <c r="I2" s="964"/>
      <c r="J2" s="964"/>
      <c r="K2" s="964"/>
      <c r="L2" s="964"/>
      <c r="M2" s="964"/>
      <c r="N2" s="964"/>
      <c r="O2" s="964"/>
    </row>
    <row r="3" spans="1:15" ht="3.75" customHeight="1" x14ac:dyDescent="0.2"/>
    <row r="4" spans="1:15" ht="76.5" customHeight="1" x14ac:dyDescent="0.2">
      <c r="A4" s="1055" t="s">
        <v>530</v>
      </c>
      <c r="B4" s="1055"/>
      <c r="C4" s="1055"/>
      <c r="D4" s="1055"/>
      <c r="E4" s="1055"/>
      <c r="F4" s="1055"/>
      <c r="G4" s="1055"/>
      <c r="H4" s="1055"/>
      <c r="I4" s="1055"/>
      <c r="J4" s="1055"/>
      <c r="K4" s="1055"/>
      <c r="L4" s="1055"/>
      <c r="M4" s="1055"/>
      <c r="N4" s="1055"/>
      <c r="O4" s="1055"/>
    </row>
    <row r="5" spans="1:15" ht="5.25" customHeight="1" x14ac:dyDescent="0.2"/>
    <row r="6" spans="1:15" ht="12.75" customHeight="1" x14ac:dyDescent="0.2">
      <c r="B6" s="38" t="s">
        <v>649</v>
      </c>
      <c r="C6" s="858" t="s">
        <v>687</v>
      </c>
      <c r="D6" s="858"/>
      <c r="E6" s="858"/>
      <c r="F6" s="858"/>
      <c r="G6" s="858"/>
      <c r="H6" s="858"/>
      <c r="I6" s="858"/>
      <c r="J6" s="858"/>
      <c r="K6" s="858"/>
      <c r="L6" s="858"/>
      <c r="M6" s="858"/>
      <c r="N6" s="858"/>
      <c r="O6" s="858"/>
    </row>
    <row r="7" spans="1:15" ht="38.25" customHeight="1" x14ac:dyDescent="0.2">
      <c r="B7" s="38"/>
      <c r="C7" s="858"/>
      <c r="D7" s="858"/>
      <c r="E7" s="858"/>
      <c r="F7" s="858"/>
      <c r="G7" s="858"/>
      <c r="H7" s="858"/>
      <c r="I7" s="858"/>
      <c r="J7" s="858"/>
      <c r="K7" s="858"/>
      <c r="L7" s="858"/>
      <c r="M7" s="858"/>
      <c r="N7" s="858"/>
      <c r="O7" s="858"/>
    </row>
    <row r="8" spans="1:15" ht="5.25" customHeight="1" x14ac:dyDescent="0.2">
      <c r="B8" s="38"/>
    </row>
    <row r="9" spans="1:15" ht="12.75" customHeight="1" x14ac:dyDescent="0.2">
      <c r="B9" s="38" t="s">
        <v>103</v>
      </c>
      <c r="C9" s="858" t="s">
        <v>41</v>
      </c>
      <c r="D9" s="858"/>
      <c r="E9" s="858"/>
      <c r="F9" s="858"/>
      <c r="G9" s="858"/>
      <c r="H9" s="858"/>
      <c r="I9" s="858"/>
      <c r="J9" s="858"/>
      <c r="K9" s="858"/>
      <c r="L9" s="858"/>
      <c r="M9" s="858"/>
      <c r="N9" s="858"/>
      <c r="O9" s="858"/>
    </row>
    <row r="10" spans="1:15" ht="24.75" customHeight="1" x14ac:dyDescent="0.2">
      <c r="B10" s="38"/>
      <c r="C10" s="858"/>
      <c r="D10" s="858"/>
      <c r="E10" s="858"/>
      <c r="F10" s="858"/>
      <c r="G10" s="858"/>
      <c r="H10" s="858"/>
      <c r="I10" s="858"/>
      <c r="J10" s="858"/>
      <c r="K10" s="858"/>
      <c r="L10" s="858"/>
      <c r="M10" s="858"/>
      <c r="N10" s="858"/>
      <c r="O10" s="858"/>
    </row>
    <row r="11" spans="1:15" ht="7.5" customHeight="1" x14ac:dyDescent="0.2">
      <c r="C11" s="34"/>
      <c r="D11" s="34"/>
      <c r="E11" s="34"/>
      <c r="F11" s="34"/>
      <c r="G11" s="34"/>
      <c r="H11" s="34"/>
      <c r="I11" s="34"/>
      <c r="J11" s="34"/>
      <c r="K11" s="34"/>
      <c r="L11" s="34"/>
      <c r="M11" s="34"/>
      <c r="N11" s="34"/>
      <c r="O11" s="34"/>
    </row>
    <row r="12" spans="1:15" ht="25.5" customHeight="1" x14ac:dyDescent="0.2">
      <c r="A12" s="765" t="s">
        <v>333</v>
      </c>
      <c r="B12" s="971" t="s">
        <v>159</v>
      </c>
      <c r="C12" s="972"/>
      <c r="D12" s="972"/>
      <c r="E12" s="972"/>
      <c r="F12" s="972"/>
      <c r="G12" s="972"/>
      <c r="H12" s="972"/>
      <c r="I12" s="972"/>
      <c r="J12" s="972"/>
      <c r="K12" s="972"/>
      <c r="L12" s="972"/>
      <c r="M12" s="972"/>
      <c r="N12" s="972"/>
      <c r="O12" s="973"/>
    </row>
    <row r="13" spans="1:15" ht="3.75" customHeight="1" x14ac:dyDescent="0.2">
      <c r="B13" s="41"/>
      <c r="C13" s="32"/>
      <c r="D13" s="32"/>
      <c r="E13" s="32"/>
      <c r="F13" s="32"/>
      <c r="G13" s="32"/>
      <c r="H13" s="31"/>
      <c r="I13" s="32"/>
      <c r="J13" s="32"/>
      <c r="K13" s="32"/>
      <c r="L13" s="32"/>
      <c r="M13" s="32"/>
      <c r="N13" s="32"/>
      <c r="O13" s="32"/>
    </row>
    <row r="14" spans="1:15" x14ac:dyDescent="0.2">
      <c r="B14" s="1063"/>
      <c r="C14" s="1063"/>
      <c r="D14" s="1063"/>
      <c r="E14" s="1063"/>
      <c r="F14" s="1063"/>
      <c r="G14" s="1063"/>
      <c r="H14" s="1063"/>
      <c r="I14" s="1063"/>
      <c r="J14" s="9"/>
      <c r="K14" s="109" t="s">
        <v>644</v>
      </c>
      <c r="L14" s="9"/>
      <c r="M14" s="9"/>
      <c r="O14" s="9"/>
    </row>
    <row r="15" spans="1:15" ht="12.75" customHeight="1" x14ac:dyDescent="0.2">
      <c r="B15" s="38" t="s">
        <v>649</v>
      </c>
      <c r="C15" s="858" t="s">
        <v>80</v>
      </c>
      <c r="D15" s="858"/>
      <c r="E15" s="858"/>
      <c r="F15" s="858"/>
      <c r="G15" s="858"/>
      <c r="H15" s="858"/>
      <c r="I15" s="858"/>
      <c r="K15" s="997"/>
      <c r="L15" s="9"/>
      <c r="M15" s="9"/>
      <c r="O15" s="9"/>
    </row>
    <row r="16" spans="1:15" ht="12.75" customHeight="1" x14ac:dyDescent="0.2">
      <c r="B16" s="38"/>
      <c r="C16" s="858"/>
      <c r="D16" s="858"/>
      <c r="E16" s="858"/>
      <c r="F16" s="858"/>
      <c r="G16" s="858"/>
      <c r="H16" s="858"/>
      <c r="I16" s="858"/>
      <c r="K16" s="997"/>
      <c r="M16" s="9"/>
      <c r="O16" s="9"/>
    </row>
    <row r="17" spans="1:15" ht="7.5" customHeight="1" x14ac:dyDescent="0.2">
      <c r="H17"/>
      <c r="K17" s="36"/>
      <c r="L17" s="9"/>
      <c r="M17" s="9"/>
      <c r="O17" s="9"/>
    </row>
    <row r="18" spans="1:15" ht="12.75" customHeight="1" x14ac:dyDescent="0.2">
      <c r="B18" s="38" t="s">
        <v>650</v>
      </c>
      <c r="C18" s="858" t="s">
        <v>680</v>
      </c>
      <c r="D18" s="858"/>
      <c r="E18" s="858"/>
      <c r="F18" s="858"/>
      <c r="G18" s="858"/>
      <c r="H18" s="858"/>
      <c r="I18" s="858"/>
      <c r="K18" s="1001"/>
      <c r="L18" s="9"/>
      <c r="M18" s="9"/>
      <c r="O18" s="9"/>
    </row>
    <row r="19" spans="1:15" ht="12.75" customHeight="1" x14ac:dyDescent="0.2">
      <c r="A19"/>
      <c r="C19" s="858"/>
      <c r="D19" s="858"/>
      <c r="E19" s="858"/>
      <c r="F19" s="858"/>
      <c r="G19" s="858"/>
      <c r="H19" s="858"/>
      <c r="I19" s="858"/>
      <c r="K19" s="1001"/>
      <c r="L19" s="124"/>
    </row>
    <row r="20" spans="1:15" ht="17.25" customHeight="1" thickBot="1" x14ac:dyDescent="0.25">
      <c r="G20" t="s">
        <v>77</v>
      </c>
      <c r="H20"/>
      <c r="K20" s="62">
        <f>K18-K15</f>
        <v>0</v>
      </c>
      <c r="L20" s="124" t="s">
        <v>141</v>
      </c>
      <c r="M20" s="9"/>
      <c r="O20" s="9"/>
    </row>
    <row r="21" spans="1:15" ht="5.25" customHeight="1" thickTop="1" x14ac:dyDescent="0.2">
      <c r="H21"/>
      <c r="K21" s="44"/>
      <c r="L21" s="124"/>
      <c r="M21" s="9"/>
      <c r="O21" s="9"/>
    </row>
    <row r="22" spans="1:15" ht="12.75" customHeight="1" x14ac:dyDescent="0.2">
      <c r="B22" s="38" t="s">
        <v>651</v>
      </c>
      <c r="C22" s="858" t="s">
        <v>591</v>
      </c>
      <c r="D22" s="858"/>
      <c r="E22" s="858"/>
      <c r="F22" s="858"/>
      <c r="G22" s="858"/>
      <c r="H22" s="858"/>
      <c r="I22" s="858"/>
      <c r="J22" s="858"/>
      <c r="K22" s="36"/>
      <c r="L22" s="9"/>
      <c r="M22" s="9"/>
    </row>
    <row r="23" spans="1:15" ht="13.5" customHeight="1" x14ac:dyDescent="0.2">
      <c r="B23" s="38"/>
      <c r="C23" s="858"/>
      <c r="D23" s="858"/>
      <c r="E23" s="858"/>
      <c r="F23" s="858"/>
      <c r="G23" s="858"/>
      <c r="H23" s="858"/>
      <c r="I23" s="858"/>
      <c r="J23" s="858"/>
      <c r="K23" s="1062" t="s">
        <v>79</v>
      </c>
      <c r="L23" s="9"/>
      <c r="M23" s="9"/>
    </row>
    <row r="24" spans="1:15" ht="12" customHeight="1" x14ac:dyDescent="0.2">
      <c r="B24" s="38"/>
      <c r="C24" s="34"/>
      <c r="D24" s="34"/>
      <c r="E24" s="34"/>
      <c r="F24" s="34"/>
      <c r="G24" s="34"/>
      <c r="H24"/>
      <c r="I24" s="34"/>
      <c r="J24" s="34"/>
      <c r="K24" s="1013"/>
      <c r="L24" s="9"/>
      <c r="M24" s="9"/>
    </row>
    <row r="25" spans="1:15" x14ac:dyDescent="0.2">
      <c r="F25" t="s">
        <v>263</v>
      </c>
      <c r="H25"/>
      <c r="K25" s="220"/>
      <c r="L25" s="9"/>
      <c r="M25" s="9"/>
    </row>
    <row r="26" spans="1:15" x14ac:dyDescent="0.2">
      <c r="F26" t="s">
        <v>264</v>
      </c>
      <c r="H26"/>
      <c r="K26" s="220"/>
      <c r="L26" s="9"/>
      <c r="M26" s="9"/>
    </row>
    <row r="27" spans="1:15" x14ac:dyDescent="0.2">
      <c r="F27" t="s">
        <v>265</v>
      </c>
      <c r="H27"/>
      <c r="K27" s="220"/>
      <c r="L27" s="9"/>
      <c r="M27" s="9"/>
    </row>
    <row r="28" spans="1:15" x14ac:dyDescent="0.2">
      <c r="F28" t="s">
        <v>266</v>
      </c>
      <c r="H28"/>
      <c r="K28" s="220"/>
      <c r="L28" s="9"/>
      <c r="M28" s="9"/>
    </row>
    <row r="29" spans="1:15" x14ac:dyDescent="0.2">
      <c r="F29" t="s">
        <v>267</v>
      </c>
      <c r="H29"/>
      <c r="K29" s="220"/>
      <c r="L29" s="9"/>
      <c r="M29" s="9"/>
    </row>
    <row r="30" spans="1:15" x14ac:dyDescent="0.2">
      <c r="F30" t="s">
        <v>268</v>
      </c>
      <c r="H30"/>
      <c r="K30" s="220"/>
      <c r="L30" s="9"/>
      <c r="M30" s="9"/>
    </row>
    <row r="31" spans="1:15" x14ac:dyDescent="0.2">
      <c r="F31" t="s">
        <v>269</v>
      </c>
      <c r="H31"/>
      <c r="K31" s="220"/>
      <c r="L31" s="9"/>
      <c r="M31" s="9"/>
    </row>
    <row r="32" spans="1:15" x14ac:dyDescent="0.2">
      <c r="F32" t="s">
        <v>377</v>
      </c>
      <c r="H32"/>
      <c r="K32" s="220"/>
      <c r="L32" s="9"/>
      <c r="M32" s="9"/>
    </row>
    <row r="33" spans="1:15" x14ac:dyDescent="0.2">
      <c r="F33" t="s">
        <v>439</v>
      </c>
      <c r="H33"/>
      <c r="K33" s="220"/>
      <c r="L33" s="9"/>
      <c r="M33" s="9"/>
    </row>
    <row r="34" spans="1:15" x14ac:dyDescent="0.2">
      <c r="F34" t="s">
        <v>237</v>
      </c>
      <c r="H34"/>
      <c r="K34" s="220"/>
      <c r="L34" s="9"/>
      <c r="M34" s="9"/>
    </row>
    <row r="35" spans="1:15" x14ac:dyDescent="0.2">
      <c r="F35" t="s">
        <v>238</v>
      </c>
      <c r="H35"/>
      <c r="K35" s="220"/>
      <c r="L35" s="9"/>
      <c r="M35" s="9"/>
    </row>
    <row r="36" spans="1:15" x14ac:dyDescent="0.2">
      <c r="F36" t="s">
        <v>271</v>
      </c>
      <c r="H36"/>
      <c r="K36" s="220"/>
      <c r="L36" s="9"/>
      <c r="M36" s="9"/>
    </row>
    <row r="37" spans="1:15" x14ac:dyDescent="0.2">
      <c r="F37" t="s">
        <v>273</v>
      </c>
      <c r="H37"/>
      <c r="K37" s="220"/>
      <c r="L37" s="9"/>
      <c r="M37" s="9"/>
    </row>
    <row r="38" spans="1:15" x14ac:dyDescent="0.2">
      <c r="F38" t="s">
        <v>274</v>
      </c>
      <c r="H38"/>
      <c r="K38" s="220"/>
      <c r="L38" s="9"/>
      <c r="M38" s="9"/>
    </row>
    <row r="39" spans="1:15" x14ac:dyDescent="0.2">
      <c r="F39" t="s">
        <v>272</v>
      </c>
      <c r="H39"/>
      <c r="K39" s="220"/>
      <c r="L39" s="9"/>
      <c r="M39" s="9"/>
    </row>
    <row r="40" spans="1:15" x14ac:dyDescent="0.2">
      <c r="F40" t="s">
        <v>257</v>
      </c>
      <c r="H40"/>
      <c r="K40" s="220"/>
      <c r="L40" s="9"/>
      <c r="M40" s="9"/>
    </row>
    <row r="41" spans="1:15" x14ac:dyDescent="0.2">
      <c r="F41" t="s">
        <v>55</v>
      </c>
      <c r="H41"/>
      <c r="K41" s="220"/>
      <c r="L41" s="1060" t="str">
        <f>IF(K20=K42," ","Recheck numbers. Entry is out of balance.")</f>
        <v xml:space="preserve"> </v>
      </c>
      <c r="M41" s="1060"/>
      <c r="N41" s="1060"/>
    </row>
    <row r="42" spans="1:15" ht="20.25" customHeight="1" thickBot="1" x14ac:dyDescent="0.25">
      <c r="H42"/>
      <c r="I42" s="159"/>
      <c r="J42" s="137" t="s">
        <v>141</v>
      </c>
      <c r="K42" s="62">
        <f>SUM(K25:K41)</f>
        <v>0</v>
      </c>
      <c r="L42" s="1060"/>
      <c r="M42" s="1060"/>
      <c r="N42" s="1060"/>
    </row>
    <row r="43" spans="1:15" ht="13.5" thickTop="1" x14ac:dyDescent="0.2">
      <c r="H43"/>
      <c r="L43" s="766"/>
      <c r="M43" s="9"/>
      <c r="N43" s="756"/>
    </row>
    <row r="44" spans="1:15" ht="25.5" customHeight="1" x14ac:dyDescent="0.2">
      <c r="A44" s="765" t="s">
        <v>334</v>
      </c>
      <c r="B44" s="971" t="s">
        <v>134</v>
      </c>
      <c r="C44" s="972"/>
      <c r="D44" s="972"/>
      <c r="E44" s="972"/>
      <c r="F44" s="972"/>
      <c r="G44" s="972"/>
      <c r="H44" s="972"/>
      <c r="I44" s="972"/>
      <c r="J44" s="972"/>
      <c r="K44" s="972"/>
      <c r="L44" s="972"/>
      <c r="M44" s="972"/>
      <c r="N44" s="972"/>
      <c r="O44" s="973"/>
    </row>
    <row r="45" spans="1:15" ht="5.25" customHeight="1" x14ac:dyDescent="0.2">
      <c r="H45"/>
      <c r="L45" s="9"/>
      <c r="M45" s="9"/>
    </row>
    <row r="46" spans="1:15" x14ac:dyDescent="0.2">
      <c r="B46" s="1066" t="s">
        <v>684</v>
      </c>
      <c r="C46" s="1066"/>
      <c r="D46" s="1066"/>
      <c r="E46" s="1066"/>
      <c r="H46"/>
      <c r="L46" s="9"/>
      <c r="M46" s="9"/>
    </row>
    <row r="47" spans="1:15" ht="6.75" customHeight="1" x14ac:dyDescent="0.2">
      <c r="H47"/>
      <c r="L47" s="9"/>
      <c r="M47" s="9"/>
    </row>
    <row r="48" spans="1:15" ht="12.75" customHeight="1" x14ac:dyDescent="0.2">
      <c r="B48" s="38" t="s">
        <v>649</v>
      </c>
      <c r="C48" s="858" t="s">
        <v>373</v>
      </c>
      <c r="D48" s="858"/>
      <c r="E48" s="858"/>
      <c r="F48" s="858"/>
      <c r="G48" s="858"/>
      <c r="H48" s="858"/>
      <c r="I48" s="858"/>
      <c r="K48" s="220"/>
      <c r="L48" s="9"/>
      <c r="M48" s="9"/>
    </row>
    <row r="49" spans="2:13" ht="5.25" customHeight="1" x14ac:dyDescent="0.2">
      <c r="H49"/>
      <c r="K49" s="36"/>
      <c r="L49" s="9"/>
      <c r="M49" s="9"/>
    </row>
    <row r="50" spans="2:13" x14ac:dyDescent="0.2">
      <c r="B50" s="38" t="s">
        <v>650</v>
      </c>
      <c r="C50" s="858" t="s">
        <v>683</v>
      </c>
      <c r="D50" s="858"/>
      <c r="E50" s="858"/>
      <c r="F50" s="858"/>
      <c r="G50" s="858"/>
      <c r="H50" s="858"/>
      <c r="I50" s="858"/>
      <c r="K50" s="220"/>
      <c r="L50" s="9"/>
      <c r="M50" s="9"/>
    </row>
    <row r="51" spans="2:13" ht="18" customHeight="1" thickBot="1" x14ac:dyDescent="0.25">
      <c r="G51" t="s">
        <v>77</v>
      </c>
      <c r="H51"/>
      <c r="K51" s="62">
        <f>K50-K48</f>
        <v>0</v>
      </c>
      <c r="L51" s="124" t="s">
        <v>142</v>
      </c>
      <c r="M51" s="9"/>
    </row>
    <row r="52" spans="2:13" ht="4.5" customHeight="1" thickTop="1" x14ac:dyDescent="0.2">
      <c r="H52"/>
      <c r="K52" s="36"/>
      <c r="L52" s="9"/>
      <c r="M52" s="9"/>
    </row>
    <row r="53" spans="2:13" ht="4.5" customHeight="1" x14ac:dyDescent="0.2">
      <c r="H53"/>
      <c r="K53" s="36"/>
      <c r="L53" s="9"/>
      <c r="M53" s="9"/>
    </row>
    <row r="54" spans="2:13" ht="18.95" customHeight="1" x14ac:dyDescent="0.2">
      <c r="B54" s="38" t="s">
        <v>651</v>
      </c>
      <c r="C54" s="859" t="s">
        <v>592</v>
      </c>
      <c r="D54" s="859"/>
      <c r="E54" s="859"/>
      <c r="F54" s="859"/>
      <c r="G54" s="859"/>
      <c r="H54" s="859"/>
      <c r="I54" s="859"/>
      <c r="J54" s="966"/>
      <c r="K54" s="36"/>
      <c r="L54" s="9"/>
      <c r="M54" s="9"/>
    </row>
    <row r="55" spans="2:13" ht="11.25" customHeight="1" x14ac:dyDescent="0.2">
      <c r="C55" s="859"/>
      <c r="D55" s="859"/>
      <c r="E55" s="859"/>
      <c r="F55" s="859"/>
      <c r="G55" s="859"/>
      <c r="H55" s="859"/>
      <c r="I55" s="859"/>
      <c r="J55" s="966"/>
      <c r="L55" s="9"/>
      <c r="M55" s="9"/>
    </row>
    <row r="56" spans="2:13" ht="24.75" customHeight="1" x14ac:dyDescent="0.2">
      <c r="H56"/>
      <c r="K56" s="73" t="s">
        <v>78</v>
      </c>
      <c r="L56" s="9"/>
      <c r="M56" s="9"/>
    </row>
    <row r="57" spans="2:13" x14ac:dyDescent="0.2">
      <c r="F57" t="s">
        <v>263</v>
      </c>
      <c r="H57"/>
      <c r="K57" s="220"/>
      <c r="L57" s="9"/>
      <c r="M57" s="9"/>
    </row>
    <row r="58" spans="2:13" x14ac:dyDescent="0.2">
      <c r="F58" t="s">
        <v>264</v>
      </c>
      <c r="H58"/>
      <c r="K58" s="220"/>
    </row>
    <row r="59" spans="2:13" x14ac:dyDescent="0.2">
      <c r="F59" t="s">
        <v>265</v>
      </c>
      <c r="H59"/>
      <c r="K59" s="220"/>
    </row>
    <row r="60" spans="2:13" x14ac:dyDescent="0.2">
      <c r="F60" t="s">
        <v>266</v>
      </c>
      <c r="H60"/>
      <c r="K60" s="220"/>
    </row>
    <row r="61" spans="2:13" x14ac:dyDescent="0.2">
      <c r="F61" t="s">
        <v>267</v>
      </c>
      <c r="H61"/>
      <c r="K61" s="220"/>
    </row>
    <row r="62" spans="2:13" x14ac:dyDescent="0.2">
      <c r="F62" t="s">
        <v>268</v>
      </c>
      <c r="H62"/>
      <c r="K62" s="220"/>
    </row>
    <row r="63" spans="2:13" x14ac:dyDescent="0.2">
      <c r="F63" t="s">
        <v>269</v>
      </c>
      <c r="H63"/>
      <c r="K63" s="220"/>
    </row>
    <row r="64" spans="2:13" x14ac:dyDescent="0.2">
      <c r="F64" t="s">
        <v>377</v>
      </c>
      <c r="H64"/>
      <c r="K64" s="220"/>
    </row>
    <row r="65" spans="1:15" x14ac:dyDescent="0.2">
      <c r="F65" t="s">
        <v>439</v>
      </c>
      <c r="H65"/>
      <c r="K65" s="220"/>
    </row>
    <row r="66" spans="1:15" x14ac:dyDescent="0.2">
      <c r="F66" t="s">
        <v>237</v>
      </c>
      <c r="H66"/>
      <c r="K66" s="220"/>
    </row>
    <row r="67" spans="1:15" x14ac:dyDescent="0.2">
      <c r="F67" t="s">
        <v>238</v>
      </c>
      <c r="H67"/>
      <c r="K67" s="220"/>
    </row>
    <row r="68" spans="1:15" x14ac:dyDescent="0.2">
      <c r="F68" t="s">
        <v>271</v>
      </c>
      <c r="H68"/>
      <c r="K68" s="220"/>
    </row>
    <row r="69" spans="1:15" x14ac:dyDescent="0.2">
      <c r="F69" t="s">
        <v>273</v>
      </c>
      <c r="H69"/>
      <c r="K69" s="220"/>
    </row>
    <row r="70" spans="1:15" x14ac:dyDescent="0.2">
      <c r="F70" t="s">
        <v>274</v>
      </c>
      <c r="H70"/>
      <c r="K70" s="220"/>
    </row>
    <row r="71" spans="1:15" x14ac:dyDescent="0.2">
      <c r="F71" t="s">
        <v>272</v>
      </c>
      <c r="H71"/>
      <c r="K71" s="220"/>
    </row>
    <row r="72" spans="1:15" x14ac:dyDescent="0.2">
      <c r="F72" t="s">
        <v>257</v>
      </c>
      <c r="H72"/>
      <c r="K72" s="220"/>
    </row>
    <row r="73" spans="1:15" ht="12.75" customHeight="1" x14ac:dyDescent="0.2">
      <c r="F73" t="s">
        <v>55</v>
      </c>
      <c r="H73"/>
      <c r="K73" s="220"/>
      <c r="L73" s="1061" t="str">
        <f>IF(K74=K51," ","Recheck numbers. Entry is out of balance.")</f>
        <v xml:space="preserve"> </v>
      </c>
      <c r="M73" s="1061"/>
      <c r="N73" s="1061"/>
    </row>
    <row r="74" spans="1:15" ht="15.75" thickBot="1" x14ac:dyDescent="0.25">
      <c r="G74" s="125"/>
      <c r="H74"/>
      <c r="J74" s="124" t="s">
        <v>142</v>
      </c>
      <c r="K74" s="62">
        <f>SUM(K57:K73)</f>
        <v>0</v>
      </c>
      <c r="L74" s="1061"/>
      <c r="M74" s="1061"/>
      <c r="N74" s="1061"/>
    </row>
    <row r="75" spans="1:15" ht="13.5" thickTop="1" x14ac:dyDescent="0.2">
      <c r="H75"/>
      <c r="K75" s="36"/>
      <c r="L75" s="9"/>
      <c r="M75" s="9"/>
    </row>
    <row r="76" spans="1:15" ht="25.5" customHeight="1" x14ac:dyDescent="0.2">
      <c r="A76" s="765" t="s">
        <v>515</v>
      </c>
      <c r="B76" s="971" t="s">
        <v>460</v>
      </c>
      <c r="C76" s="1064"/>
      <c r="D76" s="1064"/>
      <c r="E76" s="1064"/>
      <c r="F76" s="1064"/>
      <c r="G76" s="1064"/>
      <c r="H76" s="1064"/>
      <c r="I76" s="1064"/>
      <c r="J76" s="1064"/>
      <c r="K76" s="1064"/>
      <c r="L76" s="1064"/>
      <c r="M76" s="1064"/>
      <c r="N76" s="1064"/>
      <c r="O76" s="1065"/>
    </row>
    <row r="77" spans="1:15" x14ac:dyDescent="0.2">
      <c r="H77"/>
      <c r="L77" s="9"/>
      <c r="M77" s="9"/>
    </row>
    <row r="78" spans="1:15" x14ac:dyDescent="0.2">
      <c r="H78"/>
      <c r="L78" s="9"/>
      <c r="M78" s="9"/>
      <c r="N78" s="239"/>
    </row>
    <row r="79" spans="1:15" ht="15" customHeight="1" x14ac:dyDescent="0.2">
      <c r="B79" s="38" t="s">
        <v>649</v>
      </c>
      <c r="C79" s="859" t="s">
        <v>582</v>
      </c>
      <c r="D79" s="859"/>
      <c r="E79" s="859"/>
      <c r="F79" s="859"/>
      <c r="G79" s="859"/>
      <c r="H79" s="859"/>
      <c r="I79" s="859"/>
      <c r="J79" s="859"/>
      <c r="K79" s="859"/>
      <c r="L79" s="161"/>
      <c r="M79" s="9"/>
      <c r="N79" s="229"/>
    </row>
    <row r="80" spans="1:15" ht="12.75" customHeight="1" x14ac:dyDescent="0.2">
      <c r="C80" s="161"/>
      <c r="D80" s="161"/>
      <c r="E80" s="161"/>
      <c r="F80" s="161"/>
      <c r="G80" s="161"/>
      <c r="H80" s="161"/>
      <c r="I80" s="161"/>
      <c r="J80" s="161"/>
      <c r="K80" s="161"/>
      <c r="L80" s="161"/>
      <c r="M80" s="9"/>
      <c r="N80" s="164"/>
    </row>
    <row r="81" spans="1:15" ht="12.75" customHeight="1" x14ac:dyDescent="0.2">
      <c r="B81" s="38" t="s">
        <v>650</v>
      </c>
      <c r="C81" s="858" t="s">
        <v>583</v>
      </c>
      <c r="D81" s="858"/>
      <c r="E81" s="858"/>
      <c r="F81" s="858"/>
      <c r="G81" s="858"/>
      <c r="H81" s="858"/>
      <c r="I81" s="858"/>
      <c r="J81" s="858"/>
      <c r="K81" s="858"/>
      <c r="L81" s="34"/>
      <c r="M81" s="9"/>
      <c r="N81" s="229"/>
    </row>
    <row r="82" spans="1:15" x14ac:dyDescent="0.2">
      <c r="N82" s="164"/>
    </row>
    <row r="83" spans="1:15" ht="12.75" customHeight="1" x14ac:dyDescent="0.2">
      <c r="C83" s="34"/>
      <c r="D83" s="34"/>
      <c r="E83" s="34"/>
      <c r="F83" s="34"/>
      <c r="G83" s="34"/>
      <c r="H83" s="34"/>
      <c r="I83" s="34"/>
      <c r="J83" s="34"/>
      <c r="K83" s="34"/>
      <c r="L83" s="34"/>
      <c r="M83" s="9"/>
      <c r="N83" s="164"/>
    </row>
    <row r="84" spans="1:15" ht="13.5" customHeight="1" x14ac:dyDescent="0.25">
      <c r="B84" s="38"/>
      <c r="C84" t="s">
        <v>40</v>
      </c>
      <c r="H84"/>
      <c r="I84" s="32"/>
      <c r="J84" s="32"/>
      <c r="M84" s="31"/>
      <c r="N84" s="36"/>
    </row>
    <row r="85" spans="1:15" x14ac:dyDescent="0.2">
      <c r="B85" s="38"/>
      <c r="H85"/>
      <c r="I85" s="32"/>
      <c r="J85" s="32"/>
      <c r="M85" s="31"/>
    </row>
    <row r="86" spans="1:15" ht="25.5" customHeight="1" x14ac:dyDescent="0.2">
      <c r="A86" s="765" t="s">
        <v>517</v>
      </c>
      <c r="B86" s="971" t="s">
        <v>33</v>
      </c>
      <c r="C86" s="1064"/>
      <c r="D86" s="1064"/>
      <c r="E86" s="1064"/>
      <c r="F86" s="1064"/>
      <c r="G86" s="1064"/>
      <c r="H86" s="1064"/>
      <c r="I86" s="1064"/>
      <c r="J86" s="1064"/>
      <c r="K86" s="1064"/>
      <c r="L86" s="1064"/>
      <c r="M86" s="1064"/>
      <c r="N86" s="1064"/>
      <c r="O86" s="1065"/>
    </row>
    <row r="87" spans="1:15" x14ac:dyDescent="0.2">
      <c r="H87"/>
      <c r="I87" s="32"/>
      <c r="J87" s="32"/>
      <c r="K87" s="9"/>
      <c r="L87" s="9"/>
      <c r="M87" s="31"/>
      <c r="N87" s="31"/>
      <c r="O87" s="105"/>
    </row>
    <row r="88" spans="1:15" x14ac:dyDescent="0.2">
      <c r="H88"/>
      <c r="I88" s="32"/>
      <c r="J88" s="32"/>
      <c r="K88" s="9"/>
      <c r="L88" s="109" t="s">
        <v>645</v>
      </c>
      <c r="M88" s="107"/>
      <c r="N88" s="110" t="s">
        <v>646</v>
      </c>
      <c r="O88" s="105"/>
    </row>
    <row r="89" spans="1:15" ht="6.75" customHeight="1" x14ac:dyDescent="0.2">
      <c r="H89"/>
      <c r="I89" s="32"/>
      <c r="J89" s="32"/>
      <c r="K89" s="9"/>
      <c r="L89" s="106"/>
      <c r="M89" s="107"/>
      <c r="N89" s="108"/>
      <c r="O89" s="105"/>
    </row>
    <row r="90" spans="1:15" x14ac:dyDescent="0.2">
      <c r="B90" s="123" t="s">
        <v>162</v>
      </c>
      <c r="E90" t="s">
        <v>104</v>
      </c>
      <c r="L90" s="69">
        <f>N81</f>
        <v>0</v>
      </c>
      <c r="M90" s="78"/>
      <c r="N90" s="69"/>
    </row>
    <row r="91" spans="1:15" ht="13.5" customHeight="1" x14ac:dyDescent="0.2">
      <c r="B91" s="111"/>
      <c r="E91" t="s">
        <v>685</v>
      </c>
      <c r="L91" s="69">
        <f>K20</f>
        <v>0</v>
      </c>
      <c r="M91" s="78"/>
      <c r="N91" s="69"/>
    </row>
    <row r="92" spans="1:15" ht="13.5" customHeight="1" x14ac:dyDescent="0.2">
      <c r="B92" s="111"/>
      <c r="E92" t="s">
        <v>374</v>
      </c>
      <c r="L92" s="69">
        <f>K51</f>
        <v>0</v>
      </c>
      <c r="M92" s="78"/>
      <c r="N92" s="69"/>
    </row>
    <row r="93" spans="1:15" ht="13.5" customHeight="1" x14ac:dyDescent="0.2">
      <c r="B93" s="111"/>
      <c r="E93" t="s">
        <v>32</v>
      </c>
      <c r="L93" s="69">
        <f>N79</f>
        <v>0</v>
      </c>
      <c r="M93" s="78"/>
      <c r="N93" s="69">
        <f>N81</f>
        <v>0</v>
      </c>
    </row>
    <row r="94" spans="1:15" ht="12.75" customHeight="1" x14ac:dyDescent="0.2">
      <c r="B94" s="111"/>
      <c r="F94" t="s">
        <v>263</v>
      </c>
      <c r="L94" s="69"/>
      <c r="M94" s="78"/>
      <c r="N94" s="69">
        <f>K25+K57</f>
        <v>0</v>
      </c>
    </row>
    <row r="95" spans="1:15" x14ac:dyDescent="0.2">
      <c r="B95" s="111"/>
      <c r="F95" t="s">
        <v>264</v>
      </c>
      <c r="L95" s="69"/>
      <c r="M95" s="78"/>
      <c r="N95" s="69">
        <f t="shared" ref="N95:N110" si="0">K26+K58</f>
        <v>0</v>
      </c>
    </row>
    <row r="96" spans="1:15" x14ac:dyDescent="0.2">
      <c r="B96" s="111"/>
      <c r="F96" t="s">
        <v>265</v>
      </c>
      <c r="L96" s="69"/>
      <c r="M96" s="78"/>
      <c r="N96" s="69">
        <f t="shared" si="0"/>
        <v>0</v>
      </c>
    </row>
    <row r="97" spans="2:14" x14ac:dyDescent="0.2">
      <c r="B97" s="111"/>
      <c r="F97" t="s">
        <v>266</v>
      </c>
      <c r="L97" s="69"/>
      <c r="M97" s="78"/>
      <c r="N97" s="69">
        <f t="shared" si="0"/>
        <v>0</v>
      </c>
    </row>
    <row r="98" spans="2:14" x14ac:dyDescent="0.2">
      <c r="B98" s="111"/>
      <c r="F98" t="s">
        <v>267</v>
      </c>
      <c r="L98" s="69"/>
      <c r="M98" s="78"/>
      <c r="N98" s="69">
        <f t="shared" si="0"/>
        <v>0</v>
      </c>
    </row>
    <row r="99" spans="2:14" x14ac:dyDescent="0.2">
      <c r="F99" t="s">
        <v>268</v>
      </c>
      <c r="L99" s="69"/>
      <c r="M99" s="78"/>
      <c r="N99" s="69">
        <f t="shared" si="0"/>
        <v>0</v>
      </c>
    </row>
    <row r="100" spans="2:14" x14ac:dyDescent="0.2">
      <c r="F100" t="s">
        <v>269</v>
      </c>
      <c r="L100" s="69"/>
      <c r="M100" s="78"/>
      <c r="N100" s="69">
        <f t="shared" si="0"/>
        <v>0</v>
      </c>
    </row>
    <row r="101" spans="2:14" x14ac:dyDescent="0.2">
      <c r="F101" t="s">
        <v>377</v>
      </c>
      <c r="L101" s="69"/>
      <c r="M101" s="78"/>
      <c r="N101" s="69">
        <f t="shared" si="0"/>
        <v>0</v>
      </c>
    </row>
    <row r="102" spans="2:14" x14ac:dyDescent="0.2">
      <c r="F102" t="s">
        <v>439</v>
      </c>
      <c r="L102" s="69"/>
      <c r="M102" s="78"/>
      <c r="N102" s="69">
        <f t="shared" si="0"/>
        <v>0</v>
      </c>
    </row>
    <row r="103" spans="2:14" x14ac:dyDescent="0.2">
      <c r="F103" t="s">
        <v>237</v>
      </c>
      <c r="L103" s="69"/>
      <c r="M103" s="78"/>
      <c r="N103" s="69">
        <f t="shared" si="0"/>
        <v>0</v>
      </c>
    </row>
    <row r="104" spans="2:14" x14ac:dyDescent="0.2">
      <c r="F104" t="s">
        <v>238</v>
      </c>
      <c r="L104" s="69"/>
      <c r="M104" s="78"/>
      <c r="N104" s="69">
        <f t="shared" si="0"/>
        <v>0</v>
      </c>
    </row>
    <row r="105" spans="2:14" x14ac:dyDescent="0.2">
      <c r="F105" t="s">
        <v>271</v>
      </c>
      <c r="L105" s="69"/>
      <c r="M105" s="78"/>
      <c r="N105" s="69">
        <f t="shared" si="0"/>
        <v>0</v>
      </c>
    </row>
    <row r="106" spans="2:14" x14ac:dyDescent="0.2">
      <c r="F106" t="s">
        <v>273</v>
      </c>
      <c r="L106" s="69"/>
      <c r="M106" s="78"/>
      <c r="N106" s="69">
        <f t="shared" si="0"/>
        <v>0</v>
      </c>
    </row>
    <row r="107" spans="2:14" x14ac:dyDescent="0.2">
      <c r="F107" t="s">
        <v>274</v>
      </c>
      <c r="L107" s="69"/>
      <c r="M107" s="78"/>
      <c r="N107" s="69">
        <f t="shared" si="0"/>
        <v>0</v>
      </c>
    </row>
    <row r="108" spans="2:14" x14ac:dyDescent="0.2">
      <c r="F108" t="s">
        <v>272</v>
      </c>
      <c r="L108" s="69"/>
      <c r="M108" s="78"/>
      <c r="N108" s="69">
        <f t="shared" si="0"/>
        <v>0</v>
      </c>
    </row>
    <row r="109" spans="2:14" x14ac:dyDescent="0.2">
      <c r="F109" t="s">
        <v>257</v>
      </c>
      <c r="L109" s="69"/>
      <c r="M109" s="78"/>
      <c r="N109" s="69">
        <f t="shared" si="0"/>
        <v>0</v>
      </c>
    </row>
    <row r="110" spans="2:14" x14ac:dyDescent="0.2">
      <c r="F110" t="s">
        <v>55</v>
      </c>
      <c r="L110" s="69"/>
      <c r="M110" s="78"/>
      <c r="N110" s="69">
        <f t="shared" si="0"/>
        <v>0</v>
      </c>
    </row>
    <row r="111" spans="2:14" x14ac:dyDescent="0.2">
      <c r="F111" t="s">
        <v>589</v>
      </c>
      <c r="L111" s="69"/>
      <c r="M111" s="78"/>
      <c r="N111" s="69">
        <f>N79</f>
        <v>0</v>
      </c>
    </row>
    <row r="112" spans="2:14" ht="13.5" thickBot="1" x14ac:dyDescent="0.25">
      <c r="L112" s="62">
        <f>SUM(L90:L111)</f>
        <v>0</v>
      </c>
      <c r="M112" s="44"/>
      <c r="N112" s="62">
        <f>SUM(N90:N111)</f>
        <v>0</v>
      </c>
    </row>
    <row r="113" spans="1:14" ht="13.5" thickTop="1" x14ac:dyDescent="0.2">
      <c r="L113" s="36"/>
      <c r="M113" s="36"/>
      <c r="N113" s="36"/>
    </row>
    <row r="114" spans="1:14" x14ac:dyDescent="0.2">
      <c r="H114"/>
      <c r="L114" s="36"/>
      <c r="M114" s="36"/>
      <c r="N114" s="36"/>
    </row>
    <row r="115" spans="1:14" x14ac:dyDescent="0.2">
      <c r="H115"/>
      <c r="L115" s="36"/>
      <c r="M115" s="36"/>
      <c r="N115" s="36"/>
    </row>
    <row r="116" spans="1:14" x14ac:dyDescent="0.2">
      <c r="H116"/>
      <c r="L116" s="36"/>
      <c r="M116" s="36"/>
      <c r="N116" s="36"/>
    </row>
    <row r="117" spans="1:14" x14ac:dyDescent="0.2">
      <c r="H117"/>
      <c r="L117" s="36"/>
      <c r="M117" s="36"/>
      <c r="N117" s="36"/>
    </row>
    <row r="118" spans="1:14" x14ac:dyDescent="0.2">
      <c r="H118"/>
    </row>
    <row r="119" spans="1:14" x14ac:dyDescent="0.2">
      <c r="A119"/>
      <c r="H119"/>
    </row>
    <row r="120" spans="1:14" x14ac:dyDescent="0.2">
      <c r="A120"/>
      <c r="H120"/>
    </row>
    <row r="121" spans="1:14" x14ac:dyDescent="0.2">
      <c r="A121"/>
      <c r="H121"/>
    </row>
    <row r="122" spans="1:14" x14ac:dyDescent="0.2">
      <c r="A122"/>
      <c r="H122"/>
    </row>
    <row r="123" spans="1:14" x14ac:dyDescent="0.2">
      <c r="A123"/>
      <c r="H123"/>
    </row>
    <row r="124" spans="1:14" x14ac:dyDescent="0.2">
      <c r="H124"/>
    </row>
    <row r="125" spans="1:14" x14ac:dyDescent="0.2">
      <c r="H125"/>
    </row>
    <row r="126" spans="1:14" x14ac:dyDescent="0.2">
      <c r="H126"/>
    </row>
    <row r="127" spans="1:14" x14ac:dyDescent="0.2">
      <c r="H127"/>
    </row>
    <row r="128" spans="1:14" x14ac:dyDescent="0.2">
      <c r="H128"/>
    </row>
    <row r="129" spans="8:8" x14ac:dyDescent="0.2">
      <c r="H129"/>
    </row>
    <row r="130" spans="8:8" x14ac:dyDescent="0.2">
      <c r="H130"/>
    </row>
    <row r="131" spans="8:8" x14ac:dyDescent="0.2">
      <c r="H131"/>
    </row>
    <row r="132" spans="8:8" x14ac:dyDescent="0.2">
      <c r="H132"/>
    </row>
    <row r="133" spans="8:8" x14ac:dyDescent="0.2">
      <c r="H133"/>
    </row>
    <row r="134" spans="8:8" x14ac:dyDescent="0.2">
      <c r="H134"/>
    </row>
    <row r="135" spans="8:8" x14ac:dyDescent="0.2">
      <c r="H135"/>
    </row>
    <row r="136" spans="8:8" x14ac:dyDescent="0.2">
      <c r="H136"/>
    </row>
    <row r="137" spans="8:8" x14ac:dyDescent="0.2">
      <c r="H137"/>
    </row>
  </sheetData>
  <sheetProtection algorithmName="SHA-512" hashValue="oTIAJ3yLUt3lYpZnwJvSm6YXxYZcZL/hwXtFdAeOR6UxanjQvyJ/kxWd2yp/1lIqDv5gl8ZfxgkHGI7te2FLYg==" saltValue="SF/tofBx5kf06+ebAe0PHw==" spinCount="100000" sheet="1" objects="1" scenarios="1"/>
  <mergeCells count="23">
    <mergeCell ref="B86:O86"/>
    <mergeCell ref="B46:E46"/>
    <mergeCell ref="B76:O76"/>
    <mergeCell ref="C50:I50"/>
    <mergeCell ref="B44:O44"/>
    <mergeCell ref="C48:I48"/>
    <mergeCell ref="C81:K81"/>
    <mergeCell ref="C79:K79"/>
    <mergeCell ref="C54:J55"/>
    <mergeCell ref="L41:N42"/>
    <mergeCell ref="L73:N74"/>
    <mergeCell ref="K23:K24"/>
    <mergeCell ref="C22:J23"/>
    <mergeCell ref="A2:O2"/>
    <mergeCell ref="A4:O4"/>
    <mergeCell ref="C6:O7"/>
    <mergeCell ref="C9:O10"/>
    <mergeCell ref="K18:K19"/>
    <mergeCell ref="C15:I16"/>
    <mergeCell ref="B14:I14"/>
    <mergeCell ref="B12:O12"/>
    <mergeCell ref="C18:I19"/>
    <mergeCell ref="K15:K16"/>
  </mergeCells>
  <phoneticPr fontId="0" type="noConversion"/>
  <printOptions horizontalCentered="1"/>
  <pageMargins left="0.36" right="0.37" top="0.71" bottom="0.5" header="0.5" footer="0.5"/>
  <pageSetup scale="70" orientation="portrait" r:id="rId1"/>
  <headerFooter alignWithMargins="0">
    <oddHeader>&amp;R&amp;"Arial,Bold"&amp;12Entry&amp;"Times New Roman,Bold" G</oddHeader>
    <oddFooter>&amp;R&amp;P</oddFooter>
  </headerFooter>
  <rowBreaks count="1" manualBreakCount="1">
    <brk id="74" max="16" man="1"/>
  </rowBreaks>
  <ignoredErrors>
    <ignoredError sqref="B6 B9 B15 B18 B22 B48 B50 B54 B79 B81" numberStoredAsText="1"/>
  </ignoredError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296"/>
  <sheetViews>
    <sheetView zoomScaleNormal="100" workbookViewId="0">
      <selection activeCell="A2" sqref="A2:Q2"/>
    </sheetView>
  </sheetViews>
  <sheetFormatPr defaultRowHeight="12.75" x14ac:dyDescent="0.2"/>
  <cols>
    <col min="1" max="1" width="3.140625" style="4" customWidth="1"/>
    <col min="2" max="2" width="4" customWidth="1"/>
    <col min="4" max="4" width="9.28515625" customWidth="1"/>
    <col min="5" max="5" width="7.140625" customWidth="1"/>
    <col min="6" max="6" width="12.42578125" customWidth="1"/>
    <col min="7" max="7" width="11.7109375" customWidth="1"/>
    <col min="8" max="8" width="12.7109375" customWidth="1"/>
    <col min="9" max="9" width="0.7109375" style="32" customWidth="1"/>
    <col min="10" max="10" width="12.7109375" style="1" customWidth="1"/>
    <col min="11" max="11" width="1.85546875" style="1" customWidth="1"/>
    <col min="12" max="12" width="12.7109375" customWidth="1"/>
    <col min="13" max="13" width="0.7109375" style="32" customWidth="1"/>
    <col min="14" max="15" width="12.7109375" customWidth="1"/>
    <col min="16" max="16" width="1.7109375" customWidth="1"/>
    <col min="17" max="18" width="12.7109375" customWidth="1"/>
    <col min="19" max="19" width="1.7109375" customWidth="1"/>
    <col min="20" max="20" width="12.7109375" customWidth="1"/>
    <col min="21" max="21" width="12.7109375" style="454" customWidth="1"/>
    <col min="22" max="22" width="1.7109375" style="454" customWidth="1"/>
    <col min="23" max="23" width="12.7109375" style="454" customWidth="1"/>
    <col min="24" max="25" width="12.7109375" customWidth="1"/>
  </cols>
  <sheetData>
    <row r="1" spans="1:17" ht="7.5" customHeight="1" x14ac:dyDescent="0.2"/>
    <row r="2" spans="1:17" ht="33.75" customHeight="1" x14ac:dyDescent="0.2">
      <c r="A2" s="963" t="s">
        <v>163</v>
      </c>
      <c r="B2" s="964"/>
      <c r="C2" s="964"/>
      <c r="D2" s="964"/>
      <c r="E2" s="964"/>
      <c r="F2" s="964"/>
      <c r="G2" s="964"/>
      <c r="H2" s="964"/>
      <c r="I2" s="964"/>
      <c r="J2" s="964"/>
      <c r="K2" s="964"/>
      <c r="L2" s="964"/>
      <c r="M2" s="964"/>
      <c r="N2" s="964"/>
      <c r="O2" s="964"/>
      <c r="P2" s="964"/>
      <c r="Q2" s="965"/>
    </row>
    <row r="3" spans="1:17" ht="3" customHeight="1" x14ac:dyDescent="0.2"/>
    <row r="4" spans="1:17" ht="39.75" customHeight="1" x14ac:dyDescent="0.2">
      <c r="A4" s="1055" t="s">
        <v>10</v>
      </c>
      <c r="B4" s="1055"/>
      <c r="C4" s="1055"/>
      <c r="D4" s="1055"/>
      <c r="E4" s="1055"/>
      <c r="F4" s="1055"/>
      <c r="G4" s="1055"/>
      <c r="H4" s="1055"/>
      <c r="I4" s="1055"/>
      <c r="J4" s="1055"/>
      <c r="K4" s="1055"/>
      <c r="L4" s="1055"/>
      <c r="M4" s="1055"/>
      <c r="N4" s="1055"/>
      <c r="O4" s="1055"/>
      <c r="P4" s="1055"/>
      <c r="Q4" s="1055"/>
    </row>
    <row r="5" spans="1:17" ht="3" customHeight="1" x14ac:dyDescent="0.2"/>
    <row r="6" spans="1:17" ht="12.75" customHeight="1" x14ac:dyDescent="0.2">
      <c r="A6" s="38" t="s">
        <v>649</v>
      </c>
      <c r="B6" s="859" t="s">
        <v>100</v>
      </c>
      <c r="C6" s="859"/>
      <c r="D6" s="859"/>
      <c r="E6" s="859"/>
      <c r="F6" s="859"/>
      <c r="G6" s="859"/>
      <c r="H6" s="859"/>
      <c r="I6" s="859"/>
      <c r="J6" s="859"/>
      <c r="K6" s="859"/>
      <c r="L6" s="859"/>
      <c r="M6" s="859"/>
      <c r="N6" s="859"/>
      <c r="O6" s="859"/>
      <c r="P6" s="859"/>
      <c r="Q6" s="859"/>
    </row>
    <row r="7" spans="1:17" ht="70.150000000000006" customHeight="1" x14ac:dyDescent="0.2">
      <c r="A7" s="38"/>
      <c r="B7" s="859"/>
      <c r="C7" s="859"/>
      <c r="D7" s="859"/>
      <c r="E7" s="859"/>
      <c r="F7" s="859"/>
      <c r="G7" s="859"/>
      <c r="H7" s="859"/>
      <c r="I7" s="859"/>
      <c r="J7" s="859"/>
      <c r="K7" s="859"/>
      <c r="L7" s="859"/>
      <c r="M7" s="859"/>
      <c r="N7" s="859"/>
      <c r="O7" s="859"/>
      <c r="P7" s="859"/>
      <c r="Q7" s="859"/>
    </row>
    <row r="8" spans="1:17" ht="3" customHeight="1" x14ac:dyDescent="0.2">
      <c r="A8" s="38"/>
      <c r="C8" s="34"/>
      <c r="D8" s="34"/>
      <c r="E8" s="34"/>
      <c r="F8" s="34"/>
      <c r="G8" s="34"/>
      <c r="H8" s="34"/>
      <c r="I8" s="82"/>
      <c r="J8" s="34"/>
      <c r="K8" s="34"/>
      <c r="L8" s="34"/>
      <c r="M8" s="82"/>
      <c r="N8" s="34"/>
      <c r="O8" s="34"/>
      <c r="P8" s="34"/>
    </row>
    <row r="9" spans="1:17" ht="13.5" customHeight="1" x14ac:dyDescent="0.2">
      <c r="A9" s="38" t="s">
        <v>650</v>
      </c>
      <c r="B9" s="858" t="s">
        <v>387</v>
      </c>
      <c r="C9" s="858"/>
      <c r="D9" s="858"/>
      <c r="E9" s="858"/>
      <c r="F9" s="858"/>
      <c r="G9" s="858"/>
      <c r="H9" s="858"/>
      <c r="I9" s="858"/>
      <c r="J9" s="858"/>
      <c r="K9" s="858"/>
      <c r="L9" s="858"/>
      <c r="M9" s="858"/>
      <c r="N9" s="858"/>
      <c r="O9" s="858"/>
      <c r="P9" s="858"/>
      <c r="Q9" s="858"/>
    </row>
    <row r="10" spans="1:17" ht="24" customHeight="1" x14ac:dyDescent="0.2">
      <c r="A10" s="38"/>
      <c r="B10" s="858"/>
      <c r="C10" s="858"/>
      <c r="D10" s="858"/>
      <c r="E10" s="858"/>
      <c r="F10" s="858"/>
      <c r="G10" s="858"/>
      <c r="H10" s="858"/>
      <c r="I10" s="858"/>
      <c r="J10" s="858"/>
      <c r="K10" s="858"/>
      <c r="L10" s="858"/>
      <c r="M10" s="858"/>
      <c r="N10" s="858"/>
      <c r="O10" s="858"/>
      <c r="P10" s="858"/>
      <c r="Q10" s="858"/>
    </row>
    <row r="11" spans="1:17" ht="3" customHeight="1" x14ac:dyDescent="0.2">
      <c r="A11" s="38"/>
    </row>
    <row r="12" spans="1:17" x14ac:dyDescent="0.2">
      <c r="A12" s="38" t="s">
        <v>516</v>
      </c>
      <c r="B12" s="858" t="s">
        <v>152</v>
      </c>
      <c r="C12" s="858"/>
      <c r="D12" s="858"/>
      <c r="E12" s="858"/>
      <c r="F12" s="858"/>
      <c r="G12" s="858"/>
      <c r="H12" s="858"/>
      <c r="I12" s="858"/>
      <c r="J12" s="858"/>
      <c r="K12" s="858"/>
      <c r="L12" s="858"/>
      <c r="M12" s="858"/>
      <c r="N12" s="858"/>
      <c r="O12" s="858"/>
    </row>
    <row r="13" spans="1:17" ht="3" customHeight="1" x14ac:dyDescent="0.2">
      <c r="B13" s="38"/>
      <c r="C13" s="34"/>
      <c r="D13" s="34"/>
      <c r="E13" s="34"/>
      <c r="F13" s="34"/>
      <c r="G13" s="34"/>
      <c r="H13" s="34"/>
      <c r="I13" s="34"/>
      <c r="J13" s="34"/>
      <c r="K13" s="34"/>
      <c r="L13" s="34"/>
      <c r="M13" s="34"/>
      <c r="N13" s="34"/>
      <c r="O13" s="34"/>
    </row>
    <row r="14" spans="1:17" ht="24" customHeight="1" x14ac:dyDescent="0.2">
      <c r="A14" s="38" t="s">
        <v>330</v>
      </c>
      <c r="B14" s="858" t="s">
        <v>11</v>
      </c>
      <c r="C14" s="858"/>
      <c r="D14" s="858"/>
      <c r="E14" s="858"/>
      <c r="F14" s="858"/>
      <c r="G14" s="858"/>
      <c r="H14" s="858"/>
      <c r="I14" s="858"/>
      <c r="J14" s="858"/>
      <c r="K14" s="858"/>
      <c r="L14" s="858"/>
      <c r="M14" s="858"/>
      <c r="N14" s="858"/>
      <c r="O14" s="858"/>
    </row>
    <row r="15" spans="1:17" s="519" customFormat="1" ht="3" customHeight="1" x14ac:dyDescent="0.2">
      <c r="A15" s="517"/>
      <c r="B15" s="38"/>
      <c r="C15" s="518"/>
      <c r="D15" s="518"/>
      <c r="E15" s="518"/>
      <c r="F15" s="518"/>
      <c r="G15" s="518"/>
      <c r="H15" s="518"/>
      <c r="I15" s="518"/>
      <c r="J15" s="518"/>
      <c r="K15" s="518"/>
      <c r="L15" s="518"/>
      <c r="M15" s="518"/>
      <c r="N15" s="518"/>
      <c r="O15" s="518"/>
    </row>
    <row r="16" spans="1:17" s="519" customFormat="1" ht="39.6" customHeight="1" x14ac:dyDescent="0.2">
      <c r="A16" s="521" t="s">
        <v>336</v>
      </c>
      <c r="B16" s="1092" t="s">
        <v>1107</v>
      </c>
      <c r="C16" s="1092"/>
      <c r="D16" s="1092"/>
      <c r="E16" s="1092"/>
      <c r="F16" s="1092"/>
      <c r="G16" s="1092"/>
      <c r="H16" s="1092"/>
      <c r="I16" s="1092"/>
      <c r="J16" s="1092"/>
      <c r="K16" s="1092"/>
      <c r="L16" s="1092"/>
      <c r="M16" s="1092"/>
      <c r="N16" s="1092"/>
      <c r="O16" s="518"/>
    </row>
    <row r="17" spans="1:16" ht="5.25" customHeight="1" x14ac:dyDescent="0.2">
      <c r="B17" s="38"/>
      <c r="C17" s="34"/>
      <c r="D17" s="34"/>
      <c r="E17" s="34"/>
      <c r="F17" s="34"/>
      <c r="G17" s="34"/>
      <c r="H17" s="34"/>
      <c r="I17" s="34"/>
      <c r="J17" s="34"/>
      <c r="K17" s="34"/>
      <c r="L17" s="34"/>
      <c r="M17" s="34"/>
      <c r="N17" s="34"/>
      <c r="O17" s="34"/>
    </row>
    <row r="18" spans="1:16" ht="3" hidden="1" customHeight="1" x14ac:dyDescent="0.2"/>
    <row r="19" spans="1:16" ht="23.25" customHeight="1" x14ac:dyDescent="0.2">
      <c r="A19" s="765" t="s">
        <v>333</v>
      </c>
      <c r="B19" s="974" t="s">
        <v>332</v>
      </c>
      <c r="C19" s="978"/>
      <c r="D19" s="978"/>
      <c r="E19" s="978"/>
      <c r="F19" s="978"/>
      <c r="G19" s="978"/>
      <c r="H19" s="978"/>
      <c r="I19" s="978"/>
      <c r="J19" s="978"/>
      <c r="K19" s="978"/>
      <c r="L19" s="978"/>
      <c r="M19" s="978"/>
      <c r="N19" s="978"/>
      <c r="O19" s="978"/>
      <c r="P19" s="979"/>
    </row>
    <row r="20" spans="1:16" ht="6.75" customHeight="1" x14ac:dyDescent="0.2">
      <c r="B20" s="41"/>
      <c r="C20" s="32"/>
      <c r="D20" s="32"/>
      <c r="E20" s="32"/>
      <c r="F20" s="32"/>
      <c r="G20" s="32"/>
      <c r="H20" s="130"/>
      <c r="I20" s="130"/>
      <c r="J20" s="356"/>
      <c r="K20" s="356"/>
      <c r="L20" s="130"/>
      <c r="M20" s="130"/>
      <c r="N20" s="130"/>
    </row>
    <row r="21" spans="1:16" x14ac:dyDescent="0.2">
      <c r="B21" s="88" t="s">
        <v>42</v>
      </c>
      <c r="H21" s="131" t="s">
        <v>613</v>
      </c>
      <c r="I21" s="83"/>
      <c r="J21" s="1067" t="s">
        <v>615</v>
      </c>
      <c r="K21" s="1068"/>
      <c r="L21" s="1069"/>
      <c r="M21" s="83"/>
      <c r="N21" s="131" t="s">
        <v>618</v>
      </c>
    </row>
    <row r="22" spans="1:16" ht="12.75" customHeight="1" x14ac:dyDescent="0.2">
      <c r="H22" s="79" t="s">
        <v>614</v>
      </c>
      <c r="I22" s="83"/>
      <c r="J22" s="80" t="s">
        <v>616</v>
      </c>
      <c r="K22" s="81"/>
      <c r="L22" s="85" t="s">
        <v>95</v>
      </c>
      <c r="M22" s="83"/>
      <c r="N22" s="79" t="s">
        <v>614</v>
      </c>
    </row>
    <row r="23" spans="1:16" ht="2.25" customHeight="1" x14ac:dyDescent="0.2">
      <c r="B23" s="38"/>
      <c r="I23"/>
      <c r="J23"/>
      <c r="K23"/>
      <c r="M23"/>
    </row>
    <row r="24" spans="1:16" ht="12.75" customHeight="1" x14ac:dyDescent="0.2">
      <c r="B24" s="38"/>
      <c r="C24" t="s">
        <v>263</v>
      </c>
      <c r="G24" s="12"/>
      <c r="H24" s="527"/>
      <c r="I24" s="44"/>
      <c r="J24" s="527">
        <v>7500</v>
      </c>
      <c r="K24" s="44"/>
      <c r="L24" s="184">
        <f>H24+J24-N24</f>
        <v>6705</v>
      </c>
      <c r="M24" s="44"/>
      <c r="N24" s="527">
        <v>795</v>
      </c>
      <c r="O24" s="12"/>
    </row>
    <row r="25" spans="1:16" x14ac:dyDescent="0.2">
      <c r="C25" t="s">
        <v>264</v>
      </c>
      <c r="G25" s="12"/>
      <c r="H25" s="527"/>
      <c r="I25" s="44"/>
      <c r="J25" s="527"/>
      <c r="K25" s="44"/>
      <c r="L25" s="184">
        <f t="shared" ref="L25:L40" si="0">H25+J25-N25</f>
        <v>0</v>
      </c>
      <c r="M25" s="44"/>
      <c r="N25" s="527"/>
      <c r="O25" s="12"/>
    </row>
    <row r="26" spans="1:16" x14ac:dyDescent="0.2">
      <c r="C26" t="s">
        <v>265</v>
      </c>
      <c r="G26" s="12"/>
      <c r="H26" s="527"/>
      <c r="I26" s="44"/>
      <c r="J26" s="527"/>
      <c r="K26" s="44"/>
      <c r="L26" s="184">
        <f t="shared" si="0"/>
        <v>0</v>
      </c>
      <c r="M26" s="44"/>
      <c r="N26" s="527"/>
      <c r="O26" s="12"/>
    </row>
    <row r="27" spans="1:16" x14ac:dyDescent="0.2">
      <c r="C27" t="s">
        <v>266</v>
      </c>
      <c r="G27" s="12"/>
      <c r="H27" s="527"/>
      <c r="I27" s="44"/>
      <c r="J27" s="527"/>
      <c r="K27" s="44"/>
      <c r="L27" s="184">
        <f t="shared" si="0"/>
        <v>0</v>
      </c>
      <c r="M27" s="44"/>
      <c r="N27" s="527"/>
      <c r="O27" s="12"/>
    </row>
    <row r="28" spans="1:16" x14ac:dyDescent="0.2">
      <c r="C28" t="s">
        <v>267</v>
      </c>
      <c r="G28" s="12"/>
      <c r="H28" s="527"/>
      <c r="I28" s="44"/>
      <c r="J28" s="527"/>
      <c r="K28" s="44"/>
      <c r="L28" s="184">
        <f t="shared" si="0"/>
        <v>0</v>
      </c>
      <c r="M28" s="44"/>
      <c r="N28" s="527"/>
      <c r="O28" s="12"/>
    </row>
    <row r="29" spans="1:16" x14ac:dyDescent="0.2">
      <c r="C29" t="s">
        <v>268</v>
      </c>
      <c r="G29" s="12"/>
      <c r="H29" s="527"/>
      <c r="I29" s="44"/>
      <c r="J29" s="527"/>
      <c r="K29" s="44"/>
      <c r="L29" s="184">
        <f t="shared" si="0"/>
        <v>0</v>
      </c>
      <c r="M29" s="44"/>
      <c r="N29" s="527"/>
      <c r="O29" s="12"/>
    </row>
    <row r="30" spans="1:16" x14ac:dyDescent="0.2">
      <c r="C30" t="s">
        <v>269</v>
      </c>
      <c r="G30" s="12"/>
      <c r="H30" s="527"/>
      <c r="I30" s="44"/>
      <c r="J30" s="527">
        <v>3200</v>
      </c>
      <c r="K30" s="44"/>
      <c r="L30" s="184">
        <f t="shared" si="0"/>
        <v>1948</v>
      </c>
      <c r="M30" s="44"/>
      <c r="N30" s="527">
        <v>1252</v>
      </c>
      <c r="O30" s="12"/>
    </row>
    <row r="31" spans="1:16" x14ac:dyDescent="0.2">
      <c r="C31" t="s">
        <v>377</v>
      </c>
      <c r="G31" s="12"/>
      <c r="H31" s="527"/>
      <c r="I31" s="44"/>
      <c r="J31" s="527"/>
      <c r="K31" s="44"/>
      <c r="L31" s="184">
        <f t="shared" si="0"/>
        <v>0</v>
      </c>
      <c r="M31" s="44"/>
      <c r="N31" s="527"/>
      <c r="O31" s="12"/>
    </row>
    <row r="32" spans="1:16" x14ac:dyDescent="0.2">
      <c r="C32" t="s">
        <v>439</v>
      </c>
      <c r="G32" s="12"/>
      <c r="H32" s="527"/>
      <c r="I32" s="44"/>
      <c r="J32" s="527"/>
      <c r="K32" s="44"/>
      <c r="L32" s="184">
        <f t="shared" si="0"/>
        <v>0</v>
      </c>
      <c r="M32" s="44"/>
      <c r="N32" s="527"/>
      <c r="O32" s="12"/>
    </row>
    <row r="33" spans="2:18" x14ac:dyDescent="0.2">
      <c r="C33" t="s">
        <v>237</v>
      </c>
      <c r="G33" s="12"/>
      <c r="H33" s="527"/>
      <c r="I33" s="44"/>
      <c r="J33" s="527"/>
      <c r="K33" s="44"/>
      <c r="L33" s="184">
        <f t="shared" si="0"/>
        <v>0</v>
      </c>
      <c r="M33" s="44"/>
      <c r="N33" s="527"/>
      <c r="O33" s="12"/>
    </row>
    <row r="34" spans="2:18" x14ac:dyDescent="0.2">
      <c r="C34" t="s">
        <v>238</v>
      </c>
      <c r="G34" s="12"/>
      <c r="H34" s="527"/>
      <c r="I34" s="44"/>
      <c r="J34" s="527"/>
      <c r="K34" s="44"/>
      <c r="L34" s="184">
        <f t="shared" si="0"/>
        <v>0</v>
      </c>
      <c r="M34" s="44"/>
      <c r="N34" s="527"/>
      <c r="O34" s="12"/>
    </row>
    <row r="35" spans="2:18" x14ac:dyDescent="0.2">
      <c r="C35" t="s">
        <v>271</v>
      </c>
      <c r="G35" s="12"/>
      <c r="H35" s="527"/>
      <c r="I35" s="44"/>
      <c r="J35" s="527"/>
      <c r="K35" s="44"/>
      <c r="L35" s="184">
        <f t="shared" si="0"/>
        <v>0</v>
      </c>
      <c r="M35" s="44"/>
      <c r="N35" s="527"/>
      <c r="O35" s="12"/>
      <c r="R35" t="s">
        <v>351</v>
      </c>
    </row>
    <row r="36" spans="2:18" x14ac:dyDescent="0.2">
      <c r="C36" t="s">
        <v>273</v>
      </c>
      <c r="G36" s="12"/>
      <c r="H36" s="527"/>
      <c r="I36" s="44"/>
      <c r="J36" s="527"/>
      <c r="K36" s="44"/>
      <c r="L36" s="184">
        <f t="shared" si="0"/>
        <v>0</v>
      </c>
      <c r="M36" s="44"/>
      <c r="N36" s="527"/>
      <c r="O36" s="12"/>
    </row>
    <row r="37" spans="2:18" x14ac:dyDescent="0.2">
      <c r="C37" t="s">
        <v>274</v>
      </c>
      <c r="G37" s="12"/>
      <c r="H37" s="527"/>
      <c r="I37" s="44"/>
      <c r="J37" s="527"/>
      <c r="K37" s="44"/>
      <c r="L37" s="184">
        <f t="shared" si="0"/>
        <v>0</v>
      </c>
      <c r="M37" s="44"/>
      <c r="N37" s="527"/>
      <c r="O37" s="12"/>
    </row>
    <row r="38" spans="2:18" ht="12.75" customHeight="1" x14ac:dyDescent="0.2">
      <c r="C38" t="s">
        <v>272</v>
      </c>
      <c r="G38" s="12"/>
      <c r="H38" s="527"/>
      <c r="I38" s="44"/>
      <c r="J38" s="527"/>
      <c r="K38" s="44"/>
      <c r="L38" s="184">
        <f t="shared" si="0"/>
        <v>0</v>
      </c>
      <c r="M38" s="44"/>
      <c r="N38" s="527"/>
      <c r="O38" s="12"/>
    </row>
    <row r="39" spans="2:18" ht="12.75" customHeight="1" x14ac:dyDescent="0.2">
      <c r="C39" t="s">
        <v>257</v>
      </c>
      <c r="G39" s="12"/>
      <c r="H39" s="527"/>
      <c r="I39" s="44"/>
      <c r="J39" s="527"/>
      <c r="K39" s="44"/>
      <c r="L39" s="184">
        <f t="shared" si="0"/>
        <v>0</v>
      </c>
      <c r="M39" s="44"/>
      <c r="N39" s="527"/>
      <c r="O39" s="12"/>
    </row>
    <row r="40" spans="2:18" ht="12.75" customHeight="1" x14ac:dyDescent="0.2">
      <c r="C40" t="s">
        <v>55</v>
      </c>
      <c r="G40" s="12"/>
      <c r="H40" s="241"/>
      <c r="I40" s="242"/>
      <c r="J40" s="224"/>
      <c r="K40" s="242"/>
      <c r="L40" s="243">
        <f t="shared" si="0"/>
        <v>0</v>
      </c>
      <c r="M40" s="242"/>
      <c r="N40" s="527"/>
      <c r="O40" s="12"/>
    </row>
    <row r="41" spans="2:18" ht="13.5" thickBot="1" x14ac:dyDescent="0.25">
      <c r="C41" t="s">
        <v>457</v>
      </c>
      <c r="H41" s="244">
        <f>SUM(H24:H40)</f>
        <v>0</v>
      </c>
      <c r="I41" s="44"/>
      <c r="J41" s="71">
        <f>SUM(J24:J40)</f>
        <v>10700</v>
      </c>
      <c r="K41" s="36"/>
      <c r="L41" s="71">
        <f>SUM(L24:L40)</f>
        <v>8653</v>
      </c>
      <c r="M41" s="44"/>
      <c r="N41" s="245">
        <f>SUM(N24:N40)</f>
        <v>2047</v>
      </c>
    </row>
    <row r="42" spans="2:18" ht="12.75" customHeight="1" thickTop="1" x14ac:dyDescent="0.2">
      <c r="H42" s="7"/>
      <c r="I42" s="130"/>
      <c r="J42" s="7"/>
      <c r="K42" s="7"/>
      <c r="L42" s="7"/>
      <c r="M42" s="130"/>
      <c r="N42" s="7"/>
    </row>
    <row r="43" spans="2:18" x14ac:dyDescent="0.2">
      <c r="B43" s="47" t="s">
        <v>43</v>
      </c>
      <c r="H43" s="131" t="s">
        <v>613</v>
      </c>
      <c r="I43" s="83"/>
      <c r="J43" s="1067" t="s">
        <v>615</v>
      </c>
      <c r="K43" s="1068"/>
      <c r="L43" s="1069"/>
      <c r="M43" s="83"/>
      <c r="N43" s="131" t="s">
        <v>618</v>
      </c>
    </row>
    <row r="44" spans="2:18" x14ac:dyDescent="0.2">
      <c r="H44" s="79" t="s">
        <v>614</v>
      </c>
      <c r="I44" s="83"/>
      <c r="J44" s="87" t="s">
        <v>96</v>
      </c>
      <c r="K44" s="81"/>
      <c r="L44" s="86" t="s">
        <v>617</v>
      </c>
      <c r="M44" s="83"/>
      <c r="N44" s="79" t="s">
        <v>614</v>
      </c>
    </row>
    <row r="45" spans="2:18" ht="2.25" customHeight="1" x14ac:dyDescent="0.2">
      <c r="I45"/>
      <c r="J45"/>
      <c r="K45"/>
      <c r="M45"/>
    </row>
    <row r="46" spans="2:18" x14ac:dyDescent="0.2">
      <c r="C46" t="s">
        <v>263</v>
      </c>
      <c r="H46" s="282"/>
      <c r="I46" s="44"/>
      <c r="J46" s="69">
        <f>N46+L46-H46</f>
        <v>0</v>
      </c>
      <c r="K46" s="78"/>
      <c r="L46" s="283"/>
      <c r="M46" s="44"/>
      <c r="N46" s="283"/>
      <c r="O46" s="12"/>
    </row>
    <row r="47" spans="2:18" x14ac:dyDescent="0.2">
      <c r="C47" t="s">
        <v>264</v>
      </c>
      <c r="H47" s="282"/>
      <c r="I47" s="44"/>
      <c r="J47" s="69">
        <f t="shared" ref="J47:J52" si="1">N47+L47-H47</f>
        <v>0</v>
      </c>
      <c r="K47" s="78"/>
      <c r="L47" s="283"/>
      <c r="M47" s="44"/>
      <c r="N47" s="283"/>
      <c r="O47" s="12"/>
    </row>
    <row r="48" spans="2:18" x14ac:dyDescent="0.2">
      <c r="C48" t="s">
        <v>265</v>
      </c>
      <c r="H48" s="282"/>
      <c r="I48" s="44"/>
      <c r="J48" s="69">
        <f t="shared" si="1"/>
        <v>0</v>
      </c>
      <c r="K48" s="78"/>
      <c r="L48" s="283"/>
      <c r="M48" s="44"/>
      <c r="N48" s="283"/>
      <c r="O48" s="12"/>
    </row>
    <row r="49" spans="2:15" x14ac:dyDescent="0.2">
      <c r="C49" t="s">
        <v>266</v>
      </c>
      <c r="H49" s="282"/>
      <c r="I49" s="44"/>
      <c r="J49" s="69">
        <f t="shared" si="1"/>
        <v>0</v>
      </c>
      <c r="K49" s="78"/>
      <c r="L49" s="283"/>
      <c r="M49" s="44"/>
      <c r="N49" s="283"/>
      <c r="O49" s="12"/>
    </row>
    <row r="50" spans="2:15" x14ac:dyDescent="0.2">
      <c r="C50" t="s">
        <v>267</v>
      </c>
      <c r="H50" s="282"/>
      <c r="I50" s="44"/>
      <c r="J50" s="69">
        <f t="shared" si="1"/>
        <v>0</v>
      </c>
      <c r="K50" s="78"/>
      <c r="L50" s="283"/>
      <c r="M50" s="44"/>
      <c r="N50" s="283"/>
      <c r="O50" s="12"/>
    </row>
    <row r="51" spans="2:15" x14ac:dyDescent="0.2">
      <c r="C51" t="s">
        <v>268</v>
      </c>
      <c r="H51" s="282"/>
      <c r="I51" s="44"/>
      <c r="J51" s="69">
        <f t="shared" si="1"/>
        <v>0</v>
      </c>
      <c r="K51" s="78"/>
      <c r="L51" s="283"/>
      <c r="M51" s="44"/>
      <c r="N51" s="283"/>
      <c r="O51" s="12"/>
    </row>
    <row r="52" spans="2:15" x14ac:dyDescent="0.2">
      <c r="C52" t="s">
        <v>269</v>
      </c>
      <c r="H52" s="282"/>
      <c r="I52" s="44"/>
      <c r="J52" s="69">
        <f t="shared" si="1"/>
        <v>0</v>
      </c>
      <c r="K52" s="78"/>
      <c r="L52" s="283"/>
      <c r="M52" s="44"/>
      <c r="N52" s="283"/>
      <c r="O52" s="12"/>
    </row>
    <row r="53" spans="2:15" x14ac:dyDescent="0.2">
      <c r="C53" t="s">
        <v>377</v>
      </c>
      <c r="H53" s="282"/>
      <c r="I53" s="44"/>
      <c r="J53" s="69">
        <f t="shared" ref="J53:J62" si="2">N53+L53-H53</f>
        <v>0</v>
      </c>
      <c r="K53" s="78"/>
      <c r="L53" s="283"/>
      <c r="M53" s="44"/>
      <c r="N53" s="283"/>
      <c r="O53" s="12"/>
    </row>
    <row r="54" spans="2:15" x14ac:dyDescent="0.2">
      <c r="C54" t="s">
        <v>439</v>
      </c>
      <c r="H54" s="282"/>
      <c r="I54" s="44"/>
      <c r="J54" s="69">
        <f t="shared" si="2"/>
        <v>0</v>
      </c>
      <c r="K54" s="78"/>
      <c r="L54" s="283"/>
      <c r="M54" s="44"/>
      <c r="N54" s="283"/>
      <c r="O54" s="12"/>
    </row>
    <row r="55" spans="2:15" x14ac:dyDescent="0.2">
      <c r="C55" t="s">
        <v>237</v>
      </c>
      <c r="H55" s="282"/>
      <c r="I55" s="44"/>
      <c r="J55" s="69">
        <f t="shared" si="2"/>
        <v>0</v>
      </c>
      <c r="K55" s="78"/>
      <c r="L55" s="283"/>
      <c r="M55" s="44"/>
      <c r="N55" s="283"/>
      <c r="O55" s="12"/>
    </row>
    <row r="56" spans="2:15" x14ac:dyDescent="0.2">
      <c r="C56" t="s">
        <v>238</v>
      </c>
      <c r="H56" s="282"/>
      <c r="I56" s="44"/>
      <c r="J56" s="69">
        <f t="shared" si="2"/>
        <v>0</v>
      </c>
      <c r="K56" s="78"/>
      <c r="L56" s="283"/>
      <c r="M56" s="44"/>
      <c r="N56" s="283"/>
      <c r="O56" s="12"/>
    </row>
    <row r="57" spans="2:15" x14ac:dyDescent="0.2">
      <c r="C57" t="s">
        <v>271</v>
      </c>
      <c r="H57" s="282"/>
      <c r="I57" s="44"/>
      <c r="J57" s="69">
        <f t="shared" si="2"/>
        <v>0</v>
      </c>
      <c r="K57" s="78"/>
      <c r="L57" s="283"/>
      <c r="M57" s="44"/>
      <c r="N57" s="283"/>
      <c r="O57" s="12"/>
    </row>
    <row r="58" spans="2:15" x14ac:dyDescent="0.2">
      <c r="C58" t="s">
        <v>273</v>
      </c>
      <c r="H58" s="282"/>
      <c r="I58" s="44"/>
      <c r="J58" s="69">
        <f t="shared" si="2"/>
        <v>0</v>
      </c>
      <c r="K58" s="78"/>
      <c r="L58" s="283"/>
      <c r="M58" s="44"/>
      <c r="N58" s="283"/>
      <c r="O58" s="12"/>
    </row>
    <row r="59" spans="2:15" x14ac:dyDescent="0.2">
      <c r="C59" t="s">
        <v>274</v>
      </c>
      <c r="H59" s="282"/>
      <c r="I59" s="44"/>
      <c r="J59" s="69">
        <f t="shared" si="2"/>
        <v>0</v>
      </c>
      <c r="K59" s="78"/>
      <c r="L59" s="283"/>
      <c r="M59" s="44"/>
      <c r="N59" s="283"/>
      <c r="O59" s="12"/>
    </row>
    <row r="60" spans="2:15" x14ac:dyDescent="0.2">
      <c r="C60" t="s">
        <v>272</v>
      </c>
      <c r="H60" s="282"/>
      <c r="I60" s="44"/>
      <c r="J60" s="69">
        <f t="shared" si="2"/>
        <v>0</v>
      </c>
      <c r="K60" s="78"/>
      <c r="L60" s="283"/>
      <c r="M60" s="44"/>
      <c r="N60" s="283"/>
      <c r="O60" s="12"/>
    </row>
    <row r="61" spans="2:15" x14ac:dyDescent="0.2">
      <c r="C61" t="s">
        <v>257</v>
      </c>
      <c r="H61" s="240"/>
      <c r="I61" s="44"/>
      <c r="J61" s="69">
        <f t="shared" si="2"/>
        <v>0</v>
      </c>
      <c r="K61" s="78"/>
      <c r="L61" s="221"/>
      <c r="M61" s="44"/>
      <c r="N61" s="221"/>
      <c r="O61" s="12"/>
    </row>
    <row r="62" spans="2:15" x14ac:dyDescent="0.2">
      <c r="C62" t="s">
        <v>55</v>
      </c>
      <c r="H62" s="241"/>
      <c r="I62" s="44"/>
      <c r="J62" s="69">
        <f t="shared" si="2"/>
        <v>0</v>
      </c>
      <c r="K62" s="78"/>
      <c r="L62" s="224"/>
      <c r="M62" s="44"/>
      <c r="N62" s="224"/>
      <c r="O62" s="12"/>
    </row>
    <row r="63" spans="2:15" ht="13.5" thickBot="1" x14ac:dyDescent="0.25">
      <c r="H63" s="244">
        <f>SUM(H46:H62)</f>
        <v>0</v>
      </c>
      <c r="I63" s="44"/>
      <c r="J63" s="62">
        <f>SUM(J46:J62)</f>
        <v>0</v>
      </c>
      <c r="K63" s="78"/>
      <c r="L63" s="62">
        <f>SUM(L46:L62)</f>
        <v>0</v>
      </c>
      <c r="M63" s="44"/>
      <c r="N63" s="245">
        <f>SUM(N46:N62)</f>
        <v>0</v>
      </c>
    </row>
    <row r="64" spans="2:15" ht="13.5" thickTop="1" x14ac:dyDescent="0.2">
      <c r="B64" s="89" t="s">
        <v>648</v>
      </c>
      <c r="C64" s="47" t="s">
        <v>690</v>
      </c>
      <c r="H64" s="78"/>
      <c r="I64" s="44"/>
      <c r="J64" s="78"/>
      <c r="K64" s="78"/>
      <c r="L64" s="78"/>
      <c r="M64" s="44"/>
      <c r="N64" s="78"/>
    </row>
    <row r="65" spans="1:16" ht="4.5" customHeight="1" x14ac:dyDescent="0.2">
      <c r="J65"/>
      <c r="K65"/>
    </row>
    <row r="66" spans="1:16" ht="24" customHeight="1" x14ac:dyDescent="0.2">
      <c r="A66" s="765" t="s">
        <v>334</v>
      </c>
      <c r="B66" s="971" t="s">
        <v>105</v>
      </c>
      <c r="C66" s="972"/>
      <c r="D66" s="972"/>
      <c r="E66" s="972"/>
      <c r="F66" s="972"/>
      <c r="G66" s="972"/>
      <c r="H66" s="972"/>
      <c r="I66" s="972"/>
      <c r="J66" s="972"/>
      <c r="K66" s="972"/>
      <c r="L66" s="972"/>
      <c r="M66" s="972"/>
      <c r="N66" s="972"/>
      <c r="O66" s="972"/>
      <c r="P66" s="973"/>
    </row>
    <row r="67" spans="1:16" ht="8.25" customHeight="1" x14ac:dyDescent="0.2">
      <c r="J67" s="9"/>
      <c r="K67" s="9"/>
      <c r="L67" s="9"/>
      <c r="M67" s="31"/>
      <c r="N67" s="9"/>
    </row>
    <row r="68" spans="1:16" ht="15" customHeight="1" x14ac:dyDescent="0.2">
      <c r="B68" s="38" t="s">
        <v>649</v>
      </c>
      <c r="C68" t="s">
        <v>442</v>
      </c>
      <c r="I68"/>
      <c r="J68"/>
      <c r="K68" s="9"/>
      <c r="L68" s="9"/>
      <c r="M68" s="31"/>
      <c r="N68" s="227"/>
    </row>
    <row r="69" spans="1:16" ht="4.5" customHeight="1" x14ac:dyDescent="0.2">
      <c r="I69"/>
      <c r="J69"/>
      <c r="K69" s="9"/>
      <c r="L69" s="9"/>
      <c r="M69" s="31"/>
      <c r="N69" s="9"/>
    </row>
    <row r="70" spans="1:16" ht="4.5" customHeight="1" x14ac:dyDescent="0.2">
      <c r="I70"/>
      <c r="J70"/>
      <c r="K70" s="9"/>
      <c r="L70" s="9"/>
      <c r="M70" s="31"/>
      <c r="N70" s="9"/>
    </row>
    <row r="71" spans="1:16" ht="12.75" customHeight="1" x14ac:dyDescent="0.2">
      <c r="B71" s="38" t="s">
        <v>650</v>
      </c>
      <c r="C71" t="s">
        <v>214</v>
      </c>
      <c r="I71"/>
      <c r="J71"/>
      <c r="K71" s="9"/>
      <c r="L71" s="9"/>
      <c r="M71" s="31"/>
      <c r="N71" s="227"/>
      <c r="O71" s="124" t="s">
        <v>141</v>
      </c>
    </row>
    <row r="72" spans="1:16" ht="4.5" customHeight="1" x14ac:dyDescent="0.2">
      <c r="I72"/>
      <c r="J72"/>
      <c r="K72" s="9"/>
      <c r="L72" s="9"/>
      <c r="M72" s="31"/>
      <c r="N72" s="9"/>
    </row>
    <row r="73" spans="1:16" ht="13.5" customHeight="1" x14ac:dyDescent="0.2">
      <c r="B73" s="38" t="s">
        <v>651</v>
      </c>
      <c r="C73" t="s">
        <v>277</v>
      </c>
      <c r="I73"/>
      <c r="J73"/>
      <c r="K73" s="9"/>
      <c r="L73" s="9"/>
      <c r="M73" s="31"/>
      <c r="N73" s="227"/>
      <c r="O73" s="124" t="s">
        <v>142</v>
      </c>
    </row>
    <row r="74" spans="1:16" ht="4.5" customHeight="1" x14ac:dyDescent="0.2">
      <c r="I74"/>
      <c r="J74"/>
      <c r="K74" s="9"/>
      <c r="L74" s="9"/>
      <c r="M74" s="31"/>
      <c r="N74" s="9"/>
    </row>
    <row r="75" spans="1:16" ht="12.75" customHeight="1" x14ac:dyDescent="0.2">
      <c r="B75" s="38" t="s">
        <v>335</v>
      </c>
      <c r="C75" s="858" t="s">
        <v>275</v>
      </c>
      <c r="D75" s="858"/>
      <c r="E75" s="858"/>
      <c r="F75" s="858"/>
      <c r="G75" s="858"/>
      <c r="H75" s="858"/>
      <c r="I75" s="858"/>
      <c r="J75" s="858"/>
      <c r="K75" s="9"/>
      <c r="L75" s="9"/>
      <c r="M75" s="31"/>
      <c r="N75" s="1070"/>
      <c r="O75" s="1071" t="s">
        <v>143</v>
      </c>
    </row>
    <row r="76" spans="1:16" ht="8.25" customHeight="1" x14ac:dyDescent="0.2">
      <c r="C76" s="858"/>
      <c r="D76" s="858"/>
      <c r="E76" s="858"/>
      <c r="F76" s="858"/>
      <c r="G76" s="858"/>
      <c r="H76" s="858"/>
      <c r="I76" s="858"/>
      <c r="J76" s="858"/>
      <c r="K76" s="9"/>
      <c r="L76" s="9"/>
      <c r="M76" s="31"/>
      <c r="N76" s="1070"/>
      <c r="O76" s="1071"/>
    </row>
    <row r="77" spans="1:16" ht="4.5" customHeight="1" x14ac:dyDescent="0.2">
      <c r="C77" s="858"/>
      <c r="D77" s="858"/>
      <c r="E77" s="858"/>
      <c r="F77" s="858"/>
      <c r="G77" s="858"/>
      <c r="H77" s="858"/>
      <c r="I77" s="858"/>
      <c r="J77" s="858"/>
      <c r="K77" s="9"/>
      <c r="L77" s="9"/>
      <c r="M77" s="31"/>
      <c r="N77" s="9"/>
    </row>
    <row r="78" spans="1:16" ht="4.5" customHeight="1" x14ac:dyDescent="0.2">
      <c r="C78" s="34"/>
      <c r="D78" s="34"/>
      <c r="E78" s="34"/>
      <c r="F78" s="34"/>
      <c r="G78" s="34"/>
      <c r="H78" s="34"/>
      <c r="I78" s="34"/>
      <c r="J78" s="34"/>
      <c r="K78" s="9"/>
      <c r="L78" s="9"/>
      <c r="M78" s="31"/>
      <c r="N78" s="9"/>
    </row>
    <row r="79" spans="1:16" ht="12.75" customHeight="1" thickBot="1" x14ac:dyDescent="0.25">
      <c r="B79" s="38" t="s">
        <v>336</v>
      </c>
      <c r="C79" t="s">
        <v>278</v>
      </c>
      <c r="I79"/>
      <c r="J79"/>
      <c r="K79" s="9"/>
      <c r="L79" s="9"/>
      <c r="M79" s="31"/>
      <c r="N79" s="76">
        <f>(N68+N71+N75)-N73</f>
        <v>0</v>
      </c>
    </row>
    <row r="80" spans="1:16" ht="3" customHeight="1" thickTop="1" x14ac:dyDescent="0.2">
      <c r="I80"/>
      <c r="J80"/>
      <c r="K80" s="9"/>
      <c r="L80" s="9"/>
      <c r="M80" s="31"/>
      <c r="N80" s="9"/>
    </row>
    <row r="81" spans="2:16" ht="12.75" customHeight="1" x14ac:dyDescent="0.2">
      <c r="B81" s="38" t="s">
        <v>182</v>
      </c>
      <c r="C81" s="859" t="s">
        <v>45</v>
      </c>
      <c r="D81" s="859"/>
      <c r="E81" s="859"/>
      <c r="F81" s="859"/>
      <c r="G81" s="859"/>
      <c r="H81" s="859"/>
      <c r="I81" s="859"/>
      <c r="J81" s="859"/>
      <c r="K81" s="859"/>
      <c r="L81" s="859"/>
      <c r="M81" s="859"/>
      <c r="N81" s="859"/>
      <c r="O81" s="859"/>
      <c r="P81" s="859"/>
    </row>
    <row r="82" spans="2:16" ht="27.75" customHeight="1" x14ac:dyDescent="0.2">
      <c r="B82" s="38"/>
      <c r="C82" s="859"/>
      <c r="D82" s="859"/>
      <c r="E82" s="859"/>
      <c r="F82" s="859"/>
      <c r="G82" s="859"/>
      <c r="H82" s="859"/>
      <c r="I82" s="859"/>
      <c r="J82" s="859"/>
      <c r="K82" s="859"/>
      <c r="L82" s="859"/>
      <c r="M82" s="859"/>
      <c r="N82" s="859"/>
      <c r="O82" s="859"/>
      <c r="P82" s="859"/>
    </row>
    <row r="83" spans="2:16" ht="14.25" customHeight="1" x14ac:dyDescent="0.2">
      <c r="B83" s="38"/>
      <c r="C83" s="34"/>
      <c r="D83" s="34"/>
      <c r="E83" s="34"/>
      <c r="F83" s="34"/>
      <c r="G83" s="166" t="s">
        <v>466</v>
      </c>
      <c r="I83" s="34"/>
      <c r="J83" s="166" t="s">
        <v>465</v>
      </c>
      <c r="K83" s="34"/>
      <c r="L83" s="9"/>
      <c r="M83" s="31"/>
      <c r="N83" s="121" t="s">
        <v>215</v>
      </c>
    </row>
    <row r="84" spans="2:16" x14ac:dyDescent="0.2">
      <c r="C84" t="s">
        <v>263</v>
      </c>
      <c r="G84" s="227"/>
      <c r="H84" s="36"/>
      <c r="I84" s="44"/>
      <c r="J84" s="220"/>
      <c r="K84" s="36"/>
      <c r="L84" s="9"/>
      <c r="M84" s="31"/>
      <c r="N84" s="220"/>
      <c r="O84" s="5"/>
    </row>
    <row r="85" spans="2:16" ht="12" customHeight="1" x14ac:dyDescent="0.2">
      <c r="C85" t="s">
        <v>264</v>
      </c>
      <c r="G85" s="227"/>
      <c r="H85" s="36"/>
      <c r="I85" s="44"/>
      <c r="J85" s="220"/>
      <c r="K85" s="36"/>
      <c r="L85" s="9"/>
      <c r="M85" s="31"/>
      <c r="N85" s="220"/>
      <c r="O85" s="5"/>
    </row>
    <row r="86" spans="2:16" ht="12" customHeight="1" x14ac:dyDescent="0.2">
      <c r="C86" t="s">
        <v>265</v>
      </c>
      <c r="G86" s="227"/>
      <c r="H86" s="36"/>
      <c r="I86" s="44"/>
      <c r="J86" s="220"/>
      <c r="K86" s="36"/>
      <c r="L86" s="9"/>
      <c r="M86" s="31"/>
      <c r="N86" s="220"/>
      <c r="O86" s="5"/>
    </row>
    <row r="87" spans="2:16" ht="12" customHeight="1" x14ac:dyDescent="0.2">
      <c r="C87" t="s">
        <v>266</v>
      </c>
      <c r="G87" s="227"/>
      <c r="H87" s="36"/>
      <c r="I87" s="44"/>
      <c r="J87" s="220"/>
      <c r="K87" s="36"/>
      <c r="L87" s="9"/>
      <c r="M87" s="31"/>
      <c r="N87" s="220"/>
      <c r="O87" s="5"/>
    </row>
    <row r="88" spans="2:16" ht="12" customHeight="1" x14ac:dyDescent="0.2">
      <c r="C88" t="s">
        <v>267</v>
      </c>
      <c r="G88" s="227"/>
      <c r="H88" s="36"/>
      <c r="I88" s="44"/>
      <c r="J88" s="220"/>
      <c r="K88" s="36"/>
      <c r="L88" s="9"/>
      <c r="M88" s="31"/>
      <c r="N88" s="220"/>
      <c r="O88" s="5"/>
    </row>
    <row r="89" spans="2:16" ht="12" customHeight="1" x14ac:dyDescent="0.2">
      <c r="C89" t="s">
        <v>268</v>
      </c>
      <c r="G89" s="227"/>
      <c r="H89" s="36"/>
      <c r="I89" s="44"/>
      <c r="J89" s="220"/>
      <c r="K89" s="36"/>
      <c r="L89" s="9"/>
      <c r="M89" s="31"/>
      <c r="N89" s="220"/>
      <c r="O89" s="5"/>
    </row>
    <row r="90" spans="2:16" ht="12" customHeight="1" x14ac:dyDescent="0.2">
      <c r="C90" t="s">
        <v>269</v>
      </c>
      <c r="G90" s="227"/>
      <c r="H90" s="36"/>
      <c r="I90" s="44"/>
      <c r="J90" s="220"/>
      <c r="K90" s="36"/>
      <c r="L90" s="9"/>
      <c r="M90" s="31"/>
      <c r="N90" s="220"/>
      <c r="O90" s="5"/>
    </row>
    <row r="91" spans="2:16" ht="12" customHeight="1" x14ac:dyDescent="0.2">
      <c r="C91" t="s">
        <v>379</v>
      </c>
      <c r="G91" s="227"/>
      <c r="H91" s="36"/>
      <c r="I91" s="44"/>
      <c r="J91" s="220"/>
      <c r="K91" s="36"/>
      <c r="L91" s="9"/>
      <c r="M91" s="31"/>
      <c r="N91" s="220"/>
      <c r="O91" s="5"/>
    </row>
    <row r="92" spans="2:16" ht="12" customHeight="1" x14ac:dyDescent="0.2">
      <c r="C92" t="s">
        <v>380</v>
      </c>
      <c r="G92" s="227"/>
      <c r="H92" s="36"/>
      <c r="I92" s="44"/>
      <c r="J92" s="220"/>
      <c r="K92" s="36"/>
      <c r="L92" s="9"/>
      <c r="M92" s="31"/>
      <c r="N92" s="220"/>
      <c r="O92" s="5"/>
    </row>
    <row r="93" spans="2:16" ht="12" customHeight="1" x14ac:dyDescent="0.2">
      <c r="C93" t="s">
        <v>237</v>
      </c>
      <c r="G93" s="227"/>
      <c r="H93" s="36"/>
      <c r="I93" s="44"/>
      <c r="J93" s="220"/>
      <c r="K93" s="36"/>
      <c r="L93" s="9"/>
      <c r="M93" s="31"/>
      <c r="N93" s="220"/>
      <c r="O93" s="5"/>
    </row>
    <row r="94" spans="2:16" x14ac:dyDescent="0.2">
      <c r="C94" t="s">
        <v>238</v>
      </c>
      <c r="G94" s="227"/>
      <c r="H94" s="36"/>
      <c r="I94" s="44"/>
      <c r="J94" s="220"/>
      <c r="K94" s="36"/>
      <c r="L94" s="9"/>
      <c r="M94" s="31"/>
      <c r="N94" s="220"/>
      <c r="O94" s="5"/>
    </row>
    <row r="95" spans="2:16" x14ac:dyDescent="0.2">
      <c r="C95" t="s">
        <v>271</v>
      </c>
      <c r="G95" s="227"/>
      <c r="H95" s="36"/>
      <c r="I95" s="44"/>
      <c r="J95" s="220"/>
      <c r="K95" s="36"/>
      <c r="L95" s="9"/>
      <c r="M95" s="31"/>
      <c r="N95" s="220"/>
      <c r="O95" s="5"/>
    </row>
    <row r="96" spans="2:16" x14ac:dyDescent="0.2">
      <c r="C96" t="s">
        <v>273</v>
      </c>
      <c r="G96" s="227"/>
      <c r="H96" s="36"/>
      <c r="I96" s="44"/>
      <c r="J96" s="220"/>
      <c r="K96" s="36"/>
      <c r="L96" s="9"/>
      <c r="M96" s="31"/>
      <c r="N96" s="220"/>
      <c r="O96" s="5"/>
    </row>
    <row r="97" spans="1:17" x14ac:dyDescent="0.2">
      <c r="C97" t="s">
        <v>274</v>
      </c>
      <c r="G97" s="227"/>
      <c r="H97" s="36"/>
      <c r="I97" s="44"/>
      <c r="J97" s="220"/>
      <c r="K97" s="36"/>
      <c r="L97" s="9"/>
      <c r="M97" s="31"/>
      <c r="N97" s="220"/>
      <c r="O97" s="5"/>
    </row>
    <row r="98" spans="1:17" x14ac:dyDescent="0.2">
      <c r="C98" t="s">
        <v>381</v>
      </c>
      <c r="G98" s="227"/>
      <c r="H98" s="36"/>
      <c r="I98" s="44"/>
      <c r="J98" s="227"/>
      <c r="K98" s="9"/>
      <c r="L98" s="9"/>
      <c r="M98" s="31"/>
      <c r="N98" s="220"/>
      <c r="O98" s="5"/>
    </row>
    <row r="99" spans="1:17" ht="12.75" customHeight="1" x14ac:dyDescent="0.2">
      <c r="C99" t="s">
        <v>257</v>
      </c>
      <c r="G99" s="227"/>
      <c r="H99" s="1091" t="str">
        <f>IF(G103=N71," ","Recheck numbers for step 2. Entry is out of balance.")</f>
        <v xml:space="preserve"> </v>
      </c>
      <c r="I99" s="44"/>
      <c r="J99" s="227"/>
      <c r="K99" s="9"/>
      <c r="L99" s="1090" t="str">
        <f>IF(J103=N73," ","Recheck numbers. Entry is out of balance.")</f>
        <v xml:space="preserve"> </v>
      </c>
      <c r="M99" s="31"/>
      <c r="N99" s="220"/>
      <c r="O99" s="1089" t="str">
        <f>IF(N103=N75," ","Recheck numbers for step 4. Entry is out of balance.")</f>
        <v xml:space="preserve"> </v>
      </c>
    </row>
    <row r="100" spans="1:17" ht="12.75" customHeight="1" x14ac:dyDescent="0.2">
      <c r="C100" t="s">
        <v>55</v>
      </c>
      <c r="G100" s="227"/>
      <c r="H100" s="1091"/>
      <c r="I100" s="44"/>
      <c r="J100" s="227"/>
      <c r="K100" s="9"/>
      <c r="L100" s="1090"/>
      <c r="M100" s="31"/>
      <c r="N100" s="220"/>
      <c r="O100" s="1089"/>
    </row>
    <row r="101" spans="1:17" ht="12.75" customHeight="1" x14ac:dyDescent="0.2">
      <c r="C101" t="s">
        <v>389</v>
      </c>
      <c r="G101" s="227"/>
      <c r="H101" s="1091"/>
      <c r="I101" s="44"/>
      <c r="J101" s="227"/>
      <c r="K101" s="9"/>
      <c r="L101" s="1090"/>
      <c r="M101" s="31"/>
      <c r="N101" s="220"/>
      <c r="O101" s="1089"/>
    </row>
    <row r="102" spans="1:17" ht="12.75" customHeight="1" x14ac:dyDescent="0.2">
      <c r="C102" t="s">
        <v>390</v>
      </c>
      <c r="G102" s="230"/>
      <c r="H102" s="1091"/>
      <c r="I102" s="44"/>
      <c r="J102" s="230"/>
      <c r="K102" s="9"/>
      <c r="L102" s="1090"/>
      <c r="M102" s="31"/>
      <c r="N102" s="220"/>
      <c r="O102" s="1089"/>
    </row>
    <row r="103" spans="1:17" ht="18" customHeight="1" thickBot="1" x14ac:dyDescent="0.4">
      <c r="F103" s="125" t="s">
        <v>141</v>
      </c>
      <c r="G103" s="71">
        <f>SUM(G84:G102)</f>
        <v>0</v>
      </c>
      <c r="H103" s="125" t="s">
        <v>142</v>
      </c>
      <c r="I103" s="44"/>
      <c r="J103" s="75">
        <f>SUM(J84:J102)</f>
        <v>0</v>
      </c>
      <c r="K103" s="9"/>
      <c r="L103" s="125" t="s">
        <v>143</v>
      </c>
      <c r="M103" s="84"/>
      <c r="N103" s="62">
        <f>SUM(N84:N102)</f>
        <v>0</v>
      </c>
    </row>
    <row r="104" spans="1:17" ht="12" customHeight="1" thickTop="1" x14ac:dyDescent="0.35">
      <c r="J104" s="9"/>
      <c r="K104" s="9"/>
      <c r="L104" s="53"/>
      <c r="M104" s="84"/>
      <c r="N104" s="8"/>
    </row>
    <row r="105" spans="1:17" ht="25.5" customHeight="1" x14ac:dyDescent="0.2">
      <c r="A105" s="765" t="s">
        <v>515</v>
      </c>
      <c r="B105" s="971" t="s">
        <v>213</v>
      </c>
      <c r="C105" s="972"/>
      <c r="D105" s="972"/>
      <c r="E105" s="972"/>
      <c r="F105" s="972"/>
      <c r="G105" s="972"/>
      <c r="H105" s="972"/>
      <c r="I105" s="972"/>
      <c r="J105" s="972"/>
      <c r="K105" s="972"/>
      <c r="L105" s="972"/>
      <c r="M105" s="972"/>
      <c r="N105" s="972"/>
      <c r="O105" s="972"/>
      <c r="P105" s="973"/>
    </row>
    <row r="106" spans="1:17" ht="3.75" customHeight="1" x14ac:dyDescent="0.2">
      <c r="J106"/>
      <c r="K106"/>
      <c r="L106" s="9"/>
      <c r="M106" s="31"/>
      <c r="N106" s="4"/>
    </row>
    <row r="107" spans="1:17" ht="21" customHeight="1" x14ac:dyDescent="0.2">
      <c r="J107"/>
      <c r="K107"/>
      <c r="L107" s="9"/>
      <c r="M107" s="31"/>
      <c r="N107" s="102" t="str">
        <f>'Conversion Worksheet'!C100</f>
        <v>Other long-term liability #1</v>
      </c>
      <c r="O107" s="102" t="str">
        <f>'Conversion Worksheet'!C101</f>
        <v>Other long-term liability #2</v>
      </c>
    </row>
    <row r="108" spans="1:17" ht="14.25" customHeight="1" x14ac:dyDescent="0.2">
      <c r="A108"/>
      <c r="B108" s="38" t="s">
        <v>649</v>
      </c>
      <c r="C108" t="s">
        <v>106</v>
      </c>
      <c r="I108"/>
      <c r="J108"/>
      <c r="K108" s="9"/>
      <c r="L108" s="9"/>
      <c r="M108" s="31"/>
      <c r="N108" s="227">
        <v>0</v>
      </c>
      <c r="O108" s="220"/>
    </row>
    <row r="109" spans="1:17" ht="6" customHeight="1" x14ac:dyDescent="0.2">
      <c r="A109"/>
      <c r="I109"/>
      <c r="J109"/>
      <c r="K109" s="9"/>
      <c r="L109" s="9"/>
      <c r="M109" s="31"/>
      <c r="N109" s="9"/>
      <c r="O109" s="36"/>
    </row>
    <row r="110" spans="1:17" ht="15.75" customHeight="1" x14ac:dyDescent="0.2">
      <c r="A110"/>
      <c r="B110" s="38" t="s">
        <v>650</v>
      </c>
      <c r="C110" s="862" t="s">
        <v>107</v>
      </c>
      <c r="D110" s="862"/>
      <c r="E110" s="862"/>
      <c r="F110" s="862"/>
      <c r="G110" s="862"/>
      <c r="H110" s="862"/>
      <c r="I110" s="862"/>
      <c r="J110" s="862"/>
      <c r="K110" s="9"/>
      <c r="L110" s="125" t="s">
        <v>574</v>
      </c>
      <c r="M110" s="31"/>
      <c r="N110" s="227">
        <v>0</v>
      </c>
      <c r="O110" s="220"/>
      <c r="Q110" s="758" t="s">
        <v>50</v>
      </c>
    </row>
    <row r="111" spans="1:17" ht="6" customHeight="1" x14ac:dyDescent="0.2">
      <c r="A111"/>
      <c r="I111"/>
      <c r="J111"/>
      <c r="K111" s="9"/>
      <c r="L111" s="9"/>
      <c r="M111" s="31"/>
      <c r="N111" s="9"/>
      <c r="O111" s="36"/>
      <c r="Q111" s="423"/>
    </row>
    <row r="112" spans="1:17" ht="15.75" customHeight="1" x14ac:dyDescent="0.2">
      <c r="A112"/>
      <c r="B112" s="38" t="s">
        <v>651</v>
      </c>
      <c r="C112" s="862" t="s">
        <v>46</v>
      </c>
      <c r="D112" s="862"/>
      <c r="E112" s="862"/>
      <c r="F112" s="862"/>
      <c r="G112" s="862"/>
      <c r="H112" s="862"/>
      <c r="I112" s="862"/>
      <c r="J112" s="862"/>
      <c r="K112" s="9"/>
      <c r="L112" s="125" t="s">
        <v>575</v>
      </c>
      <c r="M112" s="31"/>
      <c r="N112" s="227">
        <v>0</v>
      </c>
      <c r="O112" s="220"/>
      <c r="Q112" s="758" t="s">
        <v>51</v>
      </c>
    </row>
    <row r="113" spans="1:17" ht="5.25" customHeight="1" x14ac:dyDescent="0.2">
      <c r="A113"/>
      <c r="I113"/>
      <c r="J113"/>
      <c r="K113" s="9"/>
      <c r="L113" s="141"/>
      <c r="M113" s="31"/>
      <c r="N113" s="9"/>
      <c r="O113" s="36"/>
      <c r="Q113" s="423"/>
    </row>
    <row r="114" spans="1:17" ht="12.75" customHeight="1" x14ac:dyDescent="0.2">
      <c r="A114"/>
      <c r="B114" s="38" t="s">
        <v>335</v>
      </c>
      <c r="C114" s="858" t="s">
        <v>276</v>
      </c>
      <c r="D114" s="858"/>
      <c r="E114" s="858"/>
      <c r="F114" s="858"/>
      <c r="G114" s="858"/>
      <c r="H114" s="858"/>
      <c r="I114" s="858"/>
      <c r="J114" s="858"/>
      <c r="K114" s="9"/>
      <c r="L114" s="1085" t="s">
        <v>49</v>
      </c>
      <c r="M114" s="31"/>
      <c r="N114" s="1001"/>
      <c r="O114" s="1001"/>
      <c r="Q114" s="1081" t="s">
        <v>52</v>
      </c>
    </row>
    <row r="115" spans="1:17" ht="12.75" customHeight="1" x14ac:dyDescent="0.2">
      <c r="A115"/>
      <c r="B115" s="38"/>
      <c r="C115" s="858"/>
      <c r="D115" s="858"/>
      <c r="E115" s="858"/>
      <c r="F115" s="858"/>
      <c r="G115" s="858"/>
      <c r="H115" s="858"/>
      <c r="I115" s="858"/>
      <c r="J115" s="858"/>
      <c r="K115" s="9"/>
      <c r="L115" s="1085"/>
      <c r="M115" s="31"/>
      <c r="N115" s="1001"/>
      <c r="O115" s="1001"/>
      <c r="Q115" s="1081"/>
    </row>
    <row r="116" spans="1:17" ht="4.5" customHeight="1" x14ac:dyDescent="0.2">
      <c r="A116"/>
      <c r="I116"/>
      <c r="J116"/>
      <c r="K116" s="9"/>
      <c r="L116" s="9"/>
      <c r="M116" s="31"/>
      <c r="N116" s="9"/>
      <c r="O116" s="36"/>
    </row>
    <row r="117" spans="1:17" ht="12.75" customHeight="1" thickBot="1" x14ac:dyDescent="0.25">
      <c r="A117"/>
      <c r="B117" s="38" t="s">
        <v>336</v>
      </c>
      <c r="C117" t="s">
        <v>47</v>
      </c>
      <c r="I117"/>
      <c r="J117"/>
      <c r="K117" s="9"/>
      <c r="L117" s="9"/>
      <c r="M117" s="31"/>
      <c r="N117" s="76">
        <f>(N108+N110+N114)-N112</f>
        <v>0</v>
      </c>
      <c r="O117" s="76">
        <f>(O108+O110+O114)-O112</f>
        <v>0</v>
      </c>
    </row>
    <row r="118" spans="1:17" ht="4.5" customHeight="1" thickTop="1" x14ac:dyDescent="0.2">
      <c r="A118"/>
      <c r="I118"/>
      <c r="J118"/>
      <c r="K118" s="9"/>
      <c r="L118" s="9"/>
      <c r="M118" s="31"/>
      <c r="N118" s="9"/>
    </row>
    <row r="119" spans="1:17" x14ac:dyDescent="0.2">
      <c r="A119"/>
      <c r="B119" s="38" t="s">
        <v>182</v>
      </c>
      <c r="C119" s="859" t="s">
        <v>48</v>
      </c>
      <c r="D119" s="859"/>
      <c r="E119" s="859"/>
      <c r="F119" s="859"/>
      <c r="G119" s="859"/>
      <c r="H119" s="859"/>
      <c r="I119" s="859"/>
      <c r="J119" s="859"/>
      <c r="K119" s="859"/>
      <c r="L119" s="859"/>
      <c r="M119" s="31"/>
    </row>
    <row r="120" spans="1:17" ht="42" customHeight="1" x14ac:dyDescent="0.2">
      <c r="A120"/>
      <c r="B120" s="38"/>
      <c r="C120" s="859"/>
      <c r="D120" s="859"/>
      <c r="E120" s="859"/>
      <c r="F120" s="859"/>
      <c r="G120" s="859"/>
      <c r="H120" s="859"/>
      <c r="I120" s="859"/>
      <c r="J120" s="859"/>
      <c r="K120" s="859"/>
      <c r="L120" s="859"/>
      <c r="M120" s="31"/>
    </row>
    <row r="121" spans="1:17" ht="6.75" customHeight="1" x14ac:dyDescent="0.2">
      <c r="A121"/>
      <c r="B121" s="38"/>
      <c r="C121" s="34"/>
      <c r="D121" s="34"/>
      <c r="E121" s="34"/>
      <c r="F121" s="34"/>
      <c r="G121" s="34"/>
      <c r="H121" s="34"/>
      <c r="I121" s="34"/>
      <c r="J121" s="34"/>
      <c r="K121" s="34"/>
      <c r="L121" s="34"/>
      <c r="M121" s="31"/>
    </row>
    <row r="122" spans="1:17" ht="15.75" customHeight="1" x14ac:dyDescent="0.2">
      <c r="A122"/>
      <c r="B122" s="38"/>
      <c r="C122" s="34"/>
      <c r="D122" s="34"/>
      <c r="E122" s="34"/>
      <c r="F122" s="34"/>
      <c r="G122" s="1082" t="str">
        <f>N107</f>
        <v>Other long-term liability #1</v>
      </c>
      <c r="H122" s="1083"/>
      <c r="I122" s="1083"/>
      <c r="J122" s="1084"/>
      <c r="K122" s="34"/>
      <c r="L122" s="1082" t="str">
        <f>O107</f>
        <v>Other long-term liability #2</v>
      </c>
      <c r="M122" s="1083"/>
      <c r="N122" s="1083"/>
      <c r="O122" s="1084"/>
    </row>
    <row r="123" spans="1:17" x14ac:dyDescent="0.2">
      <c r="A123"/>
      <c r="B123" s="38"/>
      <c r="C123" s="34"/>
      <c r="D123" s="34"/>
      <c r="E123" s="34"/>
      <c r="F123" s="34"/>
      <c r="G123" s="361" t="s">
        <v>466</v>
      </c>
      <c r="H123" s="361" t="s">
        <v>465</v>
      </c>
      <c r="I123" s="57"/>
      <c r="J123" s="362" t="s">
        <v>215</v>
      </c>
      <c r="K123" s="34"/>
      <c r="L123" s="361" t="s">
        <v>466</v>
      </c>
      <c r="M123" s="31"/>
      <c r="N123" s="361" t="s">
        <v>465</v>
      </c>
      <c r="O123" s="363" t="s">
        <v>215</v>
      </c>
    </row>
    <row r="124" spans="1:17" x14ac:dyDescent="0.2">
      <c r="A124"/>
      <c r="C124" t="s">
        <v>263</v>
      </c>
      <c r="G124" s="227"/>
      <c r="H124" s="220"/>
      <c r="I124" s="44"/>
      <c r="J124" s="226"/>
      <c r="K124" s="36"/>
      <c r="L124" s="227"/>
      <c r="M124" s="31"/>
      <c r="N124" s="220"/>
      <c r="O124" s="226"/>
    </row>
    <row r="125" spans="1:17" x14ac:dyDescent="0.2">
      <c r="A125"/>
      <c r="C125" t="s">
        <v>264</v>
      </c>
      <c r="G125" s="227"/>
      <c r="H125" s="220"/>
      <c r="I125" s="44"/>
      <c r="J125" s="226"/>
      <c r="K125" s="36"/>
      <c r="L125" s="227"/>
      <c r="M125" s="31"/>
      <c r="N125" s="220"/>
      <c r="O125" s="226"/>
    </row>
    <row r="126" spans="1:17" x14ac:dyDescent="0.2">
      <c r="A126"/>
      <c r="C126" t="s">
        <v>265</v>
      </c>
      <c r="G126" s="227"/>
      <c r="H126" s="220"/>
      <c r="I126" s="44"/>
      <c r="J126" s="226"/>
      <c r="K126" s="36"/>
      <c r="L126" s="227"/>
      <c r="M126" s="31"/>
      <c r="N126" s="220"/>
      <c r="O126" s="226"/>
    </row>
    <row r="127" spans="1:17" x14ac:dyDescent="0.2">
      <c r="A127"/>
      <c r="C127" t="s">
        <v>266</v>
      </c>
      <c r="G127" s="227"/>
      <c r="H127" s="220"/>
      <c r="I127" s="44"/>
      <c r="J127" s="226"/>
      <c r="K127" s="36"/>
      <c r="L127" s="227"/>
      <c r="M127" s="31"/>
      <c r="N127" s="220"/>
      <c r="O127" s="226"/>
    </row>
    <row r="128" spans="1:17" x14ac:dyDescent="0.2">
      <c r="A128"/>
      <c r="C128" t="s">
        <v>267</v>
      </c>
      <c r="G128" s="227"/>
      <c r="H128" s="220"/>
      <c r="I128" s="44"/>
      <c r="J128" s="226"/>
      <c r="K128" s="36"/>
      <c r="L128" s="227"/>
      <c r="M128" s="31"/>
      <c r="N128" s="220"/>
      <c r="O128" s="226"/>
    </row>
    <row r="129" spans="1:15" x14ac:dyDescent="0.2">
      <c r="A129"/>
      <c r="C129" t="s">
        <v>268</v>
      </c>
      <c r="G129" s="227"/>
      <c r="H129" s="220"/>
      <c r="I129" s="44"/>
      <c r="J129" s="226"/>
      <c r="K129" s="36"/>
      <c r="L129" s="227"/>
      <c r="M129" s="31"/>
      <c r="N129" s="220"/>
      <c r="O129" s="226"/>
    </row>
    <row r="130" spans="1:15" x14ac:dyDescent="0.2">
      <c r="A130"/>
      <c r="C130" t="s">
        <v>269</v>
      </c>
      <c r="G130" s="227"/>
      <c r="H130" s="220"/>
      <c r="I130" s="44"/>
      <c r="J130" s="226"/>
      <c r="K130" s="36"/>
      <c r="L130" s="227"/>
      <c r="M130" s="31"/>
      <c r="N130" s="220"/>
      <c r="O130" s="226"/>
    </row>
    <row r="131" spans="1:15" x14ac:dyDescent="0.2">
      <c r="A131"/>
      <c r="C131" t="s">
        <v>379</v>
      </c>
      <c r="G131" s="227"/>
      <c r="H131" s="220"/>
      <c r="I131" s="44"/>
      <c r="J131" s="226"/>
      <c r="K131" s="36"/>
      <c r="L131" s="227"/>
      <c r="M131" s="31"/>
      <c r="N131" s="220"/>
      <c r="O131" s="226"/>
    </row>
    <row r="132" spans="1:15" x14ac:dyDescent="0.2">
      <c r="A132"/>
      <c r="C132" t="s">
        <v>380</v>
      </c>
      <c r="G132" s="227"/>
      <c r="H132" s="220"/>
      <c r="I132" s="44"/>
      <c r="J132" s="226"/>
      <c r="K132" s="36"/>
      <c r="L132" s="227"/>
      <c r="M132" s="31"/>
      <c r="N132" s="220"/>
      <c r="O132" s="226"/>
    </row>
    <row r="133" spans="1:15" x14ac:dyDescent="0.2">
      <c r="A133"/>
      <c r="C133" t="s">
        <v>237</v>
      </c>
      <c r="G133" s="227"/>
      <c r="H133" s="220"/>
      <c r="I133" s="44"/>
      <c r="J133" s="226"/>
      <c r="K133" s="36"/>
      <c r="L133" s="227"/>
      <c r="M133" s="31"/>
      <c r="N133" s="220"/>
      <c r="O133" s="226"/>
    </row>
    <row r="134" spans="1:15" x14ac:dyDescent="0.2">
      <c r="A134"/>
      <c r="C134" t="s">
        <v>238</v>
      </c>
      <c r="G134" s="227"/>
      <c r="H134" s="220"/>
      <c r="I134" s="44"/>
      <c r="J134" s="226"/>
      <c r="K134" s="36"/>
      <c r="L134" s="227"/>
      <c r="M134" s="31"/>
      <c r="N134" s="220"/>
      <c r="O134" s="226"/>
    </row>
    <row r="135" spans="1:15" x14ac:dyDescent="0.2">
      <c r="A135"/>
      <c r="C135" t="s">
        <v>271</v>
      </c>
      <c r="G135" s="227"/>
      <c r="H135" s="220"/>
      <c r="I135" s="44"/>
      <c r="J135" s="226"/>
      <c r="K135" s="36"/>
      <c r="L135" s="227"/>
      <c r="M135" s="31"/>
      <c r="N135" s="220"/>
      <c r="O135" s="226"/>
    </row>
    <row r="136" spans="1:15" x14ac:dyDescent="0.2">
      <c r="A136"/>
      <c r="C136" t="s">
        <v>273</v>
      </c>
      <c r="G136" s="227"/>
      <c r="H136" s="220"/>
      <c r="I136" s="44"/>
      <c r="J136" s="226"/>
      <c r="K136" s="36"/>
      <c r="L136" s="227"/>
      <c r="M136" s="31"/>
      <c r="N136" s="220"/>
      <c r="O136" s="226"/>
    </row>
    <row r="137" spans="1:15" x14ac:dyDescent="0.2">
      <c r="A137"/>
      <c r="C137" t="s">
        <v>274</v>
      </c>
      <c r="G137" s="227"/>
      <c r="H137" s="220"/>
      <c r="I137" s="44"/>
      <c r="J137" s="226"/>
      <c r="K137" s="36"/>
      <c r="L137" s="227"/>
      <c r="M137" s="31"/>
      <c r="N137" s="220"/>
      <c r="O137" s="226"/>
    </row>
    <row r="138" spans="1:15" x14ac:dyDescent="0.2">
      <c r="A138"/>
      <c r="C138" t="s">
        <v>381</v>
      </c>
      <c r="G138" s="227"/>
      <c r="H138" s="227"/>
      <c r="I138" s="44"/>
      <c r="J138" s="226"/>
      <c r="K138" s="9"/>
      <c r="L138" s="227"/>
      <c r="M138" s="31"/>
      <c r="N138" s="227"/>
      <c r="O138" s="226"/>
    </row>
    <row r="139" spans="1:15" x14ac:dyDescent="0.2">
      <c r="A139"/>
      <c r="C139" t="s">
        <v>257</v>
      </c>
      <c r="G139" s="227"/>
      <c r="H139" s="227"/>
      <c r="I139" s="44"/>
      <c r="J139" s="220"/>
      <c r="K139" s="9"/>
      <c r="L139" s="227"/>
      <c r="M139" s="31"/>
      <c r="N139" s="227"/>
      <c r="O139" s="220"/>
    </row>
    <row r="140" spans="1:15" x14ac:dyDescent="0.2">
      <c r="A140"/>
      <c r="C140" t="s">
        <v>55</v>
      </c>
      <c r="G140" s="227"/>
      <c r="H140" s="227"/>
      <c r="I140" s="44"/>
      <c r="J140" s="220"/>
      <c r="K140" s="9"/>
      <c r="L140" s="227"/>
      <c r="M140" s="31"/>
      <c r="N140" s="227"/>
      <c r="O140" s="220"/>
    </row>
    <row r="141" spans="1:15" x14ac:dyDescent="0.2">
      <c r="A141"/>
      <c r="C141" t="s">
        <v>389</v>
      </c>
      <c r="G141" s="227"/>
      <c r="H141" s="227"/>
      <c r="I141" s="44"/>
      <c r="J141" s="220"/>
      <c r="K141" s="9"/>
      <c r="L141" s="227"/>
      <c r="M141" s="31"/>
      <c r="N141" s="227"/>
      <c r="O141" s="220"/>
    </row>
    <row r="142" spans="1:15" ht="12" customHeight="1" x14ac:dyDescent="0.2">
      <c r="A142"/>
      <c r="C142" t="s">
        <v>390</v>
      </c>
      <c r="G142" s="230"/>
      <c r="H142" s="230"/>
      <c r="I142" s="44"/>
      <c r="J142" s="220"/>
      <c r="K142" s="9"/>
      <c r="L142" s="230"/>
      <c r="M142" s="31"/>
      <c r="N142" s="230"/>
      <c r="O142" s="220"/>
    </row>
    <row r="143" spans="1:15" ht="17.25" thickBot="1" x14ac:dyDescent="0.4">
      <c r="A143"/>
      <c r="G143" s="71">
        <f>SUM(G124:G142)</f>
        <v>0</v>
      </c>
      <c r="H143" s="75">
        <f>SUM(H124:H142)</f>
        <v>0</v>
      </c>
      <c r="I143" s="44"/>
      <c r="J143" s="76">
        <f>SUM(J124:J142)</f>
        <v>0</v>
      </c>
      <c r="K143" s="9"/>
      <c r="L143" s="71">
        <f>SUM(L124:L142)</f>
        <v>0</v>
      </c>
      <c r="M143" s="84"/>
      <c r="N143" s="75">
        <f>SUM(N124:N142)</f>
        <v>0</v>
      </c>
      <c r="O143" s="76">
        <f>SUM(O124:O142)</f>
        <v>0</v>
      </c>
    </row>
    <row r="144" spans="1:15" ht="17.25" thickTop="1" x14ac:dyDescent="0.25">
      <c r="A144"/>
      <c r="G144" s="125" t="s">
        <v>574</v>
      </c>
      <c r="H144" s="142" t="s">
        <v>575</v>
      </c>
      <c r="I144" s="42"/>
      <c r="J144" s="142" t="s">
        <v>49</v>
      </c>
      <c r="K144"/>
      <c r="L144" s="142" t="s">
        <v>50</v>
      </c>
      <c r="M144"/>
      <c r="N144" s="142" t="s">
        <v>51</v>
      </c>
      <c r="O144" s="144" t="s">
        <v>52</v>
      </c>
    </row>
    <row r="145" spans="1:16" s="123" customFormat="1" ht="15" customHeight="1" x14ac:dyDescent="0.2">
      <c r="G145" s="1076" t="str">
        <f>IF(G143=N110," ","Recheck numbers. Entry is out of balance.")</f>
        <v xml:space="preserve"> </v>
      </c>
      <c r="H145" s="1076" t="str">
        <f>IF(H143=N112," ","Recheck numbers. Entry is out of balance.")</f>
        <v xml:space="preserve"> </v>
      </c>
      <c r="I145" s="143"/>
      <c r="J145" s="1076" t="str">
        <f>IF(J143=N114," ","Recheck numbers. Entry is out of balance.")</f>
        <v xml:space="preserve"> </v>
      </c>
      <c r="L145" s="1076" t="str">
        <f>IF(L143=O110," ","Recheck numbers. Entry is out of balance.")</f>
        <v xml:space="preserve"> </v>
      </c>
      <c r="N145" s="1076" t="str">
        <f>IF(N143=O112," ","Recheck numbers. Entry is out of balance.")</f>
        <v xml:space="preserve"> </v>
      </c>
      <c r="O145" s="1076" t="str">
        <f>IF(O143=O114," ","Recheck numbers. Entry is out of balance.")</f>
        <v xml:space="preserve"> </v>
      </c>
    </row>
    <row r="146" spans="1:16" s="123" customFormat="1" ht="15" customHeight="1" x14ac:dyDescent="0.2">
      <c r="G146" s="1076"/>
      <c r="H146" s="1076"/>
      <c r="I146" s="143"/>
      <c r="J146" s="1076"/>
      <c r="L146" s="1076"/>
      <c r="N146" s="1076"/>
      <c r="O146" s="1076"/>
    </row>
    <row r="147" spans="1:16" s="123" customFormat="1" ht="22.5" customHeight="1" x14ac:dyDescent="0.2">
      <c r="G147" s="1076"/>
      <c r="H147" s="1076"/>
      <c r="I147" s="143"/>
      <c r="J147" s="1076"/>
      <c r="L147" s="1076"/>
      <c r="N147" s="1076"/>
      <c r="O147" s="1076"/>
    </row>
    <row r="148" spans="1:16" s="123" customFormat="1" x14ac:dyDescent="0.2">
      <c r="G148" s="432"/>
      <c r="H148" s="432"/>
      <c r="I148" s="143"/>
      <c r="J148" s="432"/>
      <c r="L148" s="432"/>
      <c r="N148" s="432"/>
      <c r="O148" s="432"/>
    </row>
    <row r="149" spans="1:16" ht="40.5" customHeight="1" x14ac:dyDescent="0.2">
      <c r="A149" s="765" t="s">
        <v>517</v>
      </c>
      <c r="B149" s="974" t="s">
        <v>12</v>
      </c>
      <c r="C149" s="978"/>
      <c r="D149" s="978"/>
      <c r="E149" s="978"/>
      <c r="F149" s="978"/>
      <c r="G149" s="978"/>
      <c r="H149" s="978"/>
      <c r="I149" s="978"/>
      <c r="J149" s="978"/>
      <c r="K149" s="978"/>
      <c r="L149" s="978"/>
      <c r="M149" s="978"/>
      <c r="N149" s="978"/>
      <c r="O149" s="978"/>
      <c r="P149" s="979"/>
    </row>
    <row r="150" spans="1:16" ht="8.25" customHeight="1" x14ac:dyDescent="0.2">
      <c r="J150" s="9"/>
      <c r="K150" s="9"/>
      <c r="L150" s="9"/>
      <c r="M150" s="31"/>
      <c r="N150" s="9"/>
    </row>
    <row r="151" spans="1:16" ht="30" customHeight="1" x14ac:dyDescent="0.2">
      <c r="B151" s="165" t="s">
        <v>649</v>
      </c>
      <c r="C151" s="858" t="s">
        <v>0</v>
      </c>
      <c r="D151" s="858"/>
      <c r="E151" s="858"/>
      <c r="F151" s="858"/>
      <c r="G151" s="858"/>
      <c r="H151" s="858"/>
      <c r="I151" s="858"/>
      <c r="J151" s="858"/>
      <c r="K151" s="858"/>
      <c r="L151" s="858"/>
      <c r="M151" s="31"/>
      <c r="N151" s="227">
        <v>0</v>
      </c>
    </row>
    <row r="152" spans="1:16" ht="4.5" customHeight="1" x14ac:dyDescent="0.2">
      <c r="I152"/>
      <c r="J152"/>
      <c r="K152" s="9"/>
      <c r="L152" s="9"/>
      <c r="M152" s="31"/>
      <c r="N152" s="9"/>
    </row>
    <row r="153" spans="1:16" ht="27" customHeight="1" x14ac:dyDescent="0.2">
      <c r="B153" s="38" t="s">
        <v>650</v>
      </c>
      <c r="C153" s="858" t="s">
        <v>1</v>
      </c>
      <c r="D153" s="858"/>
      <c r="E153" s="858"/>
      <c r="F153" s="858"/>
      <c r="G153" s="858"/>
      <c r="H153" s="858"/>
      <c r="I153" s="858"/>
      <c r="J153" s="858"/>
      <c r="K153" s="858"/>
      <c r="L153" s="858"/>
      <c r="M153" s="31"/>
      <c r="N153" s="227">
        <v>0</v>
      </c>
    </row>
    <row r="154" spans="1:16" ht="4.5" customHeight="1" x14ac:dyDescent="0.2">
      <c r="C154" s="34"/>
      <c r="D154" s="34"/>
      <c r="E154" s="34"/>
      <c r="F154" s="34"/>
      <c r="G154" s="34"/>
      <c r="H154" s="34"/>
      <c r="I154" s="34"/>
      <c r="J154" s="34"/>
      <c r="K154" s="9"/>
      <c r="L154" s="9"/>
      <c r="M154" s="31"/>
      <c r="N154" s="9"/>
    </row>
    <row r="155" spans="1:16" ht="12.75" customHeight="1" thickBot="1" x14ac:dyDescent="0.25">
      <c r="B155" s="38"/>
      <c r="I155"/>
      <c r="J155"/>
      <c r="K155" s="9"/>
      <c r="L155" s="435" t="s">
        <v>2</v>
      </c>
      <c r="M155" s="31"/>
      <c r="N155" s="76">
        <f>N153-N151</f>
        <v>0</v>
      </c>
      <c r="O155" s="124" t="s">
        <v>424</v>
      </c>
    </row>
    <row r="156" spans="1:16" ht="8.25" customHeight="1" thickTop="1" x14ac:dyDescent="0.2">
      <c r="I156"/>
      <c r="J156"/>
      <c r="K156" s="9"/>
      <c r="L156" s="9"/>
      <c r="M156" s="31"/>
      <c r="N156" s="9"/>
    </row>
    <row r="157" spans="1:16" ht="12.75" customHeight="1" x14ac:dyDescent="0.2">
      <c r="B157" s="38" t="s">
        <v>651</v>
      </c>
      <c r="C157" s="859" t="s">
        <v>9</v>
      </c>
      <c r="D157" s="859"/>
      <c r="E157" s="859"/>
      <c r="F157" s="859"/>
      <c r="G157" s="859"/>
      <c r="H157" s="859"/>
      <c r="I157" s="859"/>
      <c r="J157" s="859"/>
      <c r="K157" s="859"/>
      <c r="L157" s="859"/>
      <c r="M157" s="859"/>
      <c r="N157" s="859"/>
      <c r="O157" s="859"/>
      <c r="P157" s="859"/>
    </row>
    <row r="158" spans="1:16" x14ac:dyDescent="0.2">
      <c r="B158" s="38"/>
      <c r="C158" s="859"/>
      <c r="D158" s="859"/>
      <c r="E158" s="859"/>
      <c r="F158" s="859"/>
      <c r="G158" s="859"/>
      <c r="H158" s="859"/>
      <c r="I158" s="859"/>
      <c r="J158" s="859"/>
      <c r="K158" s="859"/>
      <c r="L158" s="859"/>
      <c r="M158" s="859"/>
      <c r="N158" s="859"/>
      <c r="O158" s="859"/>
      <c r="P158" s="859"/>
    </row>
    <row r="159" spans="1:16" ht="14.25" customHeight="1" x14ac:dyDescent="0.2">
      <c r="B159" s="38"/>
      <c r="C159" s="34"/>
      <c r="D159" s="34"/>
      <c r="E159" s="34"/>
      <c r="F159" s="34"/>
      <c r="G159" s="433"/>
      <c r="H159" s="32"/>
      <c r="I159" s="82"/>
      <c r="J159" s="433"/>
      <c r="K159" s="82"/>
      <c r="L159" s="31"/>
      <c r="M159" s="31"/>
      <c r="N159" s="121" t="s">
        <v>215</v>
      </c>
    </row>
    <row r="160" spans="1:16" x14ac:dyDescent="0.2">
      <c r="G160" s="205"/>
      <c r="H160" t="s">
        <v>263</v>
      </c>
      <c r="I160"/>
      <c r="J160"/>
      <c r="K160"/>
      <c r="L160" s="31"/>
      <c r="M160" s="31"/>
      <c r="N160" s="220"/>
      <c r="O160" s="5"/>
    </row>
    <row r="161" spans="7:17" ht="12" customHeight="1" x14ac:dyDescent="0.2">
      <c r="G161" s="205"/>
      <c r="H161" t="s">
        <v>264</v>
      </c>
      <c r="I161"/>
      <c r="J161"/>
      <c r="K161"/>
      <c r="L161" s="31"/>
      <c r="M161" s="31"/>
      <c r="N161" s="220"/>
      <c r="O161" s="5"/>
    </row>
    <row r="162" spans="7:17" ht="12" customHeight="1" x14ac:dyDescent="0.2">
      <c r="G162" s="205"/>
      <c r="H162" t="s">
        <v>265</v>
      </c>
      <c r="I162"/>
      <c r="J162"/>
      <c r="K162"/>
      <c r="L162" s="31"/>
      <c r="M162" s="31"/>
      <c r="N162" s="220"/>
      <c r="O162" s="5"/>
    </row>
    <row r="163" spans="7:17" ht="12" customHeight="1" x14ac:dyDescent="0.2">
      <c r="G163" s="205"/>
      <c r="H163" t="s">
        <v>266</v>
      </c>
      <c r="I163"/>
      <c r="J163"/>
      <c r="K163"/>
      <c r="L163" s="31"/>
      <c r="M163" s="31"/>
      <c r="N163" s="220"/>
      <c r="O163" s="5"/>
    </row>
    <row r="164" spans="7:17" ht="12" customHeight="1" x14ac:dyDescent="0.2">
      <c r="G164" s="205"/>
      <c r="H164" t="s">
        <v>267</v>
      </c>
      <c r="I164"/>
      <c r="J164"/>
      <c r="K164"/>
      <c r="L164" s="31"/>
      <c r="M164" s="31"/>
      <c r="N164" s="220"/>
      <c r="O164" s="5"/>
    </row>
    <row r="165" spans="7:17" ht="12" customHeight="1" x14ac:dyDescent="0.2">
      <c r="G165" s="205"/>
      <c r="H165" t="s">
        <v>268</v>
      </c>
      <c r="I165"/>
      <c r="J165"/>
      <c r="K165"/>
      <c r="L165" s="31"/>
      <c r="M165" s="31"/>
      <c r="N165" s="220"/>
      <c r="O165" s="5"/>
    </row>
    <row r="166" spans="7:17" ht="12" customHeight="1" x14ac:dyDescent="0.2">
      <c r="G166" s="205"/>
      <c r="H166" t="s">
        <v>269</v>
      </c>
      <c r="I166"/>
      <c r="J166"/>
      <c r="K166"/>
      <c r="L166" s="31"/>
      <c r="M166" s="31"/>
      <c r="N166" s="220"/>
      <c r="O166" s="5"/>
    </row>
    <row r="167" spans="7:17" ht="12" customHeight="1" x14ac:dyDescent="0.2">
      <c r="G167" s="205"/>
      <c r="H167" t="s">
        <v>379</v>
      </c>
      <c r="I167"/>
      <c r="J167"/>
      <c r="K167"/>
      <c r="L167" s="31"/>
      <c r="M167" s="31"/>
      <c r="N167" s="220"/>
      <c r="O167" s="5"/>
    </row>
    <row r="168" spans="7:17" ht="12" customHeight="1" x14ac:dyDescent="0.2">
      <c r="G168" s="205"/>
      <c r="H168" t="s">
        <v>380</v>
      </c>
      <c r="I168"/>
      <c r="J168"/>
      <c r="K168"/>
      <c r="L168" s="31"/>
      <c r="M168" s="31"/>
      <c r="N168" s="220"/>
      <c r="O168" s="5"/>
    </row>
    <row r="169" spans="7:17" ht="12" customHeight="1" x14ac:dyDescent="0.2">
      <c r="G169" s="205"/>
      <c r="H169" t="s">
        <v>237</v>
      </c>
      <c r="I169"/>
      <c r="J169"/>
      <c r="K169"/>
      <c r="L169" s="31"/>
      <c r="M169" s="31"/>
      <c r="N169" s="220"/>
      <c r="O169" s="5"/>
    </row>
    <row r="170" spans="7:17" x14ac:dyDescent="0.2">
      <c r="G170" s="205"/>
      <c r="H170" t="s">
        <v>238</v>
      </c>
      <c r="I170"/>
      <c r="J170"/>
      <c r="K170"/>
      <c r="L170" s="31"/>
      <c r="M170" s="31"/>
      <c r="N170" s="220"/>
      <c r="O170" s="5"/>
    </row>
    <row r="171" spans="7:17" x14ac:dyDescent="0.2">
      <c r="G171" s="205"/>
      <c r="H171" t="s">
        <v>271</v>
      </c>
      <c r="I171"/>
      <c r="J171"/>
      <c r="K171"/>
      <c r="L171" s="31"/>
      <c r="M171" s="31"/>
      <c r="N171" s="220"/>
      <c r="O171" s="5"/>
    </row>
    <row r="172" spans="7:17" x14ac:dyDescent="0.2">
      <c r="G172" s="205"/>
      <c r="H172" t="s">
        <v>273</v>
      </c>
      <c r="I172"/>
      <c r="J172"/>
      <c r="K172"/>
      <c r="L172" s="31"/>
      <c r="M172" s="31"/>
      <c r="N172" s="220"/>
    </row>
    <row r="173" spans="7:17" x14ac:dyDescent="0.2">
      <c r="G173" s="205"/>
      <c r="H173" t="s">
        <v>274</v>
      </c>
      <c r="I173"/>
      <c r="J173"/>
      <c r="K173"/>
      <c r="L173" s="31"/>
      <c r="M173" s="31"/>
      <c r="N173" s="220"/>
      <c r="O173" s="431"/>
    </row>
    <row r="174" spans="7:17" ht="12.75" customHeight="1" x14ac:dyDescent="0.2">
      <c r="G174" s="205"/>
      <c r="H174" t="s">
        <v>381</v>
      </c>
      <c r="I174"/>
      <c r="J174"/>
      <c r="K174"/>
      <c r="L174" s="31"/>
      <c r="M174" s="31"/>
      <c r="N174" s="220"/>
      <c r="O174" s="1078" t="str">
        <f>IF(N177=N155," ","Recheck numbers for step 4. Entry is out of balance.")</f>
        <v xml:space="preserve"> </v>
      </c>
      <c r="P174" s="1078"/>
      <c r="Q174" s="1078"/>
    </row>
    <row r="175" spans="7:17" ht="12.75" customHeight="1" x14ac:dyDescent="0.2">
      <c r="G175" s="205"/>
      <c r="H175" t="s">
        <v>257</v>
      </c>
      <c r="I175"/>
      <c r="J175"/>
      <c r="K175"/>
      <c r="L175" s="434"/>
      <c r="M175" s="31"/>
      <c r="N175" s="220"/>
      <c r="O175" s="1078"/>
      <c r="P175" s="1078"/>
      <c r="Q175" s="1078"/>
    </row>
    <row r="176" spans="7:17" ht="12.75" customHeight="1" x14ac:dyDescent="0.2">
      <c r="G176" s="205"/>
      <c r="H176" t="s">
        <v>55</v>
      </c>
      <c r="I176"/>
      <c r="J176"/>
      <c r="K176"/>
      <c r="L176" s="434"/>
      <c r="M176" s="31"/>
      <c r="N176" s="220"/>
      <c r="O176" s="1078"/>
      <c r="P176" s="1078"/>
      <c r="Q176" s="1078"/>
    </row>
    <row r="177" spans="1:15" ht="18" customHeight="1" thickBot="1" x14ac:dyDescent="0.4">
      <c r="F177" s="125"/>
      <c r="G177" s="44"/>
      <c r="I177"/>
      <c r="J177"/>
      <c r="L177" s="125" t="s">
        <v>424</v>
      </c>
      <c r="M177" s="84"/>
      <c r="N177" s="62">
        <f>SUM(N160:N176)</f>
        <v>0</v>
      </c>
    </row>
    <row r="178" spans="1:15" s="454" customFormat="1" ht="18" customHeight="1" thickTop="1" x14ac:dyDescent="0.35">
      <c r="A178" s="455"/>
      <c r="F178" s="460"/>
      <c r="G178" s="44"/>
      <c r="K178" s="1"/>
      <c r="L178" s="460"/>
      <c r="M178" s="84"/>
      <c r="N178" s="44"/>
    </row>
    <row r="179" spans="1:15" s="454" customFormat="1" ht="17.25" x14ac:dyDescent="0.35">
      <c r="A179" s="455"/>
      <c r="F179" s="460"/>
      <c r="G179" s="44"/>
      <c r="K179" s="1"/>
      <c r="L179" s="460"/>
      <c r="M179" s="84"/>
      <c r="N179" s="44"/>
    </row>
    <row r="180" spans="1:15" s="454" customFormat="1" ht="21" customHeight="1" x14ac:dyDescent="0.2">
      <c r="A180" s="785" t="s">
        <v>522</v>
      </c>
      <c r="B180" s="971" t="s">
        <v>1074</v>
      </c>
      <c r="C180" s="972"/>
      <c r="D180" s="972"/>
      <c r="E180" s="972"/>
      <c r="F180" s="972"/>
      <c r="G180" s="972"/>
      <c r="H180" s="972"/>
      <c r="I180" s="972"/>
      <c r="J180" s="972"/>
      <c r="K180" s="972"/>
      <c r="L180" s="972"/>
      <c r="M180" s="1079"/>
      <c r="N180" s="972"/>
      <c r="O180" s="973"/>
    </row>
    <row r="181" spans="1:15" s="454" customFormat="1" x14ac:dyDescent="0.2">
      <c r="A181" s="447"/>
      <c r="B181" s="447"/>
      <c r="C181" s="447"/>
      <c r="D181" s="447"/>
      <c r="E181" s="447"/>
      <c r="F181" s="447"/>
      <c r="G181" s="459"/>
      <c r="H181" s="459"/>
      <c r="I181" s="467"/>
      <c r="J181" s="459"/>
      <c r="K181" s="447"/>
      <c r="L181" s="459"/>
      <c r="M181" s="447"/>
      <c r="N181" s="459"/>
      <c r="O181" s="459"/>
    </row>
    <row r="182" spans="1:15" s="454" customFormat="1" ht="27" customHeight="1" x14ac:dyDescent="0.2">
      <c r="A182" s="447"/>
      <c r="B182" s="38" t="s">
        <v>649</v>
      </c>
      <c r="C182" s="970" t="s">
        <v>1109</v>
      </c>
      <c r="D182" s="858"/>
      <c r="E182" s="858"/>
      <c r="F182" s="858"/>
      <c r="G182" s="858"/>
      <c r="H182" s="858"/>
      <c r="I182" s="467"/>
      <c r="J182" s="459"/>
      <c r="K182" s="447"/>
      <c r="L182" s="461">
        <v>0</v>
      </c>
      <c r="M182" s="447"/>
      <c r="N182" s="459"/>
      <c r="O182" s="459"/>
    </row>
    <row r="183" spans="1:15" s="454" customFormat="1" x14ac:dyDescent="0.2">
      <c r="A183" s="447"/>
      <c r="B183" s="38"/>
      <c r="C183" s="447"/>
      <c r="D183" s="447"/>
      <c r="E183" s="447"/>
      <c r="F183" s="447"/>
      <c r="G183" s="459"/>
      <c r="H183" s="459"/>
      <c r="I183" s="467"/>
      <c r="J183" s="459"/>
      <c r="K183" s="447"/>
      <c r="L183" s="475"/>
      <c r="M183" s="447"/>
      <c r="N183" s="459"/>
      <c r="O183" s="459"/>
    </row>
    <row r="184" spans="1:15" s="454" customFormat="1" x14ac:dyDescent="0.2">
      <c r="A184" s="447"/>
      <c r="B184" s="38" t="s">
        <v>650</v>
      </c>
      <c r="C184" s="447" t="s">
        <v>1081</v>
      </c>
      <c r="D184" s="447"/>
      <c r="E184" s="447"/>
      <c r="F184" s="447"/>
      <c r="G184" s="484"/>
      <c r="H184" s="484"/>
      <c r="I184" s="467"/>
      <c r="J184" s="484"/>
      <c r="K184" s="447"/>
      <c r="L184" s="480"/>
      <c r="M184" s="447"/>
      <c r="N184" s="480"/>
      <c r="O184" s="459"/>
    </row>
    <row r="185" spans="1:15" s="478" customFormat="1" x14ac:dyDescent="0.2">
      <c r="A185" s="447"/>
      <c r="B185" s="38"/>
      <c r="C185" s="447"/>
      <c r="D185" s="447"/>
      <c r="E185" s="447"/>
      <c r="F185" s="447"/>
      <c r="G185" s="484"/>
      <c r="H185" s="484"/>
      <c r="I185" s="467"/>
      <c r="J185" s="484"/>
      <c r="K185" s="447"/>
      <c r="L185" s="480"/>
      <c r="M185" s="447"/>
      <c r="N185" s="480"/>
      <c r="O185" s="484"/>
    </row>
    <row r="186" spans="1:15" s="478" customFormat="1" x14ac:dyDescent="0.2">
      <c r="A186" s="447"/>
      <c r="B186" s="38"/>
      <c r="C186" s="469" t="s">
        <v>1082</v>
      </c>
      <c r="D186" s="447"/>
      <c r="E186" s="447"/>
      <c r="F186" s="447"/>
      <c r="G186" s="484"/>
      <c r="H186" s="484"/>
      <c r="I186" s="467"/>
      <c r="J186" s="484"/>
      <c r="K186" s="447"/>
      <c r="L186" s="843">
        <v>0.8</v>
      </c>
      <c r="M186" s="469"/>
      <c r="N186" s="480"/>
      <c r="O186" s="484"/>
    </row>
    <row r="187" spans="1:15" s="478" customFormat="1" x14ac:dyDescent="0.2">
      <c r="A187" s="447"/>
      <c r="B187" s="38"/>
      <c r="C187" s="469" t="s">
        <v>1083</v>
      </c>
      <c r="D187" s="447"/>
      <c r="E187" s="447"/>
      <c r="F187" s="447"/>
      <c r="G187" s="484"/>
      <c r="H187" s="484"/>
      <c r="I187" s="467"/>
      <c r="J187" s="484"/>
      <c r="K187" s="447"/>
      <c r="L187" s="843">
        <v>0.2</v>
      </c>
      <c r="M187" s="469"/>
      <c r="N187" s="480"/>
      <c r="O187" s="484"/>
    </row>
    <row r="188" spans="1:15" s="478" customFormat="1" x14ac:dyDescent="0.2">
      <c r="A188" s="447"/>
      <c r="B188" s="38"/>
      <c r="C188" s="487" t="s">
        <v>1084</v>
      </c>
      <c r="D188" s="447"/>
      <c r="E188" s="447"/>
      <c r="F188" s="447"/>
      <c r="G188" s="484"/>
      <c r="H188" s="484"/>
      <c r="I188" s="467"/>
      <c r="J188" s="484"/>
      <c r="K188" s="447"/>
      <c r="L188" s="486">
        <f>SUM(L186:L187)</f>
        <v>1</v>
      </c>
      <c r="M188" s="469" t="str">
        <f>IF(L188=1,"=100%","DOES NOT EQUAL 100%!!!")</f>
        <v>=100%</v>
      </c>
      <c r="N188" s="480"/>
      <c r="O188" s="484"/>
    </row>
    <row r="189" spans="1:15" s="454" customFormat="1" x14ac:dyDescent="0.2">
      <c r="A189" s="447"/>
      <c r="B189" s="38"/>
      <c r="C189" s="488"/>
      <c r="D189" s="469"/>
      <c r="E189" s="469"/>
      <c r="F189" s="447"/>
      <c r="G189" s="484"/>
      <c r="H189" s="484"/>
      <c r="I189" s="467"/>
      <c r="J189" s="484"/>
      <c r="K189" s="447"/>
      <c r="L189" s="480"/>
      <c r="M189" s="447"/>
      <c r="N189" s="480"/>
      <c r="O189" s="459"/>
    </row>
    <row r="190" spans="1:15" s="478" customFormat="1" x14ac:dyDescent="0.2">
      <c r="A190" s="447"/>
      <c r="B190" s="38"/>
      <c r="C190" s="828" t="s">
        <v>1110</v>
      </c>
      <c r="D190" s="469"/>
      <c r="E190" s="469"/>
      <c r="F190" s="447"/>
      <c r="G190" s="484"/>
      <c r="H190" s="484"/>
      <c r="I190" s="467"/>
      <c r="J190" s="484"/>
      <c r="K190" s="447"/>
      <c r="L190" s="480"/>
      <c r="M190" s="447"/>
      <c r="N190" s="480"/>
      <c r="O190" s="484"/>
    </row>
    <row r="191" spans="1:15" s="478" customFormat="1" x14ac:dyDescent="0.2">
      <c r="A191" s="447"/>
      <c r="B191" s="38"/>
      <c r="C191" s="476" t="s">
        <v>263</v>
      </c>
      <c r="D191" s="447"/>
      <c r="E191" s="447"/>
      <c r="F191" s="447"/>
      <c r="G191" s="484"/>
      <c r="H191" s="484"/>
      <c r="I191" s="467"/>
      <c r="J191" s="484"/>
      <c r="K191" s="447"/>
      <c r="L191" s="843">
        <v>0.4</v>
      </c>
      <c r="M191" s="469"/>
      <c r="N191" s="480"/>
      <c r="O191" s="484"/>
    </row>
    <row r="192" spans="1:15" s="478" customFormat="1" x14ac:dyDescent="0.2">
      <c r="A192" s="447"/>
      <c r="B192" s="38"/>
      <c r="C192" s="476" t="s">
        <v>264</v>
      </c>
      <c r="D192" s="447"/>
      <c r="E192" s="447"/>
      <c r="F192" s="447"/>
      <c r="G192" s="484"/>
      <c r="H192" s="484"/>
      <c r="I192" s="467"/>
      <c r="J192" s="484"/>
      <c r="K192" s="447"/>
      <c r="L192" s="843">
        <v>0</v>
      </c>
      <c r="M192" s="469"/>
      <c r="N192" s="480"/>
      <c r="O192" s="484"/>
    </row>
    <row r="193" spans="1:15" s="478" customFormat="1" x14ac:dyDescent="0.2">
      <c r="A193" s="447"/>
      <c r="B193" s="38"/>
      <c r="C193" s="476" t="s">
        <v>265</v>
      </c>
      <c r="D193" s="447"/>
      <c r="E193" s="447"/>
      <c r="F193" s="447"/>
      <c r="G193" s="484"/>
      <c r="H193" s="484"/>
      <c r="I193" s="467"/>
      <c r="J193" s="484"/>
      <c r="K193" s="447"/>
      <c r="L193" s="843">
        <v>0</v>
      </c>
      <c r="M193" s="469"/>
      <c r="N193" s="480"/>
      <c r="O193" s="484"/>
    </row>
    <row r="194" spans="1:15" s="478" customFormat="1" x14ac:dyDescent="0.2">
      <c r="A194" s="447"/>
      <c r="B194" s="38"/>
      <c r="C194" s="476" t="s">
        <v>266</v>
      </c>
      <c r="D194" s="447"/>
      <c r="E194" s="447"/>
      <c r="F194" s="447"/>
      <c r="G194" s="484"/>
      <c r="H194" s="484"/>
      <c r="I194" s="467"/>
      <c r="J194" s="484"/>
      <c r="K194" s="447"/>
      <c r="L194" s="843">
        <v>0</v>
      </c>
      <c r="M194" s="469"/>
      <c r="N194" s="480"/>
      <c r="O194" s="484"/>
    </row>
    <row r="195" spans="1:15" s="478" customFormat="1" x14ac:dyDescent="0.2">
      <c r="A195" s="447"/>
      <c r="B195" s="38"/>
      <c r="C195" s="476" t="s">
        <v>267</v>
      </c>
      <c r="D195" s="447"/>
      <c r="E195" s="447"/>
      <c r="F195" s="447"/>
      <c r="G195" s="484"/>
      <c r="H195" s="484"/>
      <c r="I195" s="467"/>
      <c r="J195" s="484"/>
      <c r="K195" s="447"/>
      <c r="L195" s="843">
        <v>0</v>
      </c>
      <c r="M195" s="469"/>
      <c r="N195" s="480"/>
      <c r="O195" s="484"/>
    </row>
    <row r="196" spans="1:15" s="478" customFormat="1" x14ac:dyDescent="0.2">
      <c r="A196" s="447"/>
      <c r="B196" s="38"/>
      <c r="C196" s="476" t="s">
        <v>268</v>
      </c>
      <c r="D196" s="447"/>
      <c r="E196" s="447"/>
      <c r="F196" s="447"/>
      <c r="G196" s="484"/>
      <c r="H196" s="484"/>
      <c r="I196" s="467"/>
      <c r="J196" s="484"/>
      <c r="K196" s="447"/>
      <c r="L196" s="843">
        <v>0</v>
      </c>
      <c r="M196" s="469"/>
      <c r="N196" s="480"/>
      <c r="O196" s="484"/>
    </row>
    <row r="197" spans="1:15" s="478" customFormat="1" x14ac:dyDescent="0.2">
      <c r="A197" s="447"/>
      <c r="B197" s="38"/>
      <c r="C197" s="476" t="s">
        <v>269</v>
      </c>
      <c r="D197" s="447"/>
      <c r="E197" s="447"/>
      <c r="F197" s="447"/>
      <c r="G197" s="484"/>
      <c r="H197" s="484"/>
      <c r="I197" s="467"/>
      <c r="J197" s="484"/>
      <c r="K197" s="447"/>
      <c r="L197" s="843">
        <v>0.4</v>
      </c>
      <c r="M197" s="469"/>
      <c r="N197" s="480"/>
      <c r="O197" s="484"/>
    </row>
    <row r="198" spans="1:15" s="478" customFormat="1" x14ac:dyDescent="0.2">
      <c r="A198" s="447"/>
      <c r="B198" s="38"/>
      <c r="C198" s="476" t="s">
        <v>379</v>
      </c>
      <c r="D198" s="447"/>
      <c r="E198" s="447"/>
      <c r="F198" s="447"/>
      <c r="G198" s="484"/>
      <c r="H198" s="484"/>
      <c r="I198" s="467"/>
      <c r="J198" s="484"/>
      <c r="K198" s="447"/>
      <c r="L198" s="843">
        <v>0</v>
      </c>
      <c r="M198" s="469"/>
      <c r="N198" s="480"/>
      <c r="O198" s="484"/>
    </row>
    <row r="199" spans="1:15" s="478" customFormat="1" x14ac:dyDescent="0.2">
      <c r="A199" s="447"/>
      <c r="B199" s="38"/>
      <c r="C199" s="476" t="s">
        <v>380</v>
      </c>
      <c r="D199" s="447"/>
      <c r="E199" s="447"/>
      <c r="F199" s="447"/>
      <c r="G199" s="484"/>
      <c r="H199" s="484"/>
      <c r="I199" s="467"/>
      <c r="J199" s="484"/>
      <c r="K199" s="447"/>
      <c r="L199" s="843">
        <v>0</v>
      </c>
      <c r="M199" s="469"/>
      <c r="N199" s="480"/>
      <c r="O199" s="484"/>
    </row>
    <row r="200" spans="1:15" s="478" customFormat="1" x14ac:dyDescent="0.2">
      <c r="A200" s="447"/>
      <c r="B200" s="38"/>
      <c r="C200" s="476" t="s">
        <v>237</v>
      </c>
      <c r="D200" s="447"/>
      <c r="E200" s="447"/>
      <c r="F200" s="447"/>
      <c r="G200" s="484"/>
      <c r="H200" s="484"/>
      <c r="I200" s="467"/>
      <c r="J200" s="484"/>
      <c r="K200" s="447"/>
      <c r="L200" s="843">
        <v>0</v>
      </c>
      <c r="M200" s="469"/>
      <c r="N200" s="480"/>
      <c r="O200" s="484"/>
    </row>
    <row r="201" spans="1:15" s="478" customFormat="1" x14ac:dyDescent="0.2">
      <c r="A201" s="447"/>
      <c r="B201" s="38"/>
      <c r="C201" s="476" t="s">
        <v>238</v>
      </c>
      <c r="D201" s="447"/>
      <c r="E201" s="447"/>
      <c r="F201" s="447"/>
      <c r="G201" s="484"/>
      <c r="H201" s="484"/>
      <c r="I201" s="467"/>
      <c r="J201" s="484"/>
      <c r="K201" s="447"/>
      <c r="L201" s="843">
        <v>0</v>
      </c>
      <c r="M201" s="469"/>
      <c r="N201" s="480"/>
      <c r="O201" s="484"/>
    </row>
    <row r="202" spans="1:15" s="478" customFormat="1" x14ac:dyDescent="0.2">
      <c r="A202" s="447"/>
      <c r="B202" s="38"/>
      <c r="C202" s="476" t="s">
        <v>271</v>
      </c>
      <c r="D202" s="447"/>
      <c r="E202" s="447"/>
      <c r="F202" s="447"/>
      <c r="G202" s="484"/>
      <c r="H202" s="484"/>
      <c r="I202" s="467"/>
      <c r="J202" s="484"/>
      <c r="K202" s="447"/>
      <c r="L202" s="843">
        <v>0</v>
      </c>
      <c r="M202" s="469"/>
      <c r="N202" s="480"/>
      <c r="O202" s="484"/>
    </row>
    <row r="203" spans="1:15" s="478" customFormat="1" x14ac:dyDescent="0.2">
      <c r="A203" s="447"/>
      <c r="B203" s="38"/>
      <c r="C203" s="476" t="s">
        <v>273</v>
      </c>
      <c r="D203" s="447"/>
      <c r="E203" s="447"/>
      <c r="F203" s="447"/>
      <c r="G203" s="484"/>
      <c r="H203" s="484"/>
      <c r="I203" s="467"/>
      <c r="J203" s="484"/>
      <c r="K203" s="447"/>
      <c r="L203" s="843">
        <v>0</v>
      </c>
      <c r="M203" s="469"/>
      <c r="N203" s="480"/>
      <c r="O203" s="484"/>
    </row>
    <row r="204" spans="1:15" s="478" customFormat="1" x14ac:dyDescent="0.2">
      <c r="A204" s="447"/>
      <c r="B204" s="38"/>
      <c r="C204" s="476" t="s">
        <v>274</v>
      </c>
      <c r="D204" s="447"/>
      <c r="E204" s="447"/>
      <c r="F204" s="447"/>
      <c r="G204" s="484"/>
      <c r="H204" s="484"/>
      <c r="I204" s="467"/>
      <c r="J204" s="484"/>
      <c r="K204" s="447"/>
      <c r="L204" s="843">
        <v>0</v>
      </c>
      <c r="M204" s="469"/>
      <c r="N204" s="480"/>
      <c r="O204" s="484"/>
    </row>
    <row r="205" spans="1:15" s="478" customFormat="1" x14ac:dyDescent="0.2">
      <c r="A205" s="447"/>
      <c r="B205" s="38"/>
      <c r="C205" s="476" t="s">
        <v>381</v>
      </c>
      <c r="D205" s="447"/>
      <c r="E205" s="447"/>
      <c r="F205" s="447"/>
      <c r="G205" s="484"/>
      <c r="H205" s="484"/>
      <c r="I205" s="467"/>
      <c r="J205" s="484"/>
      <c r="K205" s="447"/>
      <c r="L205" s="843">
        <v>0</v>
      </c>
      <c r="M205" s="469"/>
      <c r="N205" s="480"/>
      <c r="O205" s="484"/>
    </row>
    <row r="206" spans="1:15" s="478" customFormat="1" x14ac:dyDescent="0.2">
      <c r="A206" s="447"/>
      <c r="B206" s="38"/>
      <c r="C206" s="476" t="s">
        <v>257</v>
      </c>
      <c r="D206" s="447"/>
      <c r="E206" s="447"/>
      <c r="F206" s="447"/>
      <c r="G206" s="484"/>
      <c r="H206" s="484"/>
      <c r="I206" s="467"/>
      <c r="J206" s="484"/>
      <c r="K206" s="447"/>
      <c r="L206" s="843">
        <v>0</v>
      </c>
      <c r="M206" s="469"/>
      <c r="N206" s="480"/>
      <c r="O206" s="484"/>
    </row>
    <row r="207" spans="1:15" s="478" customFormat="1" x14ac:dyDescent="0.2">
      <c r="A207" s="447"/>
      <c r="B207" s="38"/>
      <c r="C207" s="476" t="s">
        <v>55</v>
      </c>
      <c r="D207" s="447"/>
      <c r="E207" s="447"/>
      <c r="F207" s="447"/>
      <c r="G207" s="484"/>
      <c r="H207" s="484"/>
      <c r="I207" s="467"/>
      <c r="J207" s="484"/>
      <c r="K207" s="447"/>
      <c r="L207" s="843">
        <v>0</v>
      </c>
      <c r="M207" s="469"/>
      <c r="N207" s="480"/>
      <c r="O207" s="484"/>
    </row>
    <row r="208" spans="1:15" s="478" customFormat="1" x14ac:dyDescent="0.2">
      <c r="A208" s="447"/>
      <c r="B208" s="38"/>
      <c r="C208" s="487" t="s">
        <v>1086</v>
      </c>
      <c r="D208" s="447"/>
      <c r="E208" s="447"/>
      <c r="F208" s="447"/>
      <c r="G208" s="484"/>
      <c r="H208" s="484"/>
      <c r="I208" s="467"/>
      <c r="J208" s="484"/>
      <c r="K208" s="447"/>
      <c r="L208" s="486">
        <f>SUM(L191:L207)</f>
        <v>0.8</v>
      </c>
      <c r="M208" s="447"/>
      <c r="N208" s="522" t="str">
        <f>IF(L208=L186,"Equals Governmental Fund","DOES NOT EQUAL Governmental Fund!!!")</f>
        <v>Equals Governmental Fund</v>
      </c>
      <c r="O208" s="484"/>
    </row>
    <row r="209" spans="1:15" s="478" customFormat="1" x14ac:dyDescent="0.2">
      <c r="A209" s="447"/>
      <c r="B209" s="38"/>
      <c r="C209" s="447"/>
      <c r="D209" s="447"/>
      <c r="E209" s="447"/>
      <c r="F209" s="447"/>
      <c r="G209" s="484"/>
      <c r="H209" s="484"/>
      <c r="I209" s="467"/>
      <c r="J209" s="484"/>
      <c r="K209" s="447"/>
      <c r="L209" s="484"/>
      <c r="M209" s="447"/>
      <c r="N209" s="484"/>
      <c r="O209" s="484"/>
    </row>
    <row r="210" spans="1:15" s="478" customFormat="1" x14ac:dyDescent="0.2">
      <c r="A210" s="447"/>
      <c r="B210" s="38"/>
      <c r="C210" s="447"/>
      <c r="D210" s="447"/>
      <c r="E210" s="447"/>
      <c r="F210" s="447"/>
      <c r="G210" s="484"/>
      <c r="H210" s="484"/>
      <c r="I210" s="467"/>
      <c r="J210" s="484"/>
      <c r="K210" s="447"/>
      <c r="L210" s="484"/>
      <c r="M210" s="447"/>
      <c r="N210" s="484"/>
      <c r="O210" s="484"/>
    </row>
    <row r="211" spans="1:15" s="478" customFormat="1" x14ac:dyDescent="0.2">
      <c r="A211" s="447"/>
      <c r="B211" s="38" t="s">
        <v>651</v>
      </c>
      <c r="C211" s="1080" t="s">
        <v>1087</v>
      </c>
      <c r="D211" s="1080"/>
      <c r="E211" s="1080"/>
      <c r="F211" s="1080"/>
      <c r="G211" s="1080"/>
      <c r="H211" s="1080"/>
      <c r="I211" s="1080"/>
      <c r="J211" s="1080"/>
      <c r="K211" s="447"/>
      <c r="L211" s="8"/>
      <c r="M211" s="447"/>
      <c r="N211" s="484"/>
      <c r="O211" s="484"/>
    </row>
    <row r="212" spans="1:15" s="478" customFormat="1" x14ac:dyDescent="0.2">
      <c r="A212" s="447"/>
      <c r="B212" s="38"/>
      <c r="C212" s="485"/>
      <c r="D212" s="485"/>
      <c r="E212" s="485"/>
      <c r="F212" s="485"/>
      <c r="G212" s="485"/>
      <c r="H212" s="485"/>
      <c r="I212" s="485"/>
      <c r="J212" s="485"/>
      <c r="K212" s="447"/>
      <c r="L212" s="8"/>
      <c r="M212" s="447"/>
      <c r="N212" s="484"/>
      <c r="O212" s="484"/>
    </row>
    <row r="213" spans="1:15" s="478" customFormat="1" x14ac:dyDescent="0.2">
      <c r="A213" s="447"/>
      <c r="B213" s="38"/>
      <c r="C213" s="476" t="s">
        <v>263</v>
      </c>
      <c r="D213" s="485"/>
      <c r="E213" s="485"/>
      <c r="F213" s="485"/>
      <c r="G213" s="485"/>
      <c r="H213" s="485"/>
      <c r="I213" s="485"/>
      <c r="J213" s="485"/>
      <c r="K213" s="447"/>
      <c r="L213" s="479">
        <f>$L$182*L191</f>
        <v>0</v>
      </c>
      <c r="M213" s="447"/>
      <c r="N213" s="484"/>
      <c r="O213" s="484"/>
    </row>
    <row r="214" spans="1:15" s="478" customFormat="1" x14ac:dyDescent="0.2">
      <c r="A214" s="447"/>
      <c r="B214" s="38"/>
      <c r="C214" s="476" t="s">
        <v>264</v>
      </c>
      <c r="D214" s="485"/>
      <c r="E214" s="485"/>
      <c r="F214" s="485"/>
      <c r="G214" s="485"/>
      <c r="H214" s="485"/>
      <c r="I214" s="485"/>
      <c r="J214" s="485"/>
      <c r="K214" s="447"/>
      <c r="L214" s="479">
        <f t="shared" ref="L214:L229" si="3">$L$182*L192</f>
        <v>0</v>
      </c>
      <c r="M214" s="447"/>
      <c r="N214" s="484"/>
      <c r="O214" s="484"/>
    </row>
    <row r="215" spans="1:15" s="478" customFormat="1" x14ac:dyDescent="0.2">
      <c r="A215" s="447"/>
      <c r="B215" s="38"/>
      <c r="C215" s="476" t="s">
        <v>265</v>
      </c>
      <c r="D215" s="485"/>
      <c r="E215" s="485"/>
      <c r="F215" s="485"/>
      <c r="G215" s="485"/>
      <c r="H215" s="485"/>
      <c r="I215" s="485"/>
      <c r="J215" s="485"/>
      <c r="K215" s="447"/>
      <c r="L215" s="479">
        <f t="shared" si="3"/>
        <v>0</v>
      </c>
      <c r="M215" s="447"/>
      <c r="N215" s="484"/>
      <c r="O215" s="484"/>
    </row>
    <row r="216" spans="1:15" s="478" customFormat="1" x14ac:dyDescent="0.2">
      <c r="A216" s="447"/>
      <c r="B216" s="38"/>
      <c r="C216" s="476" t="s">
        <v>266</v>
      </c>
      <c r="D216" s="485"/>
      <c r="E216" s="485"/>
      <c r="F216" s="485"/>
      <c r="G216" s="485"/>
      <c r="H216" s="485"/>
      <c r="I216" s="485"/>
      <c r="J216" s="485"/>
      <c r="K216" s="447"/>
      <c r="L216" s="479">
        <f t="shared" si="3"/>
        <v>0</v>
      </c>
      <c r="M216" s="447"/>
      <c r="N216" s="484"/>
      <c r="O216" s="484"/>
    </row>
    <row r="217" spans="1:15" s="478" customFormat="1" x14ac:dyDescent="0.2">
      <c r="A217" s="447"/>
      <c r="B217" s="38"/>
      <c r="C217" s="476" t="s">
        <v>267</v>
      </c>
      <c r="D217" s="485"/>
      <c r="E217" s="485"/>
      <c r="F217" s="485"/>
      <c r="G217" s="485"/>
      <c r="H217" s="485"/>
      <c r="I217" s="485"/>
      <c r="J217" s="485"/>
      <c r="K217" s="447"/>
      <c r="L217" s="479">
        <f t="shared" si="3"/>
        <v>0</v>
      </c>
      <c r="M217" s="447"/>
      <c r="N217" s="484"/>
      <c r="O217" s="484"/>
    </row>
    <row r="218" spans="1:15" s="478" customFormat="1" x14ac:dyDescent="0.2">
      <c r="A218" s="447"/>
      <c r="B218" s="38"/>
      <c r="C218" s="476" t="s">
        <v>268</v>
      </c>
      <c r="D218" s="485"/>
      <c r="E218" s="485"/>
      <c r="F218" s="485"/>
      <c r="G218" s="485"/>
      <c r="H218" s="485"/>
      <c r="I218" s="485"/>
      <c r="J218" s="485"/>
      <c r="K218" s="447"/>
      <c r="L218" s="479">
        <f t="shared" si="3"/>
        <v>0</v>
      </c>
      <c r="M218" s="447"/>
      <c r="N218" s="484"/>
      <c r="O218" s="484"/>
    </row>
    <row r="219" spans="1:15" s="478" customFormat="1" x14ac:dyDescent="0.2">
      <c r="A219" s="447"/>
      <c r="B219" s="38"/>
      <c r="C219" s="476" t="s">
        <v>269</v>
      </c>
      <c r="D219" s="485"/>
      <c r="E219" s="485"/>
      <c r="F219" s="485"/>
      <c r="G219" s="485"/>
      <c r="H219" s="485"/>
      <c r="I219" s="485"/>
      <c r="J219" s="485"/>
      <c r="K219" s="447"/>
      <c r="L219" s="479">
        <f t="shared" si="3"/>
        <v>0</v>
      </c>
      <c r="M219" s="447"/>
      <c r="N219" s="484"/>
      <c r="O219" s="484"/>
    </row>
    <row r="220" spans="1:15" s="478" customFormat="1" x14ac:dyDescent="0.2">
      <c r="A220" s="447"/>
      <c r="B220" s="38"/>
      <c r="C220" s="476" t="s">
        <v>379</v>
      </c>
      <c r="D220" s="485"/>
      <c r="E220" s="485"/>
      <c r="F220" s="485"/>
      <c r="G220" s="485"/>
      <c r="H220" s="485"/>
      <c r="I220" s="485"/>
      <c r="J220" s="485"/>
      <c r="K220" s="447"/>
      <c r="L220" s="479">
        <f t="shared" si="3"/>
        <v>0</v>
      </c>
      <c r="M220" s="447"/>
      <c r="N220" s="484"/>
      <c r="O220" s="484"/>
    </row>
    <row r="221" spans="1:15" s="478" customFormat="1" x14ac:dyDescent="0.2">
      <c r="A221" s="447"/>
      <c r="B221" s="38"/>
      <c r="C221" s="476" t="s">
        <v>380</v>
      </c>
      <c r="D221" s="485"/>
      <c r="E221" s="485"/>
      <c r="F221" s="485"/>
      <c r="G221" s="485"/>
      <c r="H221" s="485"/>
      <c r="I221" s="485"/>
      <c r="J221" s="485"/>
      <c r="K221" s="447"/>
      <c r="L221" s="479">
        <f t="shared" si="3"/>
        <v>0</v>
      </c>
      <c r="M221" s="447"/>
      <c r="N221" s="484"/>
      <c r="O221" s="484"/>
    </row>
    <row r="222" spans="1:15" s="478" customFormat="1" x14ac:dyDescent="0.2">
      <c r="A222" s="447"/>
      <c r="B222" s="38"/>
      <c r="C222" s="476" t="s">
        <v>237</v>
      </c>
      <c r="D222" s="485"/>
      <c r="E222" s="485"/>
      <c r="F222" s="485"/>
      <c r="G222" s="485"/>
      <c r="H222" s="485"/>
      <c r="I222" s="485"/>
      <c r="J222" s="485"/>
      <c r="K222" s="447"/>
      <c r="L222" s="479">
        <f t="shared" si="3"/>
        <v>0</v>
      </c>
      <c r="M222" s="447"/>
      <c r="N222" s="484"/>
      <c r="O222" s="484"/>
    </row>
    <row r="223" spans="1:15" s="478" customFormat="1" x14ac:dyDescent="0.2">
      <c r="A223" s="447"/>
      <c r="B223" s="38"/>
      <c r="C223" s="476" t="s">
        <v>238</v>
      </c>
      <c r="D223" s="485"/>
      <c r="E223" s="485"/>
      <c r="F223" s="485"/>
      <c r="G223" s="485"/>
      <c r="H223" s="485"/>
      <c r="I223" s="485"/>
      <c r="J223" s="485"/>
      <c r="K223" s="447"/>
      <c r="L223" s="479">
        <f t="shared" si="3"/>
        <v>0</v>
      </c>
      <c r="M223" s="447"/>
      <c r="N223" s="484"/>
      <c r="O223" s="484"/>
    </row>
    <row r="224" spans="1:15" s="478" customFormat="1" x14ac:dyDescent="0.2">
      <c r="A224" s="447"/>
      <c r="B224" s="38"/>
      <c r="C224" s="476" t="s">
        <v>271</v>
      </c>
      <c r="D224" s="485"/>
      <c r="E224" s="485"/>
      <c r="F224" s="485"/>
      <c r="G224" s="485"/>
      <c r="H224" s="485"/>
      <c r="I224" s="485"/>
      <c r="J224" s="485"/>
      <c r="K224" s="447"/>
      <c r="L224" s="479">
        <f t="shared" si="3"/>
        <v>0</v>
      </c>
      <c r="M224" s="447"/>
      <c r="N224" s="484"/>
      <c r="O224" s="484"/>
    </row>
    <row r="225" spans="1:16" s="478" customFormat="1" x14ac:dyDescent="0.2">
      <c r="A225" s="447"/>
      <c r="B225" s="38"/>
      <c r="C225" s="476" t="s">
        <v>273</v>
      </c>
      <c r="D225" s="485"/>
      <c r="E225" s="485"/>
      <c r="F225" s="485"/>
      <c r="G225" s="485"/>
      <c r="H225" s="485"/>
      <c r="I225" s="485"/>
      <c r="J225" s="485"/>
      <c r="K225" s="447"/>
      <c r="L225" s="479">
        <f t="shared" si="3"/>
        <v>0</v>
      </c>
      <c r="M225" s="447"/>
      <c r="N225" s="484"/>
      <c r="O225" s="484"/>
    </row>
    <row r="226" spans="1:16" s="478" customFormat="1" x14ac:dyDescent="0.2">
      <c r="A226" s="447"/>
      <c r="B226" s="38"/>
      <c r="C226" s="476" t="s">
        <v>274</v>
      </c>
      <c r="D226" s="485"/>
      <c r="E226" s="485"/>
      <c r="F226" s="485"/>
      <c r="G226" s="485"/>
      <c r="H226" s="485"/>
      <c r="I226" s="485"/>
      <c r="J226" s="485"/>
      <c r="K226" s="447"/>
      <c r="L226" s="479">
        <f t="shared" si="3"/>
        <v>0</v>
      </c>
      <c r="M226" s="447"/>
      <c r="N226" s="484"/>
      <c r="O226" s="484"/>
    </row>
    <row r="227" spans="1:16" s="478" customFormat="1" x14ac:dyDescent="0.2">
      <c r="A227" s="447"/>
      <c r="B227" s="38"/>
      <c r="C227" s="476" t="s">
        <v>381</v>
      </c>
      <c r="D227" s="485"/>
      <c r="E227" s="485"/>
      <c r="F227" s="485"/>
      <c r="G227" s="485"/>
      <c r="H227" s="485"/>
      <c r="I227" s="485"/>
      <c r="J227" s="485"/>
      <c r="K227" s="447"/>
      <c r="L227" s="479">
        <f t="shared" si="3"/>
        <v>0</v>
      </c>
      <c r="M227" s="447"/>
      <c r="N227" s="484"/>
      <c r="O227" s="484"/>
    </row>
    <row r="228" spans="1:16" s="478" customFormat="1" x14ac:dyDescent="0.2">
      <c r="A228" s="447"/>
      <c r="B228" s="38"/>
      <c r="C228" s="476" t="s">
        <v>257</v>
      </c>
      <c r="D228" s="485"/>
      <c r="E228" s="485"/>
      <c r="F228" s="485"/>
      <c r="G228" s="485"/>
      <c r="H228" s="485"/>
      <c r="I228" s="485"/>
      <c r="J228" s="485"/>
      <c r="K228" s="447"/>
      <c r="L228" s="479">
        <f t="shared" si="3"/>
        <v>0</v>
      </c>
      <c r="M228" s="447"/>
      <c r="N228" s="484"/>
      <c r="O228" s="484"/>
    </row>
    <row r="229" spans="1:16" s="478" customFormat="1" x14ac:dyDescent="0.2">
      <c r="A229" s="447"/>
      <c r="B229" s="38"/>
      <c r="C229" s="476" t="s">
        <v>55</v>
      </c>
      <c r="D229" s="485"/>
      <c r="E229" s="485"/>
      <c r="F229" s="485"/>
      <c r="G229" s="485"/>
      <c r="H229" s="485"/>
      <c r="I229" s="485"/>
      <c r="J229" s="485"/>
      <c r="K229" s="447"/>
      <c r="L229" s="479">
        <f t="shared" si="3"/>
        <v>0</v>
      </c>
      <c r="M229" s="447"/>
      <c r="N229" s="484"/>
      <c r="O229" s="484"/>
    </row>
    <row r="230" spans="1:16" s="478" customFormat="1" ht="13.5" thickBot="1" x14ac:dyDescent="0.25">
      <c r="A230" s="447"/>
      <c r="B230" s="38"/>
      <c r="C230" s="485" t="s">
        <v>457</v>
      </c>
      <c r="D230" s="485"/>
      <c r="E230" s="485"/>
      <c r="F230" s="485"/>
      <c r="G230" s="485"/>
      <c r="H230" s="485"/>
      <c r="I230" s="485"/>
      <c r="J230" s="485"/>
      <c r="K230" s="447"/>
      <c r="L230" s="66">
        <f>SUM(L213:L229)</f>
        <v>0</v>
      </c>
      <c r="M230" s="447"/>
      <c r="N230" s="484"/>
      <c r="O230" s="484"/>
    </row>
    <row r="231" spans="1:16" s="454" customFormat="1" ht="13.5" thickTop="1" x14ac:dyDescent="0.2">
      <c r="A231" s="447"/>
      <c r="M231" s="447"/>
      <c r="N231" s="459"/>
      <c r="O231" s="459"/>
    </row>
    <row r="232" spans="1:16" ht="12" customHeight="1" x14ac:dyDescent="0.35">
      <c r="J232" s="9"/>
      <c r="K232" s="9"/>
      <c r="L232" s="125"/>
      <c r="M232" s="84"/>
      <c r="N232" s="8"/>
    </row>
    <row r="233" spans="1:16" ht="25.5" customHeight="1" x14ac:dyDescent="0.2">
      <c r="A233" s="765" t="s">
        <v>579</v>
      </c>
      <c r="B233" s="971" t="s">
        <v>688</v>
      </c>
      <c r="C233" s="972"/>
      <c r="D233" s="972"/>
      <c r="E233" s="972"/>
      <c r="F233" s="972"/>
      <c r="G233" s="972"/>
      <c r="H233" s="972"/>
      <c r="I233" s="972"/>
      <c r="J233" s="972"/>
      <c r="K233" s="972"/>
      <c r="L233" s="972"/>
      <c r="M233" s="972"/>
      <c r="N233" s="972"/>
      <c r="O233" s="972"/>
      <c r="P233" s="973"/>
    </row>
    <row r="234" spans="1:16" x14ac:dyDescent="0.2">
      <c r="I234"/>
      <c r="J234"/>
      <c r="K234"/>
      <c r="L234" s="3" t="s">
        <v>186</v>
      </c>
      <c r="M234" s="3"/>
      <c r="N234" s="3" t="s">
        <v>646</v>
      </c>
    </row>
    <row r="235" spans="1:16" ht="12.75" customHeight="1" x14ac:dyDescent="0.2">
      <c r="D235" t="s">
        <v>144</v>
      </c>
      <c r="E235" t="s">
        <v>263</v>
      </c>
      <c r="I235"/>
      <c r="K235"/>
      <c r="L235" s="69">
        <f>X270</f>
        <v>7500</v>
      </c>
      <c r="M235" s="36"/>
      <c r="N235" s="69">
        <f>Y270</f>
        <v>6705</v>
      </c>
    </row>
    <row r="236" spans="1:16" x14ac:dyDescent="0.2">
      <c r="E236" t="s">
        <v>264</v>
      </c>
      <c r="I236"/>
      <c r="K236"/>
      <c r="L236" s="69">
        <f>X271</f>
        <v>0</v>
      </c>
      <c r="M236" s="36"/>
      <c r="N236" s="69">
        <f>Y271</f>
        <v>0</v>
      </c>
    </row>
    <row r="237" spans="1:16" x14ac:dyDescent="0.2">
      <c r="E237" t="s">
        <v>265</v>
      </c>
      <c r="I237"/>
      <c r="K237"/>
      <c r="L237" s="69">
        <f t="shared" ref="L237:L251" si="4">X272</f>
        <v>0</v>
      </c>
      <c r="M237" s="36"/>
      <c r="N237" s="69">
        <f t="shared" ref="N237:N251" si="5">Y272</f>
        <v>0</v>
      </c>
    </row>
    <row r="238" spans="1:16" x14ac:dyDescent="0.2">
      <c r="E238" t="s">
        <v>266</v>
      </c>
      <c r="I238"/>
      <c r="K238"/>
      <c r="L238" s="69">
        <f t="shared" si="4"/>
        <v>0</v>
      </c>
      <c r="M238" s="36"/>
      <c r="N238" s="69">
        <f t="shared" si="5"/>
        <v>0</v>
      </c>
    </row>
    <row r="239" spans="1:16" x14ac:dyDescent="0.2">
      <c r="E239" t="s">
        <v>267</v>
      </c>
      <c r="I239"/>
      <c r="K239"/>
      <c r="L239" s="69">
        <f t="shared" si="4"/>
        <v>0</v>
      </c>
      <c r="M239" s="36"/>
      <c r="N239" s="69">
        <f t="shared" si="5"/>
        <v>0</v>
      </c>
    </row>
    <row r="240" spans="1:16" x14ac:dyDescent="0.2">
      <c r="E240" t="s">
        <v>268</v>
      </c>
      <c r="I240"/>
      <c r="K240"/>
      <c r="L240" s="69">
        <f t="shared" si="4"/>
        <v>0</v>
      </c>
      <c r="M240" s="36"/>
      <c r="N240" s="69">
        <f t="shared" si="5"/>
        <v>0</v>
      </c>
    </row>
    <row r="241" spans="1:14" x14ac:dyDescent="0.2">
      <c r="E241" t="s">
        <v>269</v>
      </c>
      <c r="I241"/>
      <c r="K241"/>
      <c r="L241" s="69">
        <f t="shared" si="4"/>
        <v>3200</v>
      </c>
      <c r="M241" s="36"/>
      <c r="N241" s="69">
        <f t="shared" si="5"/>
        <v>1948</v>
      </c>
    </row>
    <row r="242" spans="1:14" x14ac:dyDescent="0.2">
      <c r="E242" t="s">
        <v>379</v>
      </c>
      <c r="I242"/>
      <c r="K242"/>
      <c r="L242" s="69">
        <f t="shared" si="4"/>
        <v>0</v>
      </c>
      <c r="M242" s="36"/>
      <c r="N242" s="69">
        <f t="shared" si="5"/>
        <v>0</v>
      </c>
    </row>
    <row r="243" spans="1:14" x14ac:dyDescent="0.2">
      <c r="E243" t="s">
        <v>380</v>
      </c>
      <c r="I243"/>
      <c r="K243"/>
      <c r="L243" s="69">
        <f t="shared" si="4"/>
        <v>0</v>
      </c>
      <c r="M243" s="36"/>
      <c r="N243" s="69">
        <f t="shared" si="5"/>
        <v>0</v>
      </c>
    </row>
    <row r="244" spans="1:14" x14ac:dyDescent="0.2">
      <c r="E244" t="s">
        <v>237</v>
      </c>
      <c r="I244"/>
      <c r="J244"/>
      <c r="K244"/>
      <c r="L244" s="69">
        <f t="shared" si="4"/>
        <v>0</v>
      </c>
      <c r="M244" s="36"/>
      <c r="N244" s="69">
        <f t="shared" si="5"/>
        <v>0</v>
      </c>
    </row>
    <row r="245" spans="1:14" x14ac:dyDescent="0.2">
      <c r="E245" t="s">
        <v>238</v>
      </c>
      <c r="I245"/>
      <c r="J245"/>
      <c r="K245"/>
      <c r="L245" s="69">
        <f t="shared" si="4"/>
        <v>0</v>
      </c>
      <c r="M245" s="36"/>
      <c r="N245" s="69">
        <f t="shared" si="5"/>
        <v>0</v>
      </c>
    </row>
    <row r="246" spans="1:14" x14ac:dyDescent="0.2">
      <c r="E246" t="s">
        <v>271</v>
      </c>
      <c r="I246"/>
      <c r="J246"/>
      <c r="K246"/>
      <c r="L246" s="69">
        <f t="shared" si="4"/>
        <v>0</v>
      </c>
      <c r="M246" s="36"/>
      <c r="N246" s="69">
        <f t="shared" si="5"/>
        <v>0</v>
      </c>
    </row>
    <row r="247" spans="1:14" x14ac:dyDescent="0.2">
      <c r="E247" t="s">
        <v>273</v>
      </c>
      <c r="I247"/>
      <c r="J247"/>
      <c r="K247"/>
      <c r="L247" s="69">
        <f t="shared" si="4"/>
        <v>0</v>
      </c>
      <c r="M247" s="36"/>
      <c r="N247" s="69">
        <f t="shared" si="5"/>
        <v>0</v>
      </c>
    </row>
    <row r="248" spans="1:14" x14ac:dyDescent="0.2">
      <c r="E248" t="s">
        <v>274</v>
      </c>
      <c r="I248"/>
      <c r="J248"/>
      <c r="K248"/>
      <c r="L248" s="69">
        <f t="shared" si="4"/>
        <v>0</v>
      </c>
      <c r="M248" s="36"/>
      <c r="N248" s="69">
        <f t="shared" si="5"/>
        <v>0</v>
      </c>
    </row>
    <row r="249" spans="1:14" x14ac:dyDescent="0.2">
      <c r="E249" t="s">
        <v>381</v>
      </c>
      <c r="I249"/>
      <c r="J249"/>
      <c r="K249"/>
      <c r="L249" s="69">
        <f t="shared" si="4"/>
        <v>0</v>
      </c>
      <c r="M249" s="36"/>
      <c r="N249" s="69">
        <f t="shared" si="5"/>
        <v>0</v>
      </c>
    </row>
    <row r="250" spans="1:14" x14ac:dyDescent="0.2">
      <c r="E250" t="s">
        <v>257</v>
      </c>
      <c r="I250"/>
      <c r="J250"/>
      <c r="K250"/>
      <c r="L250" s="69">
        <f t="shared" si="4"/>
        <v>0</v>
      </c>
      <c r="M250" s="36"/>
      <c r="N250" s="69">
        <f t="shared" si="5"/>
        <v>0</v>
      </c>
    </row>
    <row r="251" spans="1:14" x14ac:dyDescent="0.2">
      <c r="E251" t="s">
        <v>55</v>
      </c>
      <c r="I251"/>
      <c r="J251"/>
      <c r="K251"/>
      <c r="L251" s="69">
        <f t="shared" si="4"/>
        <v>0</v>
      </c>
      <c r="M251" s="36"/>
      <c r="N251" s="69">
        <f t="shared" si="5"/>
        <v>0</v>
      </c>
    </row>
    <row r="252" spans="1:14" x14ac:dyDescent="0.2">
      <c r="E252" t="s">
        <v>389</v>
      </c>
      <c r="I252"/>
      <c r="J252"/>
      <c r="K252"/>
      <c r="L252" s="69">
        <f t="shared" ref="L252:L259" si="6">X287</f>
        <v>0</v>
      </c>
      <c r="M252" s="36"/>
      <c r="N252" s="69">
        <f t="shared" ref="N252:N259" si="7">Y287</f>
        <v>0</v>
      </c>
    </row>
    <row r="253" spans="1:14" x14ac:dyDescent="0.2">
      <c r="E253" t="s">
        <v>390</v>
      </c>
      <c r="I253"/>
      <c r="J253"/>
      <c r="K253"/>
      <c r="L253" s="69">
        <f t="shared" si="6"/>
        <v>0</v>
      </c>
      <c r="M253" s="36"/>
      <c r="N253" s="69">
        <f t="shared" si="7"/>
        <v>0</v>
      </c>
    </row>
    <row r="254" spans="1:14" s="454" customFormat="1" x14ac:dyDescent="0.2">
      <c r="A254" s="455"/>
      <c r="E254" s="454" t="s">
        <v>1076</v>
      </c>
      <c r="L254" s="457">
        <f t="shared" si="6"/>
        <v>0</v>
      </c>
      <c r="M254" s="36"/>
      <c r="N254" s="457">
        <f t="shared" si="7"/>
        <v>0</v>
      </c>
    </row>
    <row r="255" spans="1:14" x14ac:dyDescent="0.2">
      <c r="E255" t="s">
        <v>423</v>
      </c>
      <c r="I255"/>
      <c r="J255"/>
      <c r="K255"/>
      <c r="L255" s="69">
        <f t="shared" si="6"/>
        <v>0</v>
      </c>
      <c r="M255" s="36"/>
      <c r="N255" s="69">
        <f t="shared" si="7"/>
        <v>0</v>
      </c>
    </row>
    <row r="256" spans="1:14" x14ac:dyDescent="0.2">
      <c r="E256" t="s">
        <v>694</v>
      </c>
      <c r="I256"/>
      <c r="J256"/>
      <c r="K256"/>
      <c r="L256" s="69">
        <f t="shared" si="6"/>
        <v>8653</v>
      </c>
      <c r="M256" s="36"/>
      <c r="N256" s="69">
        <f t="shared" si="7"/>
        <v>10700</v>
      </c>
    </row>
    <row r="257" spans="1:32" x14ac:dyDescent="0.2">
      <c r="E257" t="s">
        <v>129</v>
      </c>
      <c r="I257"/>
      <c r="J257"/>
      <c r="K257"/>
      <c r="L257" s="69">
        <f t="shared" si="6"/>
        <v>0</v>
      </c>
      <c r="M257" s="36"/>
      <c r="N257" s="69">
        <f t="shared" si="7"/>
        <v>0</v>
      </c>
    </row>
    <row r="258" spans="1:32" x14ac:dyDescent="0.2">
      <c r="E258" t="str">
        <f>'Conversion Worksheet'!C100</f>
        <v>Other long-term liability #1</v>
      </c>
      <c r="I258"/>
      <c r="J258"/>
      <c r="K258"/>
      <c r="L258" s="69">
        <f t="shared" si="6"/>
        <v>0</v>
      </c>
      <c r="M258" s="36"/>
      <c r="N258" s="69">
        <f t="shared" si="7"/>
        <v>0</v>
      </c>
    </row>
    <row r="259" spans="1:32" x14ac:dyDescent="0.2">
      <c r="E259" t="str">
        <f>'Conversion Worksheet'!C101</f>
        <v>Other long-term liability #2</v>
      </c>
      <c r="I259"/>
      <c r="J259"/>
      <c r="K259"/>
      <c r="L259" s="69">
        <f t="shared" si="6"/>
        <v>0</v>
      </c>
      <c r="M259" s="36"/>
      <c r="N259" s="69">
        <f t="shared" si="7"/>
        <v>0</v>
      </c>
    </row>
    <row r="260" spans="1:32" ht="13.5" thickBot="1" x14ac:dyDescent="0.25">
      <c r="L260" s="62">
        <f>SUM(L235:L259)</f>
        <v>19353</v>
      </c>
      <c r="M260" s="246">
        <f>SUM(M235:M259)</f>
        <v>0</v>
      </c>
      <c r="N260" s="62">
        <f>SUM(N235:N259)</f>
        <v>19353</v>
      </c>
    </row>
    <row r="261" spans="1:32" ht="13.5" thickTop="1" x14ac:dyDescent="0.2">
      <c r="L261" s="5">
        <f>L260-N260</f>
        <v>0</v>
      </c>
      <c r="N261" s="5"/>
    </row>
    <row r="263" spans="1:32" x14ac:dyDescent="0.2">
      <c r="A263" s="1077" t="s">
        <v>44</v>
      </c>
      <c r="B263" s="1077"/>
      <c r="C263" s="1077"/>
      <c r="D263" s="1077"/>
      <c r="E263" s="1077"/>
      <c r="F263" s="1077"/>
      <c r="G263" s="1077"/>
      <c r="H263" s="1077"/>
      <c r="I263" s="1077"/>
      <c r="J263" s="1077"/>
      <c r="K263" s="1077"/>
      <c r="L263" s="1077"/>
      <c r="M263" s="1077"/>
      <c r="N263" s="1077"/>
      <c r="O263" s="1077"/>
      <c r="P263" s="91"/>
      <c r="Q263" s="91"/>
      <c r="R263" s="91"/>
      <c r="S263" s="91"/>
      <c r="T263" s="91"/>
      <c r="U263" s="91"/>
      <c r="V263" s="91"/>
      <c r="W263" s="91"/>
      <c r="X263" s="91"/>
      <c r="Y263" s="91"/>
    </row>
    <row r="264" spans="1:32" x14ac:dyDescent="0.2">
      <c r="A264" s="1077"/>
      <c r="B264" s="1077"/>
      <c r="C264" s="1077"/>
      <c r="D264" s="1077"/>
      <c r="E264" s="1077"/>
      <c r="F264" s="1077"/>
      <c r="G264" s="1077"/>
      <c r="H264" s="1077"/>
      <c r="I264" s="1077"/>
      <c r="J264" s="1077"/>
      <c r="K264" s="1077"/>
      <c r="L264" s="1077"/>
      <c r="M264" s="1077"/>
      <c r="N264" s="1077"/>
      <c r="O264" s="1077"/>
      <c r="P264" s="91"/>
      <c r="Q264" s="91"/>
      <c r="R264" s="91"/>
      <c r="S264" s="91"/>
      <c r="T264" s="91"/>
      <c r="U264" s="91"/>
      <c r="V264" s="91"/>
      <c r="W264" s="91"/>
      <c r="X264" s="91"/>
      <c r="Y264" s="91"/>
    </row>
    <row r="265" spans="1:32" ht="18" x14ac:dyDescent="0.25">
      <c r="A265" s="90"/>
      <c r="B265" s="90"/>
      <c r="C265" s="90"/>
      <c r="D265" s="90"/>
      <c r="E265" s="90"/>
      <c r="F265" s="90"/>
      <c r="G265" s="90"/>
      <c r="H265" s="90"/>
      <c r="I265" s="90"/>
      <c r="J265" s="90"/>
      <c r="K265" s="90"/>
      <c r="L265" s="90"/>
      <c r="M265" s="90"/>
      <c r="N265" s="90"/>
      <c r="O265" s="90"/>
      <c r="P265" s="91"/>
      <c r="Q265" s="91"/>
      <c r="R265" s="91"/>
      <c r="S265" s="91"/>
      <c r="T265" s="91"/>
      <c r="U265" s="91"/>
      <c r="V265" s="91"/>
      <c r="W265" s="91"/>
      <c r="X265" s="91"/>
      <c r="Y265" s="91"/>
    </row>
    <row r="266" spans="1:32" x14ac:dyDescent="0.2">
      <c r="F266" s="1072" t="s">
        <v>130</v>
      </c>
      <c r="G266" s="1073"/>
      <c r="H266" s="1072" t="s">
        <v>131</v>
      </c>
      <c r="I266" s="1046"/>
      <c r="J266" s="1046"/>
      <c r="K266" s="790"/>
      <c r="L266" s="1072" t="s">
        <v>179</v>
      </c>
      <c r="M266" s="1046"/>
      <c r="N266" s="1073"/>
      <c r="O266" s="1074" t="s">
        <v>180</v>
      </c>
      <c r="P266" s="1047"/>
      <c r="Q266" s="1075"/>
      <c r="R266" s="1074" t="s">
        <v>172</v>
      </c>
      <c r="S266" s="1047"/>
      <c r="T266" s="1075"/>
      <c r="U266" s="1074" t="s">
        <v>1075</v>
      </c>
      <c r="V266" s="1047"/>
      <c r="W266" s="1075"/>
      <c r="X266" s="1072" t="s">
        <v>457</v>
      </c>
      <c r="Y266" s="1073"/>
    </row>
    <row r="267" spans="1:32" x14ac:dyDescent="0.2">
      <c r="F267" s="1086" t="s">
        <v>692</v>
      </c>
      <c r="G267" s="1088"/>
      <c r="H267" s="1086" t="s">
        <v>691</v>
      </c>
      <c r="I267" s="1087"/>
      <c r="J267" s="1087"/>
      <c r="K267" s="791"/>
      <c r="L267" s="126"/>
      <c r="M267" s="43"/>
      <c r="N267" s="127"/>
      <c r="O267" s="128"/>
      <c r="P267" s="83"/>
      <c r="Q267" s="129"/>
      <c r="R267" s="128"/>
      <c r="S267" s="83"/>
      <c r="T267" s="129"/>
      <c r="U267" s="456"/>
      <c r="V267" s="456"/>
      <c r="W267" s="456"/>
      <c r="X267" s="126"/>
      <c r="Y267" s="127"/>
    </row>
    <row r="268" spans="1:32" x14ac:dyDescent="0.2">
      <c r="F268" s="59" t="s">
        <v>645</v>
      </c>
      <c r="G268" s="60" t="s">
        <v>646</v>
      </c>
      <c r="H268" s="59" t="s">
        <v>645</v>
      </c>
      <c r="I268" s="58"/>
      <c r="J268" s="109" t="s">
        <v>646</v>
      </c>
      <c r="K268" s="792"/>
      <c r="L268" s="92" t="s">
        <v>645</v>
      </c>
      <c r="M268" s="58"/>
      <c r="N268" s="60" t="s">
        <v>646</v>
      </c>
      <c r="O268" s="92" t="s">
        <v>645</v>
      </c>
      <c r="P268" s="7"/>
      <c r="Q268" s="93" t="s">
        <v>646</v>
      </c>
      <c r="R268" s="92" t="s">
        <v>645</v>
      </c>
      <c r="S268" s="7"/>
      <c r="T268" s="93" t="s">
        <v>646</v>
      </c>
      <c r="U268" s="58" t="s">
        <v>645</v>
      </c>
      <c r="V268" s="58"/>
      <c r="W268" s="58" t="s">
        <v>646</v>
      </c>
      <c r="X268" s="59" t="s">
        <v>645</v>
      </c>
      <c r="Y268" s="60" t="s">
        <v>646</v>
      </c>
    </row>
    <row r="269" spans="1:32" ht="4.5" customHeight="1" x14ac:dyDescent="0.2">
      <c r="F269" s="786"/>
      <c r="G269" s="787"/>
      <c r="L269" s="786"/>
      <c r="M269" s="793"/>
      <c r="N269" s="787"/>
      <c r="R269" s="786"/>
      <c r="S269" s="794"/>
      <c r="T269" s="787"/>
      <c r="X269" s="94"/>
      <c r="Y269" s="515"/>
    </row>
    <row r="270" spans="1:32" x14ac:dyDescent="0.2">
      <c r="A270" t="s">
        <v>263</v>
      </c>
      <c r="F270" s="769">
        <f t="shared" ref="F270:F286" si="8">J24+J46</f>
        <v>7500</v>
      </c>
      <c r="G270" s="770"/>
      <c r="H270" s="36"/>
      <c r="I270" s="44"/>
      <c r="J270" s="1">
        <f t="shared" ref="J270:J286" si="9">L24+L46</f>
        <v>6705</v>
      </c>
      <c r="L270" s="769">
        <f t="shared" ref="L270:L288" si="10">G84+N84-J84</f>
        <v>0</v>
      </c>
      <c r="M270" s="44"/>
      <c r="N270" s="770"/>
      <c r="O270" s="36">
        <f t="shared" ref="O270:O288" si="11">(G124+J124)-H124+(L124+O124)-N124</f>
        <v>0</v>
      </c>
      <c r="P270" s="36"/>
      <c r="Q270" s="36"/>
      <c r="R270" s="769">
        <f t="shared" ref="R270:R286" si="12">N160</f>
        <v>0</v>
      </c>
      <c r="S270" s="45"/>
      <c r="T270" s="770"/>
      <c r="U270" s="36"/>
      <c r="V270" s="36"/>
      <c r="W270" s="36">
        <f>L213</f>
        <v>0</v>
      </c>
      <c r="X270" s="247">
        <f>F270+H270+L270+O270+R270+U270</f>
        <v>7500</v>
      </c>
      <c r="Y270" s="516">
        <f>G270+J270+N270+Q270+T270+W270</f>
        <v>6705</v>
      </c>
      <c r="Z270" s="36"/>
      <c r="AA270" s="36"/>
      <c r="AB270" s="36"/>
      <c r="AC270" s="36"/>
      <c r="AD270" s="36"/>
      <c r="AE270" s="36"/>
      <c r="AF270" s="36"/>
    </row>
    <row r="271" spans="1:32" x14ac:dyDescent="0.2">
      <c r="A271" t="s">
        <v>264</v>
      </c>
      <c r="F271" s="769">
        <f t="shared" si="8"/>
        <v>0</v>
      </c>
      <c r="G271" s="770"/>
      <c r="H271" s="36"/>
      <c r="I271" s="44"/>
      <c r="J271" s="1">
        <f t="shared" si="9"/>
        <v>0</v>
      </c>
      <c r="L271" s="769">
        <f t="shared" si="10"/>
        <v>0</v>
      </c>
      <c r="M271" s="44"/>
      <c r="N271" s="770"/>
      <c r="O271" s="36">
        <f t="shared" si="11"/>
        <v>0</v>
      </c>
      <c r="P271" s="36"/>
      <c r="Q271" s="36"/>
      <c r="R271" s="769">
        <f t="shared" si="12"/>
        <v>0</v>
      </c>
      <c r="S271" s="45"/>
      <c r="T271" s="770"/>
      <c r="U271" s="36"/>
      <c r="V271" s="36"/>
      <c r="W271" s="36">
        <f t="shared" ref="W271:W286" si="13">L214</f>
        <v>0</v>
      </c>
      <c r="X271" s="247">
        <f t="shared" ref="X271:X294" si="14">F271+H271+L271+O271+R271+U271</f>
        <v>0</v>
      </c>
      <c r="Y271" s="516">
        <f t="shared" ref="Y271:Y294" si="15">G271+J271+N271+Q271+T271+W271</f>
        <v>0</v>
      </c>
      <c r="Z271" s="36"/>
      <c r="AA271" s="36"/>
      <c r="AB271" s="36"/>
      <c r="AC271" s="36"/>
      <c r="AD271" s="36"/>
      <c r="AE271" s="36"/>
      <c r="AF271" s="36"/>
    </row>
    <row r="272" spans="1:32" x14ac:dyDescent="0.2">
      <c r="A272" t="s">
        <v>265</v>
      </c>
      <c r="F272" s="769">
        <f t="shared" si="8"/>
        <v>0</v>
      </c>
      <c r="G272" s="770"/>
      <c r="H272" s="36"/>
      <c r="I272" s="44"/>
      <c r="J272" s="1">
        <f t="shared" si="9"/>
        <v>0</v>
      </c>
      <c r="L272" s="769">
        <f t="shared" si="10"/>
        <v>0</v>
      </c>
      <c r="M272" s="44"/>
      <c r="N272" s="770"/>
      <c r="O272" s="36">
        <f t="shared" si="11"/>
        <v>0</v>
      </c>
      <c r="P272" s="36"/>
      <c r="Q272" s="36"/>
      <c r="R272" s="769">
        <f t="shared" si="12"/>
        <v>0</v>
      </c>
      <c r="S272" s="45"/>
      <c r="T272" s="770"/>
      <c r="U272" s="36"/>
      <c r="V272" s="36"/>
      <c r="W272" s="36">
        <f t="shared" si="13"/>
        <v>0</v>
      </c>
      <c r="X272" s="247">
        <f t="shared" si="14"/>
        <v>0</v>
      </c>
      <c r="Y272" s="516">
        <f t="shared" si="15"/>
        <v>0</v>
      </c>
      <c r="Z272" s="36"/>
      <c r="AA272" s="36"/>
      <c r="AB272" s="36"/>
      <c r="AC272" s="36"/>
      <c r="AD272" s="36"/>
      <c r="AE272" s="36"/>
      <c r="AF272" s="36"/>
    </row>
    <row r="273" spans="1:32" x14ac:dyDescent="0.2">
      <c r="A273" t="s">
        <v>266</v>
      </c>
      <c r="F273" s="769">
        <f t="shared" si="8"/>
        <v>0</v>
      </c>
      <c r="G273" s="770"/>
      <c r="H273" s="36"/>
      <c r="I273" s="44"/>
      <c r="J273" s="1">
        <f t="shared" si="9"/>
        <v>0</v>
      </c>
      <c r="L273" s="769">
        <f t="shared" si="10"/>
        <v>0</v>
      </c>
      <c r="M273" s="44"/>
      <c r="N273" s="770"/>
      <c r="O273" s="36">
        <f t="shared" si="11"/>
        <v>0</v>
      </c>
      <c r="P273" s="36"/>
      <c r="Q273" s="36"/>
      <c r="R273" s="769">
        <f t="shared" si="12"/>
        <v>0</v>
      </c>
      <c r="S273" s="45"/>
      <c r="T273" s="770"/>
      <c r="U273" s="36"/>
      <c r="V273" s="36"/>
      <c r="W273" s="36">
        <f t="shared" si="13"/>
        <v>0</v>
      </c>
      <c r="X273" s="247">
        <f t="shared" si="14"/>
        <v>0</v>
      </c>
      <c r="Y273" s="516">
        <f t="shared" si="15"/>
        <v>0</v>
      </c>
      <c r="Z273" s="36"/>
      <c r="AA273" s="36"/>
      <c r="AB273" s="36"/>
      <c r="AC273" s="36"/>
      <c r="AD273" s="36"/>
      <c r="AE273" s="36"/>
      <c r="AF273" s="36"/>
    </row>
    <row r="274" spans="1:32" x14ac:dyDescent="0.2">
      <c r="A274" t="s">
        <v>267</v>
      </c>
      <c r="F274" s="769">
        <f t="shared" si="8"/>
        <v>0</v>
      </c>
      <c r="G274" s="770"/>
      <c r="H274" s="36"/>
      <c r="I274" s="44"/>
      <c r="J274" s="1">
        <f t="shared" si="9"/>
        <v>0</v>
      </c>
      <c r="L274" s="769">
        <f t="shared" si="10"/>
        <v>0</v>
      </c>
      <c r="M274" s="44"/>
      <c r="N274" s="770"/>
      <c r="O274" s="36">
        <f t="shared" si="11"/>
        <v>0</v>
      </c>
      <c r="P274" s="36"/>
      <c r="Q274" s="36"/>
      <c r="R274" s="769">
        <f t="shared" si="12"/>
        <v>0</v>
      </c>
      <c r="S274" s="45"/>
      <c r="T274" s="770"/>
      <c r="U274" s="36"/>
      <c r="V274" s="36"/>
      <c r="W274" s="36">
        <f t="shared" si="13"/>
        <v>0</v>
      </c>
      <c r="X274" s="247">
        <f t="shared" si="14"/>
        <v>0</v>
      </c>
      <c r="Y274" s="516">
        <f t="shared" si="15"/>
        <v>0</v>
      </c>
      <c r="Z274" s="36"/>
      <c r="AA274" s="36"/>
      <c r="AB274" s="36"/>
      <c r="AC274" s="36"/>
      <c r="AD274" s="36"/>
      <c r="AE274" s="36"/>
      <c r="AF274" s="36"/>
    </row>
    <row r="275" spans="1:32" x14ac:dyDescent="0.2">
      <c r="A275" t="s">
        <v>268</v>
      </c>
      <c r="F275" s="769">
        <f t="shared" si="8"/>
        <v>0</v>
      </c>
      <c r="G275" s="770"/>
      <c r="H275" s="36"/>
      <c r="I275" s="44"/>
      <c r="J275" s="1">
        <f t="shared" si="9"/>
        <v>0</v>
      </c>
      <c r="L275" s="769">
        <f t="shared" si="10"/>
        <v>0</v>
      </c>
      <c r="M275" s="44"/>
      <c r="N275" s="770"/>
      <c r="O275" s="36">
        <f t="shared" si="11"/>
        <v>0</v>
      </c>
      <c r="P275" s="36"/>
      <c r="Q275" s="36"/>
      <c r="R275" s="769">
        <f t="shared" si="12"/>
        <v>0</v>
      </c>
      <c r="S275" s="45"/>
      <c r="T275" s="770"/>
      <c r="U275" s="36"/>
      <c r="V275" s="36"/>
      <c r="W275" s="36">
        <f t="shared" si="13"/>
        <v>0</v>
      </c>
      <c r="X275" s="247">
        <f t="shared" si="14"/>
        <v>0</v>
      </c>
      <c r="Y275" s="516">
        <f t="shared" si="15"/>
        <v>0</v>
      </c>
      <c r="Z275" s="36"/>
      <c r="AA275" s="36"/>
      <c r="AB275" s="36"/>
      <c r="AC275" s="36"/>
      <c r="AD275" s="36"/>
      <c r="AE275" s="36"/>
      <c r="AF275" s="36"/>
    </row>
    <row r="276" spans="1:32" x14ac:dyDescent="0.2">
      <c r="A276" t="s">
        <v>269</v>
      </c>
      <c r="F276" s="769">
        <f t="shared" si="8"/>
        <v>3200</v>
      </c>
      <c r="G276" s="770"/>
      <c r="H276" s="36"/>
      <c r="I276" s="44"/>
      <c r="J276" s="1">
        <f t="shared" si="9"/>
        <v>1948</v>
      </c>
      <c r="L276" s="769">
        <f t="shared" si="10"/>
        <v>0</v>
      </c>
      <c r="M276" s="44"/>
      <c r="N276" s="770"/>
      <c r="O276" s="36">
        <f t="shared" si="11"/>
        <v>0</v>
      </c>
      <c r="P276" s="36"/>
      <c r="Q276" s="36"/>
      <c r="R276" s="769">
        <f t="shared" si="12"/>
        <v>0</v>
      </c>
      <c r="S276" s="45"/>
      <c r="T276" s="770"/>
      <c r="U276" s="36"/>
      <c r="V276" s="36"/>
      <c r="W276" s="36">
        <f t="shared" si="13"/>
        <v>0</v>
      </c>
      <c r="X276" s="247">
        <f t="shared" si="14"/>
        <v>3200</v>
      </c>
      <c r="Y276" s="516">
        <f t="shared" si="15"/>
        <v>1948</v>
      </c>
      <c r="Z276" s="36"/>
      <c r="AA276" s="36"/>
      <c r="AB276" s="36"/>
      <c r="AC276" s="36"/>
      <c r="AD276" s="36"/>
      <c r="AE276" s="36"/>
      <c r="AF276" s="36"/>
    </row>
    <row r="277" spans="1:32" x14ac:dyDescent="0.2">
      <c r="A277" t="s">
        <v>379</v>
      </c>
      <c r="F277" s="769">
        <f t="shared" si="8"/>
        <v>0</v>
      </c>
      <c r="G277" s="770"/>
      <c r="H277" s="36"/>
      <c r="I277" s="44"/>
      <c r="J277" s="1">
        <f t="shared" si="9"/>
        <v>0</v>
      </c>
      <c r="L277" s="769">
        <f t="shared" si="10"/>
        <v>0</v>
      </c>
      <c r="M277" s="44"/>
      <c r="N277" s="770"/>
      <c r="O277" s="36">
        <f t="shared" si="11"/>
        <v>0</v>
      </c>
      <c r="P277" s="36"/>
      <c r="Q277" s="36"/>
      <c r="R277" s="769">
        <f t="shared" si="12"/>
        <v>0</v>
      </c>
      <c r="S277" s="45"/>
      <c r="T277" s="770"/>
      <c r="U277" s="36"/>
      <c r="V277" s="36"/>
      <c r="W277" s="36">
        <f t="shared" si="13"/>
        <v>0</v>
      </c>
      <c r="X277" s="247">
        <f t="shared" si="14"/>
        <v>0</v>
      </c>
      <c r="Y277" s="516">
        <f t="shared" si="15"/>
        <v>0</v>
      </c>
      <c r="Z277" s="36"/>
      <c r="AA277" s="36"/>
      <c r="AB277" s="36"/>
      <c r="AC277" s="36"/>
      <c r="AD277" s="36"/>
      <c r="AE277" s="36"/>
      <c r="AF277" s="36"/>
    </row>
    <row r="278" spans="1:32" x14ac:dyDescent="0.2">
      <c r="A278" t="s">
        <v>380</v>
      </c>
      <c r="F278" s="769">
        <f t="shared" si="8"/>
        <v>0</v>
      </c>
      <c r="G278" s="770"/>
      <c r="H278" s="36"/>
      <c r="I278" s="44"/>
      <c r="J278" s="1">
        <f t="shared" si="9"/>
        <v>0</v>
      </c>
      <c r="L278" s="769">
        <f t="shared" si="10"/>
        <v>0</v>
      </c>
      <c r="M278" s="44"/>
      <c r="N278" s="770"/>
      <c r="O278" s="36">
        <f t="shared" si="11"/>
        <v>0</v>
      </c>
      <c r="P278" s="36"/>
      <c r="Q278" s="36"/>
      <c r="R278" s="769">
        <f t="shared" si="12"/>
        <v>0</v>
      </c>
      <c r="S278" s="45"/>
      <c r="T278" s="770"/>
      <c r="U278" s="36"/>
      <c r="V278" s="36"/>
      <c r="W278" s="36">
        <f t="shared" si="13"/>
        <v>0</v>
      </c>
      <c r="X278" s="247">
        <f t="shared" si="14"/>
        <v>0</v>
      </c>
      <c r="Y278" s="516">
        <f t="shared" si="15"/>
        <v>0</v>
      </c>
      <c r="Z278" s="36"/>
      <c r="AA278" s="36"/>
      <c r="AB278" s="36"/>
      <c r="AC278" s="36"/>
      <c r="AD278" s="36"/>
      <c r="AE278" s="36"/>
      <c r="AF278" s="36"/>
    </row>
    <row r="279" spans="1:32" x14ac:dyDescent="0.2">
      <c r="A279" t="s">
        <v>237</v>
      </c>
      <c r="F279" s="769">
        <f t="shared" si="8"/>
        <v>0</v>
      </c>
      <c r="G279" s="770"/>
      <c r="H279" s="36"/>
      <c r="I279" s="44"/>
      <c r="J279" s="1">
        <f t="shared" si="9"/>
        <v>0</v>
      </c>
      <c r="L279" s="769">
        <f t="shared" si="10"/>
        <v>0</v>
      </c>
      <c r="M279" s="44"/>
      <c r="N279" s="770"/>
      <c r="O279" s="36">
        <f t="shared" si="11"/>
        <v>0</v>
      </c>
      <c r="P279" s="36"/>
      <c r="Q279" s="36"/>
      <c r="R279" s="769">
        <f t="shared" si="12"/>
        <v>0</v>
      </c>
      <c r="S279" s="45"/>
      <c r="T279" s="770"/>
      <c r="U279" s="36"/>
      <c r="V279" s="36"/>
      <c r="W279" s="36">
        <f t="shared" si="13"/>
        <v>0</v>
      </c>
      <c r="X279" s="247">
        <f t="shared" si="14"/>
        <v>0</v>
      </c>
      <c r="Y279" s="516">
        <f t="shared" si="15"/>
        <v>0</v>
      </c>
      <c r="Z279" s="36"/>
      <c r="AA279" s="36"/>
      <c r="AB279" s="36"/>
      <c r="AC279" s="36"/>
      <c r="AD279" s="36"/>
      <c r="AE279" s="36"/>
      <c r="AF279" s="36"/>
    </row>
    <row r="280" spans="1:32" x14ac:dyDescent="0.2">
      <c r="A280" t="s">
        <v>238</v>
      </c>
      <c r="F280" s="769">
        <f t="shared" si="8"/>
        <v>0</v>
      </c>
      <c r="G280" s="770"/>
      <c r="H280" s="36"/>
      <c r="I280" s="44"/>
      <c r="J280" s="1">
        <f t="shared" si="9"/>
        <v>0</v>
      </c>
      <c r="L280" s="769">
        <f t="shared" si="10"/>
        <v>0</v>
      </c>
      <c r="M280" s="44"/>
      <c r="N280" s="770"/>
      <c r="O280" s="36">
        <f t="shared" si="11"/>
        <v>0</v>
      </c>
      <c r="P280" s="36"/>
      <c r="Q280" s="36"/>
      <c r="R280" s="769">
        <f t="shared" si="12"/>
        <v>0</v>
      </c>
      <c r="S280" s="45"/>
      <c r="T280" s="770"/>
      <c r="U280" s="36"/>
      <c r="V280" s="36"/>
      <c r="W280" s="36">
        <f t="shared" si="13"/>
        <v>0</v>
      </c>
      <c r="X280" s="247">
        <f t="shared" si="14"/>
        <v>0</v>
      </c>
      <c r="Y280" s="516">
        <f t="shared" si="15"/>
        <v>0</v>
      </c>
      <c r="Z280" s="36"/>
      <c r="AA280" s="36"/>
      <c r="AB280" s="36"/>
      <c r="AC280" s="36"/>
      <c r="AD280" s="36"/>
      <c r="AE280" s="36"/>
      <c r="AF280" s="36"/>
    </row>
    <row r="281" spans="1:32" x14ac:dyDescent="0.2">
      <c r="A281" t="s">
        <v>271</v>
      </c>
      <c r="F281" s="769">
        <f t="shared" si="8"/>
        <v>0</v>
      </c>
      <c r="G281" s="770"/>
      <c r="H281" s="36"/>
      <c r="I281" s="44"/>
      <c r="J281" s="1">
        <f t="shared" si="9"/>
        <v>0</v>
      </c>
      <c r="L281" s="769">
        <f t="shared" si="10"/>
        <v>0</v>
      </c>
      <c r="M281" s="44"/>
      <c r="N281" s="770"/>
      <c r="O281" s="36">
        <f t="shared" si="11"/>
        <v>0</v>
      </c>
      <c r="P281" s="36"/>
      <c r="Q281" s="36"/>
      <c r="R281" s="769">
        <f t="shared" si="12"/>
        <v>0</v>
      </c>
      <c r="S281" s="45"/>
      <c r="T281" s="770"/>
      <c r="U281" s="36"/>
      <c r="V281" s="36"/>
      <c r="W281" s="36">
        <f t="shared" si="13"/>
        <v>0</v>
      </c>
      <c r="X281" s="247">
        <f t="shared" si="14"/>
        <v>0</v>
      </c>
      <c r="Y281" s="516">
        <f t="shared" si="15"/>
        <v>0</v>
      </c>
      <c r="Z281" s="36"/>
      <c r="AA281" s="36"/>
      <c r="AB281" s="36"/>
      <c r="AC281" s="36"/>
      <c r="AD281" s="36"/>
      <c r="AE281" s="36"/>
      <c r="AF281" s="36"/>
    </row>
    <row r="282" spans="1:32" x14ac:dyDescent="0.2">
      <c r="A282" t="s">
        <v>273</v>
      </c>
      <c r="F282" s="769">
        <f t="shared" si="8"/>
        <v>0</v>
      </c>
      <c r="G282" s="770"/>
      <c r="H282" s="36"/>
      <c r="I282" s="44"/>
      <c r="J282" s="1">
        <f t="shared" si="9"/>
        <v>0</v>
      </c>
      <c r="L282" s="769">
        <f t="shared" si="10"/>
        <v>0</v>
      </c>
      <c r="M282" s="44"/>
      <c r="N282" s="770"/>
      <c r="O282" s="36">
        <f t="shared" si="11"/>
        <v>0</v>
      </c>
      <c r="P282" s="36"/>
      <c r="Q282" s="36"/>
      <c r="R282" s="769">
        <f t="shared" si="12"/>
        <v>0</v>
      </c>
      <c r="S282" s="45"/>
      <c r="T282" s="770"/>
      <c r="U282" s="36"/>
      <c r="V282" s="36"/>
      <c r="W282" s="36">
        <f t="shared" si="13"/>
        <v>0</v>
      </c>
      <c r="X282" s="247">
        <f t="shared" si="14"/>
        <v>0</v>
      </c>
      <c r="Y282" s="516">
        <f t="shared" si="15"/>
        <v>0</v>
      </c>
      <c r="Z282" s="36"/>
      <c r="AA282" s="36"/>
      <c r="AB282" s="36"/>
      <c r="AC282" s="36"/>
      <c r="AD282" s="36"/>
      <c r="AE282" s="36"/>
      <c r="AF282" s="36"/>
    </row>
    <row r="283" spans="1:32" x14ac:dyDescent="0.2">
      <c r="A283" t="s">
        <v>274</v>
      </c>
      <c r="F283" s="769">
        <f t="shared" si="8"/>
        <v>0</v>
      </c>
      <c r="G283" s="770"/>
      <c r="H283" s="36"/>
      <c r="I283" s="44"/>
      <c r="J283" s="1">
        <f t="shared" si="9"/>
        <v>0</v>
      </c>
      <c r="L283" s="769">
        <f t="shared" si="10"/>
        <v>0</v>
      </c>
      <c r="M283" s="44"/>
      <c r="N283" s="770"/>
      <c r="O283" s="36">
        <f t="shared" si="11"/>
        <v>0</v>
      </c>
      <c r="P283" s="36"/>
      <c r="Q283" s="36"/>
      <c r="R283" s="769">
        <f t="shared" si="12"/>
        <v>0</v>
      </c>
      <c r="S283" s="45"/>
      <c r="T283" s="770"/>
      <c r="U283" s="36"/>
      <c r="V283" s="36"/>
      <c r="W283" s="36">
        <f t="shared" si="13"/>
        <v>0</v>
      </c>
      <c r="X283" s="247">
        <f t="shared" si="14"/>
        <v>0</v>
      </c>
      <c r="Y283" s="516">
        <f t="shared" si="15"/>
        <v>0</v>
      </c>
      <c r="Z283" s="36"/>
      <c r="AA283" s="36"/>
      <c r="AB283" s="36"/>
      <c r="AC283" s="36"/>
      <c r="AD283" s="36"/>
      <c r="AE283" s="36"/>
      <c r="AF283" s="36"/>
    </row>
    <row r="284" spans="1:32" x14ac:dyDescent="0.2">
      <c r="A284" t="s">
        <v>381</v>
      </c>
      <c r="F284" s="769">
        <f t="shared" si="8"/>
        <v>0</v>
      </c>
      <c r="G284" s="770"/>
      <c r="H284" s="36"/>
      <c r="I284" s="44"/>
      <c r="J284" s="1">
        <f t="shared" si="9"/>
        <v>0</v>
      </c>
      <c r="L284" s="769">
        <f t="shared" si="10"/>
        <v>0</v>
      </c>
      <c r="M284" s="44"/>
      <c r="N284" s="770"/>
      <c r="O284" s="36">
        <f t="shared" si="11"/>
        <v>0</v>
      </c>
      <c r="P284" s="36"/>
      <c r="Q284" s="36"/>
      <c r="R284" s="769">
        <f t="shared" si="12"/>
        <v>0</v>
      </c>
      <c r="S284" s="45"/>
      <c r="T284" s="770"/>
      <c r="U284" s="36"/>
      <c r="V284" s="36"/>
      <c r="W284" s="36">
        <f t="shared" si="13"/>
        <v>0</v>
      </c>
      <c r="X284" s="247">
        <f t="shared" si="14"/>
        <v>0</v>
      </c>
      <c r="Y284" s="516">
        <f t="shared" si="15"/>
        <v>0</v>
      </c>
      <c r="Z284" s="36"/>
      <c r="AA284" s="36"/>
      <c r="AB284" s="36"/>
      <c r="AC284" s="36"/>
      <c r="AD284" s="36"/>
      <c r="AE284" s="36"/>
      <c r="AF284" s="36"/>
    </row>
    <row r="285" spans="1:32" x14ac:dyDescent="0.2">
      <c r="A285" t="s">
        <v>257</v>
      </c>
      <c r="F285" s="769">
        <f t="shared" si="8"/>
        <v>0</v>
      </c>
      <c r="G285" s="770"/>
      <c r="H285" s="36"/>
      <c r="I285" s="44"/>
      <c r="J285" s="1">
        <f t="shared" si="9"/>
        <v>0</v>
      </c>
      <c r="L285" s="769">
        <f t="shared" si="10"/>
        <v>0</v>
      </c>
      <c r="M285" s="44"/>
      <c r="N285" s="770"/>
      <c r="O285" s="36">
        <f t="shared" si="11"/>
        <v>0</v>
      </c>
      <c r="P285" s="36"/>
      <c r="Q285" s="36"/>
      <c r="R285" s="769">
        <f t="shared" si="12"/>
        <v>0</v>
      </c>
      <c r="S285" s="45"/>
      <c r="T285" s="770"/>
      <c r="U285" s="36"/>
      <c r="V285" s="36"/>
      <c r="W285" s="36">
        <f t="shared" si="13"/>
        <v>0</v>
      </c>
      <c r="X285" s="247">
        <f t="shared" si="14"/>
        <v>0</v>
      </c>
      <c r="Y285" s="516">
        <f t="shared" si="15"/>
        <v>0</v>
      </c>
      <c r="Z285" s="36"/>
      <c r="AA285" s="36"/>
      <c r="AB285" s="36"/>
      <c r="AC285" s="36"/>
      <c r="AD285" s="36"/>
      <c r="AE285" s="36"/>
      <c r="AF285" s="36"/>
    </row>
    <row r="286" spans="1:32" x14ac:dyDescent="0.2">
      <c r="A286" t="s">
        <v>55</v>
      </c>
      <c r="F286" s="769">
        <f t="shared" si="8"/>
        <v>0</v>
      </c>
      <c r="G286" s="770"/>
      <c r="H286" s="36"/>
      <c r="I286" s="44"/>
      <c r="J286" s="1">
        <f t="shared" si="9"/>
        <v>0</v>
      </c>
      <c r="L286" s="769">
        <f t="shared" si="10"/>
        <v>0</v>
      </c>
      <c r="M286" s="44"/>
      <c r="N286" s="770"/>
      <c r="O286" s="36">
        <f t="shared" si="11"/>
        <v>0</v>
      </c>
      <c r="P286" s="36"/>
      <c r="Q286" s="36"/>
      <c r="R286" s="769">
        <f t="shared" si="12"/>
        <v>0</v>
      </c>
      <c r="S286" s="45"/>
      <c r="T286" s="770"/>
      <c r="U286" s="36"/>
      <c r="V286" s="36"/>
      <c r="W286" s="36">
        <f t="shared" si="13"/>
        <v>0</v>
      </c>
      <c r="X286" s="247">
        <f t="shared" si="14"/>
        <v>0</v>
      </c>
      <c r="Y286" s="516">
        <f t="shared" si="15"/>
        <v>0</v>
      </c>
      <c r="Z286" s="36"/>
      <c r="AA286" s="36"/>
      <c r="AB286" s="36"/>
      <c r="AC286" s="36"/>
      <c r="AD286" s="36"/>
      <c r="AE286" s="36"/>
      <c r="AF286" s="36"/>
    </row>
    <row r="287" spans="1:32" x14ac:dyDescent="0.2">
      <c r="A287" t="s">
        <v>389</v>
      </c>
      <c r="F287" s="769"/>
      <c r="G287" s="770"/>
      <c r="H287" s="36"/>
      <c r="I287" s="44"/>
      <c r="L287" s="769">
        <f t="shared" si="10"/>
        <v>0</v>
      </c>
      <c r="M287" s="44"/>
      <c r="N287" s="770"/>
      <c r="O287" s="36">
        <f t="shared" si="11"/>
        <v>0</v>
      </c>
      <c r="P287" s="36"/>
      <c r="Q287" s="36"/>
      <c r="R287" s="769"/>
      <c r="S287" s="45"/>
      <c r="T287" s="770"/>
      <c r="U287" s="36"/>
      <c r="V287" s="36"/>
      <c r="W287" s="36"/>
      <c r="X287" s="247">
        <f t="shared" si="14"/>
        <v>0</v>
      </c>
      <c r="Y287" s="516">
        <f t="shared" si="15"/>
        <v>0</v>
      </c>
      <c r="Z287" s="36"/>
      <c r="AA287" s="36"/>
      <c r="AB287" s="36"/>
      <c r="AC287" s="36"/>
      <c r="AD287" s="36"/>
      <c r="AE287" s="36"/>
      <c r="AF287" s="36"/>
    </row>
    <row r="288" spans="1:32" x14ac:dyDescent="0.2">
      <c r="A288" t="s">
        <v>390</v>
      </c>
      <c r="F288" s="769"/>
      <c r="G288" s="770"/>
      <c r="H288" s="36"/>
      <c r="I288" s="44"/>
      <c r="L288" s="769">
        <f t="shared" si="10"/>
        <v>0</v>
      </c>
      <c r="M288" s="44"/>
      <c r="N288" s="770"/>
      <c r="O288" s="36">
        <f t="shared" si="11"/>
        <v>0</v>
      </c>
      <c r="P288" s="36"/>
      <c r="Q288" s="36"/>
      <c r="R288" s="769"/>
      <c r="S288" s="45"/>
      <c r="T288" s="770"/>
      <c r="U288" s="36"/>
      <c r="V288" s="36"/>
      <c r="W288" s="36"/>
      <c r="X288" s="247">
        <f t="shared" si="14"/>
        <v>0</v>
      </c>
      <c r="Y288" s="516">
        <f t="shared" si="15"/>
        <v>0</v>
      </c>
      <c r="Z288" s="36"/>
      <c r="AA288" s="36"/>
      <c r="AB288" s="36"/>
      <c r="AC288" s="36"/>
      <c r="AD288" s="36"/>
      <c r="AE288" s="36"/>
      <c r="AF288" s="36"/>
    </row>
    <row r="289" spans="1:32" s="454" customFormat="1" x14ac:dyDescent="0.2">
      <c r="A289" s="454" t="s">
        <v>1076</v>
      </c>
      <c r="F289" s="769"/>
      <c r="G289" s="770"/>
      <c r="H289" s="36"/>
      <c r="I289" s="44"/>
      <c r="J289" s="1"/>
      <c r="K289" s="1"/>
      <c r="L289" s="769"/>
      <c r="M289" s="44"/>
      <c r="N289" s="770"/>
      <c r="O289" s="36"/>
      <c r="P289" s="36"/>
      <c r="Q289" s="36"/>
      <c r="R289" s="769"/>
      <c r="S289" s="45"/>
      <c r="T289" s="770"/>
      <c r="U289" s="36">
        <f>L230</f>
        <v>0</v>
      </c>
      <c r="V289" s="36"/>
      <c r="W289" s="36"/>
      <c r="X289" s="247">
        <f>F289+H289+L289+O289+R289+U289</f>
        <v>0</v>
      </c>
      <c r="Y289" s="516">
        <f>G289+J289+N289+Q289+T289+W289</f>
        <v>0</v>
      </c>
      <c r="Z289" s="36"/>
      <c r="AA289" s="36"/>
      <c r="AB289" s="36"/>
      <c r="AC289" s="36"/>
      <c r="AD289" s="36"/>
      <c r="AE289" s="36"/>
      <c r="AF289" s="36"/>
    </row>
    <row r="290" spans="1:32" x14ac:dyDescent="0.2">
      <c r="A290" t="s">
        <v>423</v>
      </c>
      <c r="F290" s="769"/>
      <c r="G290" s="770"/>
      <c r="H290" s="36"/>
      <c r="I290" s="44"/>
      <c r="L290" s="769"/>
      <c r="M290" s="44"/>
      <c r="N290" s="770"/>
      <c r="O290" s="36"/>
      <c r="P290" s="36"/>
      <c r="Q290" s="36"/>
      <c r="R290" s="769"/>
      <c r="S290" s="45"/>
      <c r="T290" s="770">
        <f>N177</f>
        <v>0</v>
      </c>
      <c r="U290" s="36"/>
      <c r="V290" s="36"/>
      <c r="W290" s="36"/>
      <c r="X290" s="247">
        <f t="shared" si="14"/>
        <v>0</v>
      </c>
      <c r="Y290" s="516">
        <f t="shared" si="15"/>
        <v>0</v>
      </c>
      <c r="Z290" s="36"/>
      <c r="AA290" s="36"/>
      <c r="AB290" s="36"/>
      <c r="AC290" s="36"/>
      <c r="AD290" s="36"/>
      <c r="AE290" s="36"/>
      <c r="AF290" s="36"/>
    </row>
    <row r="291" spans="1:32" x14ac:dyDescent="0.2">
      <c r="A291" t="s">
        <v>694</v>
      </c>
      <c r="F291" s="769"/>
      <c r="G291" s="770">
        <f>J41+J63</f>
        <v>10700</v>
      </c>
      <c r="H291" s="36">
        <f>L41+L63</f>
        <v>8653</v>
      </c>
      <c r="I291" s="44"/>
      <c r="L291" s="769"/>
      <c r="M291" s="44"/>
      <c r="N291" s="770"/>
      <c r="O291" s="36"/>
      <c r="P291" s="36"/>
      <c r="Q291" s="36"/>
      <c r="R291" s="769"/>
      <c r="S291" s="45"/>
      <c r="T291" s="770"/>
      <c r="U291" s="36"/>
      <c r="V291" s="36"/>
      <c r="W291" s="36"/>
      <c r="X291" s="247">
        <f t="shared" si="14"/>
        <v>8653</v>
      </c>
      <c r="Y291" s="516">
        <f t="shared" si="15"/>
        <v>10700</v>
      </c>
      <c r="Z291" s="36"/>
      <c r="AA291" s="36"/>
      <c r="AB291" s="36"/>
      <c r="AC291" s="36"/>
      <c r="AD291" s="36"/>
      <c r="AE291" s="36"/>
      <c r="AF291" s="36"/>
    </row>
    <row r="292" spans="1:32" x14ac:dyDescent="0.2">
      <c r="A292" t="s">
        <v>129</v>
      </c>
      <c r="F292" s="769"/>
      <c r="G292" s="770"/>
      <c r="H292" s="36"/>
      <c r="I292" s="44"/>
      <c r="L292" s="769"/>
      <c r="M292" s="44"/>
      <c r="N292" s="770">
        <f>N71-N73+N75</f>
        <v>0</v>
      </c>
      <c r="O292" s="36"/>
      <c r="P292" s="36"/>
      <c r="Q292" s="36"/>
      <c r="R292" s="769"/>
      <c r="S292" s="45"/>
      <c r="T292" s="770"/>
      <c r="U292" s="36"/>
      <c r="V292" s="36"/>
      <c r="W292" s="36"/>
      <c r="X292" s="247">
        <f t="shared" si="14"/>
        <v>0</v>
      </c>
      <c r="Y292" s="516">
        <f t="shared" si="15"/>
        <v>0</v>
      </c>
      <c r="Z292" s="36"/>
      <c r="AA292" s="36"/>
      <c r="AB292" s="36"/>
      <c r="AC292" s="36"/>
      <c r="AD292" s="36"/>
      <c r="AE292" s="36"/>
      <c r="AF292" s="36"/>
    </row>
    <row r="293" spans="1:32" x14ac:dyDescent="0.2">
      <c r="A293" t="str">
        <f>'Conversion Worksheet'!C100</f>
        <v>Other long-term liability #1</v>
      </c>
      <c r="F293" s="769"/>
      <c r="G293" s="770"/>
      <c r="H293" s="36"/>
      <c r="I293" s="44"/>
      <c r="L293" s="769"/>
      <c r="M293" s="44"/>
      <c r="N293" s="770"/>
      <c r="O293" s="36"/>
      <c r="P293" s="36"/>
      <c r="Q293" s="36">
        <f>N108+N110+N114-N112</f>
        <v>0</v>
      </c>
      <c r="R293" s="769"/>
      <c r="S293" s="45"/>
      <c r="T293" s="770"/>
      <c r="U293" s="36"/>
      <c r="V293" s="36"/>
      <c r="W293" s="36"/>
      <c r="X293" s="247">
        <f t="shared" si="14"/>
        <v>0</v>
      </c>
      <c r="Y293" s="516">
        <f t="shared" si="15"/>
        <v>0</v>
      </c>
      <c r="Z293" s="36"/>
      <c r="AA293" s="36"/>
      <c r="AB293" s="36"/>
      <c r="AC293" s="36"/>
      <c r="AD293" s="36"/>
      <c r="AE293" s="36"/>
      <c r="AF293" s="36"/>
    </row>
    <row r="294" spans="1:32" x14ac:dyDescent="0.2">
      <c r="A294" t="str">
        <f>'Conversion Worksheet'!C101</f>
        <v>Other long-term liability #2</v>
      </c>
      <c r="F294" s="769"/>
      <c r="G294" s="770"/>
      <c r="H294" s="36"/>
      <c r="I294" s="44"/>
      <c r="L294" s="769"/>
      <c r="M294" s="44"/>
      <c r="N294" s="770"/>
      <c r="O294" s="36"/>
      <c r="P294" s="36"/>
      <c r="Q294" s="36">
        <f>O110+O114-O112</f>
        <v>0</v>
      </c>
      <c r="R294" s="769"/>
      <c r="S294" s="45"/>
      <c r="T294" s="770"/>
      <c r="U294" s="36"/>
      <c r="V294" s="36"/>
      <c r="W294" s="36"/>
      <c r="X294" s="247">
        <f t="shared" si="14"/>
        <v>0</v>
      </c>
      <c r="Y294" s="516">
        <f t="shared" si="15"/>
        <v>0</v>
      </c>
      <c r="Z294" s="36"/>
      <c r="AA294" s="36"/>
      <c r="AB294" s="36"/>
      <c r="AC294" s="36"/>
      <c r="AD294" s="36"/>
      <c r="AE294" s="36"/>
      <c r="AF294" s="36"/>
    </row>
    <row r="295" spans="1:32" ht="13.5" thickBot="1" x14ac:dyDescent="0.25">
      <c r="F295" s="788">
        <f>SUM(F270:F294)</f>
        <v>10700</v>
      </c>
      <c r="G295" s="789">
        <f>SUM(G270:G294)</f>
        <v>10700</v>
      </c>
      <c r="H295" s="246">
        <f>SUM(H270:H294)</f>
        <v>8653</v>
      </c>
      <c r="I295" s="246"/>
      <c r="J295" s="246">
        <f>SUM(J270:J294)</f>
        <v>8653</v>
      </c>
      <c r="K295" s="246"/>
      <c r="L295" s="788">
        <f>SUM(L270:L294)</f>
        <v>0</v>
      </c>
      <c r="M295" s="246"/>
      <c r="N295" s="789">
        <f>SUM(N270:N294)</f>
        <v>0</v>
      </c>
      <c r="O295" s="246">
        <f>SUM(O270:O294)</f>
        <v>0</v>
      </c>
      <c r="P295" s="246"/>
      <c r="Q295" s="246">
        <f>SUM(Q270:Q294)</f>
        <v>0</v>
      </c>
      <c r="R295" s="788">
        <f>SUM(R270:R294)</f>
        <v>0</v>
      </c>
      <c r="S295" s="246"/>
      <c r="T295" s="789">
        <f>SUM(T270:T294)</f>
        <v>0</v>
      </c>
      <c r="U295" s="246">
        <f>SUM(U270:U294)</f>
        <v>0</v>
      </c>
      <c r="V295" s="246"/>
      <c r="W295" s="246">
        <f>SUM(W270:W294)</f>
        <v>0</v>
      </c>
      <c r="X295" s="248">
        <f>SUM(X270:X294)</f>
        <v>19353</v>
      </c>
      <c r="Y295" s="795">
        <f>SUM(Y270:Y294)</f>
        <v>19353</v>
      </c>
      <c r="Z295" s="36"/>
      <c r="AA295" s="36"/>
      <c r="AB295" s="36"/>
      <c r="AC295" s="36"/>
      <c r="AD295" s="36"/>
      <c r="AE295" s="36"/>
      <c r="AF295" s="36"/>
    </row>
    <row r="296" spans="1:32" ht="13.5" thickTop="1" x14ac:dyDescent="0.2">
      <c r="F296" s="249">
        <f>F295-G295</f>
        <v>0</v>
      </c>
      <c r="G296" s="36"/>
      <c r="H296" s="249">
        <f>H295-J295</f>
        <v>0</v>
      </c>
      <c r="I296" s="44"/>
      <c r="L296" s="249">
        <f>L295-N295</f>
        <v>0</v>
      </c>
      <c r="M296" s="44"/>
      <c r="N296" s="36"/>
      <c r="O296" s="249">
        <f>O295-Q295</f>
        <v>0</v>
      </c>
      <c r="P296" s="36"/>
      <c r="Q296" s="36"/>
      <c r="R296" s="36"/>
      <c r="S296" s="36"/>
      <c r="T296" s="36"/>
      <c r="U296" s="36"/>
      <c r="V296" s="36"/>
      <c r="W296" s="36"/>
      <c r="X296" s="249">
        <f>X295-Y295</f>
        <v>0</v>
      </c>
      <c r="Y296" s="516"/>
      <c r="Z296" s="36"/>
      <c r="AA296" s="36"/>
      <c r="AB296" s="36"/>
      <c r="AC296" s="36"/>
      <c r="AD296" s="36"/>
      <c r="AE296" s="36"/>
      <c r="AF296" s="36"/>
    </row>
  </sheetData>
  <sheetProtection algorithmName="SHA-512" hashValue="/coEg4iq0L5W+qdhTlyCdVbYi9QSpPGzY341JuRYRMcW6KY0mPBoi5OIjImAWmmG5ON6iAAK9toi0TWV9nhxIQ==" saltValue="Uws34iNkybD7e5k417R3bA==" spinCount="100000" sheet="1" objects="1" scenarios="1"/>
  <mergeCells count="54">
    <mergeCell ref="C81:P82"/>
    <mergeCell ref="B12:O12"/>
    <mergeCell ref="B14:O14"/>
    <mergeCell ref="B19:P19"/>
    <mergeCell ref="O99:O102"/>
    <mergeCell ref="B66:P66"/>
    <mergeCell ref="L99:L102"/>
    <mergeCell ref="H99:H102"/>
    <mergeCell ref="B16:N16"/>
    <mergeCell ref="H267:J267"/>
    <mergeCell ref="F267:G267"/>
    <mergeCell ref="F266:G266"/>
    <mergeCell ref="C114:J115"/>
    <mergeCell ref="H145:H147"/>
    <mergeCell ref="J145:J147"/>
    <mergeCell ref="C151:L151"/>
    <mergeCell ref="C153:L153"/>
    <mergeCell ref="C157:P158"/>
    <mergeCell ref="B233:P233"/>
    <mergeCell ref="Q114:Q115"/>
    <mergeCell ref="O114:O115"/>
    <mergeCell ref="L122:O122"/>
    <mergeCell ref="G122:J122"/>
    <mergeCell ref="C119:L120"/>
    <mergeCell ref="L114:L115"/>
    <mergeCell ref="N114:N115"/>
    <mergeCell ref="C110:J110"/>
    <mergeCell ref="C112:J112"/>
    <mergeCell ref="B105:P105"/>
    <mergeCell ref="B180:O180"/>
    <mergeCell ref="C211:J211"/>
    <mergeCell ref="X266:Y266"/>
    <mergeCell ref="H266:J266"/>
    <mergeCell ref="L266:N266"/>
    <mergeCell ref="O266:Q266"/>
    <mergeCell ref="O145:O147"/>
    <mergeCell ref="L145:L147"/>
    <mergeCell ref="R266:T266"/>
    <mergeCell ref="B149:P149"/>
    <mergeCell ref="G145:G147"/>
    <mergeCell ref="A263:O264"/>
    <mergeCell ref="N145:N147"/>
    <mergeCell ref="U266:W266"/>
    <mergeCell ref="C182:H182"/>
    <mergeCell ref="O174:Q176"/>
    <mergeCell ref="A2:Q2"/>
    <mergeCell ref="A4:Q4"/>
    <mergeCell ref="B6:Q7"/>
    <mergeCell ref="B9:Q10"/>
    <mergeCell ref="C75:J77"/>
    <mergeCell ref="J21:L21"/>
    <mergeCell ref="J43:L43"/>
    <mergeCell ref="N75:N76"/>
    <mergeCell ref="O75:O76"/>
  </mergeCells>
  <phoneticPr fontId="0" type="noConversion"/>
  <printOptions horizontalCentered="1"/>
  <pageMargins left="0.51" right="0.33" top="0.66" bottom="0.5" header="0.5" footer="0.5"/>
  <pageSetup scale="63" orientation="portrait" r:id="rId1"/>
  <headerFooter alignWithMargins="0">
    <oddHeader>&amp;R&amp;"Arial,Bold"&amp;12Entry H</oddHeader>
    <oddFooter>&amp;R&amp;P</oddFooter>
  </headerFooter>
  <rowBreaks count="4" manualBreakCount="4">
    <brk id="65" max="16" man="1"/>
    <brk id="103" max="16" man="1"/>
    <brk id="232" max="16" man="1"/>
    <brk id="261" max="18" man="1"/>
  </rowBreaks>
  <ignoredErrors>
    <ignoredError sqref="A6 A9 B119 B68 B71 B73 B75 B79 B81 B108 B110 B112 B114 B117" numberStoredAsText="1"/>
  </ignoredError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36"/>
  <sheetViews>
    <sheetView zoomScale="90" workbookViewId="0">
      <selection activeCell="A2" sqref="A2:N2"/>
    </sheetView>
  </sheetViews>
  <sheetFormatPr defaultRowHeight="12.75" x14ac:dyDescent="0.2"/>
  <cols>
    <col min="1" max="1" width="4.42578125" customWidth="1"/>
    <col min="2" max="2" width="3.42578125" customWidth="1"/>
    <col min="4" max="4" width="4.5703125" customWidth="1"/>
    <col min="5" max="5" width="12.28515625" customWidth="1"/>
    <col min="6" max="6" width="17.85546875" customWidth="1"/>
    <col min="7" max="7" width="11.28515625" customWidth="1"/>
    <col min="8" max="8" width="13.7109375" customWidth="1"/>
    <col min="9" max="9" width="16.28515625" customWidth="1"/>
    <col min="10" max="10" width="18.28515625" customWidth="1"/>
    <col min="11" max="11" width="1.140625" customWidth="1"/>
    <col min="12" max="12" width="18.28515625" customWidth="1"/>
    <col min="13" max="13" width="2.140625" customWidth="1"/>
    <col min="14" max="14" width="22" bestFit="1" customWidth="1"/>
    <col min="15" max="15" width="0.85546875" customWidth="1"/>
    <col min="16" max="16" width="4.7109375" customWidth="1"/>
  </cols>
  <sheetData>
    <row r="1" spans="1:16" ht="7.5" customHeight="1" x14ac:dyDescent="0.2"/>
    <row r="2" spans="1:16" ht="33.75" customHeight="1" x14ac:dyDescent="0.2">
      <c r="A2" s="963" t="s">
        <v>191</v>
      </c>
      <c r="B2" s="964"/>
      <c r="C2" s="964"/>
      <c r="D2" s="964"/>
      <c r="E2" s="964"/>
      <c r="F2" s="964"/>
      <c r="G2" s="964"/>
      <c r="H2" s="964"/>
      <c r="I2" s="964"/>
      <c r="J2" s="964"/>
      <c r="K2" s="964"/>
      <c r="L2" s="964"/>
      <c r="M2" s="964"/>
      <c r="N2" s="965"/>
    </row>
    <row r="3" spans="1:16" ht="12" customHeight="1" x14ac:dyDescent="0.2">
      <c r="H3" s="40"/>
    </row>
    <row r="4" spans="1:16" ht="63.75" customHeight="1" x14ac:dyDescent="0.2">
      <c r="A4" s="970" t="s">
        <v>756</v>
      </c>
      <c r="B4" s="858"/>
      <c r="C4" s="858"/>
      <c r="D4" s="858"/>
      <c r="E4" s="858"/>
      <c r="F4" s="858"/>
      <c r="G4" s="858"/>
      <c r="H4" s="858"/>
      <c r="I4" s="858"/>
      <c r="J4" s="858"/>
      <c r="K4" s="858"/>
      <c r="L4" s="858"/>
      <c r="M4" s="858"/>
      <c r="N4" s="858"/>
      <c r="O4" s="34"/>
      <c r="P4" s="34"/>
    </row>
    <row r="5" spans="1:16" ht="5.25" customHeight="1" x14ac:dyDescent="0.2">
      <c r="B5" s="34"/>
      <c r="C5" s="35"/>
      <c r="D5" s="35"/>
      <c r="E5" s="35"/>
      <c r="F5" s="35"/>
      <c r="G5" s="35"/>
      <c r="H5" s="35"/>
      <c r="I5" s="35"/>
      <c r="J5" s="35"/>
      <c r="K5" s="35"/>
      <c r="L5" s="35"/>
      <c r="M5" s="35"/>
      <c r="N5" s="35"/>
      <c r="O5" s="35"/>
      <c r="P5" s="35"/>
    </row>
    <row r="6" spans="1:16" ht="12.75" customHeight="1" x14ac:dyDescent="0.2">
      <c r="A6" s="4"/>
      <c r="B6" s="39" t="s">
        <v>649</v>
      </c>
      <c r="C6" s="859" t="s">
        <v>477</v>
      </c>
      <c r="D6" s="859"/>
      <c r="E6" s="859"/>
      <c r="F6" s="859"/>
      <c r="G6" s="859"/>
      <c r="H6" s="859"/>
      <c r="I6" s="859"/>
      <c r="J6" s="859"/>
      <c r="K6" s="859"/>
      <c r="L6" s="859"/>
      <c r="M6" s="859"/>
      <c r="N6" s="859"/>
      <c r="O6" s="35"/>
      <c r="P6" s="35"/>
    </row>
    <row r="7" spans="1:16" ht="39.75" customHeight="1" x14ac:dyDescent="0.2">
      <c r="A7" s="4"/>
      <c r="B7" s="39"/>
      <c r="C7" s="859"/>
      <c r="D7" s="859"/>
      <c r="E7" s="859"/>
      <c r="F7" s="859"/>
      <c r="G7" s="859"/>
      <c r="H7" s="859"/>
      <c r="I7" s="859"/>
      <c r="J7" s="859"/>
      <c r="K7" s="859"/>
      <c r="L7" s="859"/>
      <c r="M7" s="859"/>
      <c r="N7" s="859"/>
      <c r="O7" s="35"/>
      <c r="P7" s="35"/>
    </row>
    <row r="8" spans="1:16" ht="4.5" customHeight="1" x14ac:dyDescent="0.2">
      <c r="B8" s="39"/>
      <c r="C8" s="35"/>
      <c r="D8" s="35"/>
      <c r="E8" s="35"/>
      <c r="F8" s="35"/>
      <c r="G8" s="35"/>
      <c r="H8" s="35"/>
      <c r="I8" s="35"/>
      <c r="J8" s="35"/>
      <c r="K8" s="35"/>
      <c r="L8" s="35"/>
      <c r="M8" s="35"/>
      <c r="N8" s="35"/>
      <c r="O8" s="35"/>
      <c r="P8" s="35"/>
    </row>
    <row r="9" spans="1:16" ht="12.75" customHeight="1" x14ac:dyDescent="0.2">
      <c r="B9" s="39" t="s">
        <v>650</v>
      </c>
      <c r="C9" s="989" t="s">
        <v>741</v>
      </c>
      <c r="D9" s="859"/>
      <c r="E9" s="859"/>
      <c r="F9" s="859"/>
      <c r="G9" s="859"/>
      <c r="H9" s="859"/>
      <c r="I9" s="859"/>
      <c r="J9" s="859"/>
      <c r="K9" s="859"/>
      <c r="L9" s="859"/>
      <c r="M9" s="859"/>
      <c r="N9" s="859"/>
      <c r="O9" s="35"/>
      <c r="P9" s="35"/>
    </row>
    <row r="10" spans="1:16" ht="44.25" customHeight="1" x14ac:dyDescent="0.2">
      <c r="B10" s="39"/>
      <c r="C10" s="859"/>
      <c r="D10" s="859"/>
      <c r="E10" s="859"/>
      <c r="F10" s="859"/>
      <c r="G10" s="859"/>
      <c r="H10" s="859"/>
      <c r="I10" s="859"/>
      <c r="J10" s="859"/>
      <c r="K10" s="859"/>
      <c r="L10" s="859"/>
      <c r="M10" s="859"/>
      <c r="N10" s="859"/>
      <c r="O10" s="35"/>
      <c r="P10" s="35"/>
    </row>
    <row r="11" spans="1:16" ht="4.5" customHeight="1" x14ac:dyDescent="0.2">
      <c r="B11" s="39"/>
      <c r="C11" s="34"/>
      <c r="D11" s="35"/>
      <c r="E11" s="35"/>
      <c r="F11" s="35"/>
      <c r="G11" s="35"/>
      <c r="H11" s="35"/>
      <c r="I11" s="35"/>
      <c r="J11" s="35"/>
      <c r="K11" s="35"/>
      <c r="L11" s="35"/>
      <c r="M11" s="35"/>
      <c r="N11" s="35"/>
      <c r="O11" s="35"/>
      <c r="P11" s="35"/>
    </row>
    <row r="12" spans="1:16" ht="12.75" customHeight="1" x14ac:dyDescent="0.2">
      <c r="B12" s="39" t="s">
        <v>651</v>
      </c>
      <c r="C12" s="858" t="s">
        <v>478</v>
      </c>
      <c r="D12" s="858"/>
      <c r="E12" s="858"/>
      <c r="F12" s="858"/>
      <c r="G12" s="858"/>
      <c r="H12" s="858"/>
      <c r="I12" s="858"/>
      <c r="J12" s="858"/>
      <c r="K12" s="858"/>
      <c r="L12" s="858"/>
      <c r="M12" s="858"/>
      <c r="N12" s="858"/>
      <c r="O12" s="35"/>
      <c r="P12" s="35"/>
    </row>
    <row r="13" spans="1:16" ht="11.25" customHeight="1" x14ac:dyDescent="0.2">
      <c r="B13" s="39"/>
      <c r="C13" s="858"/>
      <c r="D13" s="858"/>
      <c r="E13" s="858"/>
      <c r="F13" s="858"/>
      <c r="G13" s="858"/>
      <c r="H13" s="858"/>
      <c r="I13" s="858"/>
      <c r="J13" s="858"/>
      <c r="K13" s="858"/>
      <c r="L13" s="858"/>
      <c r="M13" s="858"/>
      <c r="N13" s="858"/>
      <c r="O13" s="35"/>
      <c r="P13" s="35"/>
    </row>
    <row r="14" spans="1:16" ht="3.75" customHeight="1" x14ac:dyDescent="0.2">
      <c r="B14" s="39"/>
      <c r="C14" s="34"/>
      <c r="D14" s="35"/>
      <c r="E14" s="35"/>
      <c r="F14" s="35"/>
      <c r="G14" s="35"/>
      <c r="H14" s="35"/>
      <c r="I14" s="35"/>
      <c r="J14" s="35"/>
      <c r="K14" s="35"/>
      <c r="L14" s="35"/>
      <c r="M14" s="35"/>
      <c r="N14" s="35"/>
      <c r="O14" s="35"/>
      <c r="P14" s="35"/>
    </row>
    <row r="15" spans="1:16" ht="11.25" customHeight="1" x14ac:dyDescent="0.2">
      <c r="B15" s="39" t="s">
        <v>335</v>
      </c>
      <c r="C15" s="859" t="s">
        <v>717</v>
      </c>
      <c r="D15" s="859"/>
      <c r="E15" s="859"/>
      <c r="F15" s="859"/>
      <c r="G15" s="859"/>
      <c r="H15" s="859"/>
      <c r="I15" s="859"/>
      <c r="J15" s="859"/>
      <c r="K15" s="859"/>
      <c r="L15" s="859"/>
      <c r="M15" s="859"/>
      <c r="N15" s="859"/>
      <c r="O15" s="35"/>
      <c r="P15" s="35"/>
    </row>
    <row r="16" spans="1:16" ht="30.75" customHeight="1" x14ac:dyDescent="0.2">
      <c r="B16" s="39"/>
      <c r="C16" s="859"/>
      <c r="D16" s="859"/>
      <c r="E16" s="859"/>
      <c r="F16" s="859"/>
      <c r="G16" s="859"/>
      <c r="H16" s="859"/>
      <c r="I16" s="859"/>
      <c r="J16" s="859"/>
      <c r="K16" s="859"/>
      <c r="L16" s="859"/>
      <c r="M16" s="859"/>
      <c r="N16" s="859"/>
      <c r="O16" s="35"/>
      <c r="P16" s="35"/>
    </row>
    <row r="17" spans="1:16" ht="3.75" customHeight="1" x14ac:dyDescent="0.2">
      <c r="B17" s="39"/>
      <c r="C17" s="34"/>
      <c r="D17" s="35"/>
      <c r="E17" s="35"/>
      <c r="F17" s="35"/>
      <c r="G17" s="35"/>
      <c r="H17" s="35"/>
      <c r="I17" s="35"/>
      <c r="J17" s="35"/>
      <c r="K17" s="35"/>
      <c r="L17" s="35"/>
      <c r="M17" s="35"/>
      <c r="N17" s="35"/>
      <c r="O17" s="35"/>
      <c r="P17" s="35"/>
    </row>
    <row r="18" spans="1:16" ht="11.25" customHeight="1" x14ac:dyDescent="0.2">
      <c r="B18" s="39" t="s">
        <v>336</v>
      </c>
      <c r="C18" s="989" t="s">
        <v>742</v>
      </c>
      <c r="D18" s="859"/>
      <c r="E18" s="859"/>
      <c r="F18" s="859"/>
      <c r="G18" s="859"/>
      <c r="H18" s="859"/>
      <c r="I18" s="859"/>
      <c r="J18" s="859"/>
      <c r="K18" s="859"/>
      <c r="L18" s="859"/>
      <c r="M18" s="859"/>
      <c r="N18" s="859"/>
      <c r="O18" s="35"/>
      <c r="P18" s="35"/>
    </row>
    <row r="19" spans="1:16" ht="46.5" customHeight="1" x14ac:dyDescent="0.2">
      <c r="B19" s="39"/>
      <c r="C19" s="859"/>
      <c r="D19" s="859"/>
      <c r="E19" s="859"/>
      <c r="F19" s="859"/>
      <c r="G19" s="859"/>
      <c r="H19" s="859"/>
      <c r="I19" s="859"/>
      <c r="J19" s="859"/>
      <c r="K19" s="859"/>
      <c r="L19" s="859"/>
      <c r="M19" s="859"/>
      <c r="N19" s="859"/>
      <c r="O19" s="35"/>
      <c r="P19" s="35"/>
    </row>
    <row r="20" spans="1:16" ht="3.75" customHeight="1" x14ac:dyDescent="0.2">
      <c r="B20" s="39"/>
      <c r="C20" s="34"/>
      <c r="D20" s="35"/>
      <c r="E20" s="35"/>
      <c r="F20" s="35"/>
      <c r="G20" s="35"/>
      <c r="H20" s="35"/>
      <c r="I20" s="35"/>
      <c r="J20" s="35"/>
      <c r="K20" s="35"/>
      <c r="L20" s="35"/>
      <c r="M20" s="35"/>
      <c r="N20" s="35"/>
      <c r="O20" s="35"/>
      <c r="P20" s="35"/>
    </row>
    <row r="21" spans="1:16" ht="12.75" customHeight="1" x14ac:dyDescent="0.2">
      <c r="B21" s="232" t="s">
        <v>182</v>
      </c>
      <c r="C21" s="989" t="s">
        <v>743</v>
      </c>
      <c r="D21" s="859"/>
      <c r="E21" s="859"/>
      <c r="F21" s="859"/>
      <c r="G21" s="859"/>
      <c r="H21" s="859"/>
      <c r="I21" s="859"/>
      <c r="J21" s="859"/>
      <c r="K21" s="859"/>
      <c r="L21" s="859"/>
      <c r="M21" s="859"/>
      <c r="N21" s="859"/>
      <c r="O21" s="35"/>
      <c r="P21" s="35"/>
    </row>
    <row r="22" spans="1:16" ht="12.75" customHeight="1" x14ac:dyDescent="0.2">
      <c r="B22" s="39"/>
      <c r="C22" s="859"/>
      <c r="D22" s="859"/>
      <c r="E22" s="859"/>
      <c r="F22" s="859"/>
      <c r="G22" s="859"/>
      <c r="H22" s="859"/>
      <c r="I22" s="859"/>
      <c r="J22" s="859"/>
      <c r="K22" s="859"/>
      <c r="L22" s="859"/>
      <c r="M22" s="859"/>
      <c r="N22" s="859"/>
      <c r="O22" s="35"/>
      <c r="P22" s="35"/>
    </row>
    <row r="23" spans="1:16" ht="12.75" customHeight="1" x14ac:dyDescent="0.2">
      <c r="B23" s="39"/>
      <c r="C23" s="859"/>
      <c r="D23" s="859"/>
      <c r="E23" s="859"/>
      <c r="F23" s="859"/>
      <c r="G23" s="859"/>
      <c r="H23" s="859"/>
      <c r="I23" s="859"/>
      <c r="J23" s="859"/>
      <c r="K23" s="859"/>
      <c r="L23" s="859"/>
      <c r="M23" s="859"/>
      <c r="N23" s="859"/>
      <c r="O23" s="35"/>
      <c r="P23" s="35"/>
    </row>
    <row r="24" spans="1:16" ht="12.75" customHeight="1" x14ac:dyDescent="0.2">
      <c r="B24" s="39"/>
      <c r="C24" s="859"/>
      <c r="D24" s="859"/>
      <c r="E24" s="859"/>
      <c r="F24" s="859"/>
      <c r="G24" s="859"/>
      <c r="H24" s="859"/>
      <c r="I24" s="859"/>
      <c r="J24" s="859"/>
      <c r="K24" s="859"/>
      <c r="L24" s="859"/>
      <c r="M24" s="859"/>
      <c r="N24" s="859"/>
      <c r="O24" s="35"/>
      <c r="P24" s="35"/>
    </row>
    <row r="25" spans="1:16" ht="27" customHeight="1" x14ac:dyDescent="0.2">
      <c r="B25" s="39"/>
      <c r="C25" s="859"/>
      <c r="D25" s="859"/>
      <c r="E25" s="859"/>
      <c r="F25" s="859"/>
      <c r="G25" s="859"/>
      <c r="H25" s="859"/>
      <c r="I25" s="859"/>
      <c r="J25" s="859"/>
      <c r="K25" s="859"/>
      <c r="L25" s="859"/>
      <c r="M25" s="859"/>
      <c r="N25" s="859"/>
      <c r="O25" s="35"/>
      <c r="P25" s="35"/>
    </row>
    <row r="26" spans="1:16" ht="3.75" customHeight="1" x14ac:dyDescent="0.2">
      <c r="B26" s="39"/>
      <c r="C26" s="160"/>
      <c r="D26" s="160"/>
      <c r="E26" s="160"/>
      <c r="F26" s="160"/>
      <c r="G26" s="160"/>
      <c r="H26" s="160"/>
      <c r="I26" s="160"/>
      <c r="J26" s="160"/>
      <c r="K26" s="160"/>
      <c r="L26" s="160"/>
      <c r="M26" s="160"/>
      <c r="N26" s="160"/>
      <c r="O26" s="35"/>
      <c r="P26" s="35"/>
    </row>
    <row r="27" spans="1:16" x14ac:dyDescent="0.2">
      <c r="B27" s="54" t="s">
        <v>20</v>
      </c>
      <c r="C27" s="970" t="s">
        <v>744</v>
      </c>
      <c r="D27" s="858"/>
      <c r="E27" s="858"/>
      <c r="F27" s="858"/>
      <c r="G27" s="858"/>
      <c r="H27" s="858"/>
      <c r="I27" s="858"/>
      <c r="J27" s="858"/>
      <c r="K27" s="858"/>
      <c r="L27" s="858"/>
      <c r="M27" s="858"/>
      <c r="N27" s="858"/>
      <c r="O27" s="35"/>
      <c r="P27" s="35"/>
    </row>
    <row r="28" spans="1:16" x14ac:dyDescent="0.2">
      <c r="B28" s="232"/>
      <c r="C28" s="858"/>
      <c r="D28" s="858"/>
      <c r="E28" s="858"/>
      <c r="F28" s="858"/>
      <c r="G28" s="858"/>
      <c r="H28" s="858"/>
      <c r="I28" s="858"/>
      <c r="J28" s="858"/>
      <c r="K28" s="858"/>
      <c r="L28" s="858"/>
      <c r="M28" s="858"/>
      <c r="N28" s="858"/>
      <c r="O28" s="35"/>
      <c r="P28" s="35"/>
    </row>
    <row r="29" spans="1:16" x14ac:dyDescent="0.2">
      <c r="B29" s="232"/>
      <c r="C29" s="858"/>
      <c r="D29" s="858"/>
      <c r="E29" s="858"/>
      <c r="F29" s="858"/>
      <c r="G29" s="858"/>
      <c r="H29" s="858"/>
      <c r="I29" s="858"/>
      <c r="J29" s="858"/>
      <c r="K29" s="858"/>
      <c r="L29" s="858"/>
      <c r="M29" s="858"/>
      <c r="N29" s="858"/>
      <c r="O29" s="35"/>
      <c r="P29" s="35"/>
    </row>
    <row r="30" spans="1:16" x14ac:dyDescent="0.2">
      <c r="B30" s="39"/>
      <c r="C30" s="238"/>
      <c r="D30" s="238"/>
      <c r="E30" s="238"/>
      <c r="F30" s="238"/>
      <c r="G30" s="238"/>
      <c r="H30" s="238"/>
      <c r="I30" s="238"/>
      <c r="J30" s="238"/>
      <c r="K30" s="238"/>
      <c r="L30" s="238"/>
      <c r="M30" s="238"/>
      <c r="N30" s="238"/>
      <c r="O30" s="35"/>
      <c r="P30" s="35"/>
    </row>
    <row r="31" spans="1:16" ht="25.5" customHeight="1" x14ac:dyDescent="0.2">
      <c r="A31" s="765" t="s">
        <v>333</v>
      </c>
      <c r="B31" s="967" t="s">
        <v>716</v>
      </c>
      <c r="C31" s="968"/>
      <c r="D31" s="968"/>
      <c r="E31" s="968"/>
      <c r="F31" s="968"/>
      <c r="G31" s="968"/>
      <c r="H31" s="968"/>
      <c r="I31" s="968"/>
      <c r="J31" s="968"/>
      <c r="K31" s="968"/>
      <c r="L31" s="968"/>
      <c r="M31" s="968"/>
      <c r="N31" s="969"/>
      <c r="O31" s="35"/>
      <c r="P31" s="35"/>
    </row>
    <row r="34" spans="1:14" x14ac:dyDescent="0.2">
      <c r="B34" s="38" t="s">
        <v>649</v>
      </c>
      <c r="C34" s="970" t="s">
        <v>1654</v>
      </c>
      <c r="D34" s="858"/>
      <c r="E34" s="858"/>
      <c r="F34" s="858"/>
      <c r="G34" s="858"/>
      <c r="H34" s="858"/>
      <c r="I34" s="858"/>
      <c r="J34" s="858"/>
      <c r="K34" s="858"/>
      <c r="L34" s="858"/>
      <c r="N34" s="1001"/>
    </row>
    <row r="35" spans="1:14" ht="17.25" customHeight="1" x14ac:dyDescent="0.2">
      <c r="C35" s="858"/>
      <c r="D35" s="858"/>
      <c r="E35" s="858"/>
      <c r="F35" s="858"/>
      <c r="G35" s="858"/>
      <c r="H35" s="858"/>
      <c r="I35" s="858"/>
      <c r="J35" s="858"/>
      <c r="K35" s="858"/>
      <c r="L35" s="858"/>
      <c r="N35" s="1001"/>
    </row>
    <row r="36" spans="1:14" x14ac:dyDescent="0.2">
      <c r="C36" s="6"/>
      <c r="N36" s="36"/>
    </row>
    <row r="37" spans="1:14" x14ac:dyDescent="0.2">
      <c r="C37" s="6"/>
    </row>
    <row r="38" spans="1:14" ht="25.5" customHeight="1" x14ac:dyDescent="0.2">
      <c r="A38" s="765" t="s">
        <v>334</v>
      </c>
      <c r="B38" s="974" t="s">
        <v>512</v>
      </c>
      <c r="C38" s="978"/>
      <c r="D38" s="978"/>
      <c r="E38" s="978"/>
      <c r="F38" s="978"/>
      <c r="G38" s="978"/>
      <c r="H38" s="978"/>
      <c r="I38" s="978"/>
      <c r="J38" s="978"/>
      <c r="K38" s="978"/>
      <c r="L38" s="978"/>
      <c r="M38" s="978"/>
      <c r="N38" s="979"/>
    </row>
    <row r="39" spans="1:14" x14ac:dyDescent="0.2">
      <c r="H39" s="1"/>
    </row>
    <row r="40" spans="1:14" x14ac:dyDescent="0.2">
      <c r="H40" s="1"/>
    </row>
    <row r="41" spans="1:14" x14ac:dyDescent="0.2">
      <c r="B41" s="38" t="s">
        <v>649</v>
      </c>
      <c r="C41" s="859" t="s">
        <v>399</v>
      </c>
      <c r="D41" s="859"/>
      <c r="E41" s="859"/>
      <c r="F41" s="859"/>
      <c r="G41" s="859"/>
      <c r="H41" s="859"/>
      <c r="I41" s="859"/>
      <c r="J41" s="859"/>
      <c r="K41" s="859"/>
      <c r="L41" s="859"/>
      <c r="N41" s="1001">
        <v>9000</v>
      </c>
    </row>
    <row r="42" spans="1:14" ht="18" customHeight="1" x14ac:dyDescent="0.2">
      <c r="C42" s="859"/>
      <c r="D42" s="859"/>
      <c r="E42" s="859"/>
      <c r="F42" s="859"/>
      <c r="G42" s="859"/>
      <c r="H42" s="859"/>
      <c r="I42" s="859"/>
      <c r="J42" s="859"/>
      <c r="K42" s="859"/>
      <c r="L42" s="859"/>
      <c r="N42" s="1001"/>
    </row>
    <row r="43" spans="1:14" ht="8.25" customHeight="1" x14ac:dyDescent="0.2">
      <c r="N43" s="36"/>
    </row>
    <row r="44" spans="1:14" x14ac:dyDescent="0.2">
      <c r="B44" s="38" t="s">
        <v>650</v>
      </c>
      <c r="C44" s="859" t="s">
        <v>382</v>
      </c>
      <c r="D44" s="859"/>
      <c r="E44" s="859"/>
      <c r="F44" s="859"/>
      <c r="G44" s="859"/>
      <c r="H44" s="859"/>
      <c r="I44" s="859"/>
      <c r="J44" s="859"/>
      <c r="K44" s="859"/>
      <c r="L44" s="859"/>
      <c r="N44" s="1001"/>
    </row>
    <row r="45" spans="1:14" ht="18" customHeight="1" x14ac:dyDescent="0.2">
      <c r="C45" s="859"/>
      <c r="D45" s="859"/>
      <c r="E45" s="859"/>
      <c r="F45" s="859"/>
      <c r="G45" s="859"/>
      <c r="H45" s="859"/>
      <c r="I45" s="859"/>
      <c r="J45" s="859"/>
      <c r="K45" s="859"/>
      <c r="L45" s="859"/>
      <c r="N45" s="1001"/>
    </row>
    <row r="46" spans="1:14" ht="12.75" customHeight="1" x14ac:dyDescent="0.2">
      <c r="L46" s="36"/>
    </row>
    <row r="47" spans="1:14" ht="12.75" customHeight="1" x14ac:dyDescent="0.2">
      <c r="L47" s="36"/>
    </row>
    <row r="48" spans="1:14" ht="31.5" customHeight="1" x14ac:dyDescent="0.2">
      <c r="A48" s="765" t="s">
        <v>515</v>
      </c>
      <c r="B48" s="974" t="s">
        <v>148</v>
      </c>
      <c r="C48" s="978"/>
      <c r="D48" s="978"/>
      <c r="E48" s="978"/>
      <c r="F48" s="978"/>
      <c r="G48" s="978"/>
      <c r="H48" s="978"/>
      <c r="I48" s="978"/>
      <c r="J48" s="978"/>
      <c r="K48" s="978"/>
      <c r="L48" s="978"/>
      <c r="M48" s="978"/>
      <c r="N48" s="979"/>
    </row>
    <row r="49" spans="1:14" ht="13.5" customHeight="1" x14ac:dyDescent="0.2">
      <c r="L49" s="36"/>
    </row>
    <row r="50" spans="1:14" ht="12.75" customHeight="1" x14ac:dyDescent="0.2">
      <c r="B50" s="38" t="s">
        <v>649</v>
      </c>
      <c r="C50" s="859" t="s">
        <v>312</v>
      </c>
      <c r="D50" s="859"/>
      <c r="E50" s="859"/>
      <c r="F50" s="859"/>
      <c r="G50" s="859"/>
      <c r="H50" s="859"/>
      <c r="I50" s="859"/>
      <c r="J50" s="859"/>
      <c r="K50" s="859"/>
      <c r="L50" s="859"/>
      <c r="N50" s="231"/>
    </row>
    <row r="51" spans="1:14" x14ac:dyDescent="0.2">
      <c r="C51" s="161"/>
      <c r="D51" s="161"/>
      <c r="E51" s="161"/>
      <c r="F51" s="161"/>
      <c r="G51" s="161"/>
      <c r="H51" s="161"/>
      <c r="I51" s="161"/>
      <c r="J51" s="161"/>
      <c r="K51" s="161"/>
      <c r="L51" s="161"/>
      <c r="N51" s="193"/>
    </row>
    <row r="52" spans="1:14" ht="6" customHeight="1" x14ac:dyDescent="0.2">
      <c r="N52" s="36"/>
    </row>
    <row r="53" spans="1:14" ht="15" customHeight="1" x14ac:dyDescent="0.2">
      <c r="B53" s="38" t="s">
        <v>650</v>
      </c>
      <c r="C53" s="858" t="s">
        <v>588</v>
      </c>
      <c r="D53" s="858"/>
      <c r="E53" s="858"/>
      <c r="F53" s="858"/>
      <c r="G53" s="858"/>
      <c r="H53" s="858"/>
      <c r="I53" s="858"/>
      <c r="J53" s="858"/>
      <c r="K53" s="858"/>
      <c r="L53" s="858"/>
      <c r="N53" s="997"/>
    </row>
    <row r="54" spans="1:14" ht="1.5" hidden="1" customHeight="1" x14ac:dyDescent="0.2">
      <c r="B54" s="38"/>
      <c r="C54" s="858"/>
      <c r="D54" s="858"/>
      <c r="E54" s="858"/>
      <c r="F54" s="858"/>
      <c r="G54" s="858"/>
      <c r="H54" s="858"/>
      <c r="I54" s="858"/>
      <c r="J54" s="858"/>
      <c r="K54" s="858"/>
      <c r="L54" s="858"/>
      <c r="N54" s="1037"/>
    </row>
    <row r="55" spans="1:14" ht="6" hidden="1" customHeight="1" x14ac:dyDescent="0.2">
      <c r="N55" s="36"/>
    </row>
    <row r="56" spans="1:14" ht="6" customHeight="1" x14ac:dyDescent="0.2">
      <c r="N56" s="36"/>
    </row>
    <row r="57" spans="1:14" ht="17.25" customHeight="1" x14ac:dyDescent="0.2">
      <c r="B57" s="38" t="s">
        <v>651</v>
      </c>
      <c r="C57" s="858" t="s">
        <v>194</v>
      </c>
      <c r="D57" s="858"/>
      <c r="E57" s="858"/>
      <c r="F57" s="858"/>
      <c r="G57" s="858"/>
      <c r="H57" s="858"/>
      <c r="I57" s="858"/>
      <c r="J57" s="858"/>
      <c r="K57" s="858"/>
      <c r="L57" s="858"/>
      <c r="N57" s="1001"/>
    </row>
    <row r="58" spans="1:14" hidden="1" x14ac:dyDescent="0.2">
      <c r="C58" s="858"/>
      <c r="D58" s="858"/>
      <c r="E58" s="858"/>
      <c r="F58" s="858"/>
      <c r="G58" s="858"/>
      <c r="H58" s="858"/>
      <c r="I58" s="858"/>
      <c r="J58" s="858"/>
      <c r="K58" s="858"/>
      <c r="L58" s="858"/>
      <c r="N58" s="1001"/>
    </row>
    <row r="59" spans="1:14" ht="9" customHeight="1" x14ac:dyDescent="0.2">
      <c r="N59" s="36"/>
    </row>
    <row r="60" spans="1:14" ht="15.75" customHeight="1" x14ac:dyDescent="0.2">
      <c r="B60" s="194" t="s">
        <v>335</v>
      </c>
      <c r="C60" s="859" t="s">
        <v>195</v>
      </c>
      <c r="D60" s="859"/>
      <c r="E60" s="859"/>
      <c r="F60" s="859"/>
      <c r="G60" s="859"/>
      <c r="H60" s="859"/>
      <c r="I60" s="859"/>
      <c r="J60" s="859"/>
      <c r="K60" s="859"/>
      <c r="L60" s="859"/>
      <c r="N60" s="231"/>
    </row>
    <row r="61" spans="1:14" ht="10.5" customHeight="1" x14ac:dyDescent="0.2">
      <c r="B61" s="38"/>
      <c r="C61" s="161"/>
      <c r="D61" s="161"/>
      <c r="E61" s="161"/>
      <c r="F61" s="161"/>
      <c r="G61" s="161"/>
      <c r="H61" s="161"/>
      <c r="I61" s="161"/>
      <c r="J61" s="161"/>
      <c r="K61" s="161"/>
      <c r="L61" s="161"/>
      <c r="N61" s="193"/>
    </row>
    <row r="62" spans="1:14" ht="6" customHeight="1" x14ac:dyDescent="0.2">
      <c r="N62" s="36"/>
    </row>
    <row r="63" spans="1:14" ht="12.75" customHeight="1" x14ac:dyDescent="0.2"/>
    <row r="64" spans="1:14" ht="25.5" customHeight="1" x14ac:dyDescent="0.2">
      <c r="A64" s="765" t="s">
        <v>517</v>
      </c>
      <c r="B64" s="971" t="s">
        <v>149</v>
      </c>
      <c r="C64" s="972"/>
      <c r="D64" s="972"/>
      <c r="E64" s="972"/>
      <c r="F64" s="972"/>
      <c r="G64" s="972"/>
      <c r="H64" s="972"/>
      <c r="I64" s="972"/>
      <c r="J64" s="972"/>
      <c r="K64" s="972"/>
      <c r="L64" s="972"/>
      <c r="M64" s="972"/>
      <c r="N64" s="973"/>
    </row>
    <row r="65" spans="1:14" ht="12.75" customHeight="1" x14ac:dyDescent="0.2"/>
    <row r="66" spans="1:14" ht="18" customHeight="1" x14ac:dyDescent="0.2">
      <c r="B66" s="38" t="s">
        <v>649</v>
      </c>
      <c r="C66" s="862" t="s">
        <v>632</v>
      </c>
      <c r="D66" s="862"/>
      <c r="E66" s="862"/>
      <c r="F66" s="862"/>
      <c r="G66" s="862"/>
      <c r="H66" s="862"/>
      <c r="I66" s="862"/>
      <c r="J66" s="862"/>
      <c r="N66" s="220"/>
    </row>
    <row r="67" spans="1:14" ht="12.75" customHeight="1" x14ac:dyDescent="0.2">
      <c r="N67" s="36"/>
    </row>
    <row r="68" spans="1:14" ht="17.25" customHeight="1" x14ac:dyDescent="0.2">
      <c r="B68" s="38" t="s">
        <v>650</v>
      </c>
      <c r="C68" s="862" t="s">
        <v>633</v>
      </c>
      <c r="D68" s="862"/>
      <c r="E68" s="862"/>
      <c r="F68" s="862"/>
      <c r="G68" s="862"/>
      <c r="H68" s="862"/>
      <c r="I68" s="862"/>
      <c r="J68" s="862"/>
      <c r="N68" s="220"/>
    </row>
    <row r="69" spans="1:14" ht="12.75" customHeight="1" x14ac:dyDescent="0.2">
      <c r="N69" s="36"/>
    </row>
    <row r="70" spans="1:14" ht="12.75" customHeight="1" x14ac:dyDescent="0.2">
      <c r="C70" s="2" t="s">
        <v>150</v>
      </c>
      <c r="N70" s="36"/>
    </row>
    <row r="71" spans="1:14" ht="12.75" customHeight="1" x14ac:dyDescent="0.2"/>
    <row r="72" spans="1:14" ht="12.75" customHeight="1" x14ac:dyDescent="0.2"/>
    <row r="73" spans="1:14" ht="25.5" customHeight="1" x14ac:dyDescent="0.2">
      <c r="A73" s="765" t="s">
        <v>522</v>
      </c>
      <c r="B73" s="971" t="s">
        <v>429</v>
      </c>
      <c r="C73" s="972"/>
      <c r="D73" s="972"/>
      <c r="E73" s="972"/>
      <c r="F73" s="972"/>
      <c r="G73" s="972"/>
      <c r="H73" s="972"/>
      <c r="I73" s="972"/>
      <c r="J73" s="972"/>
      <c r="K73" s="972"/>
      <c r="L73" s="972"/>
      <c r="M73" s="972"/>
      <c r="N73" s="973"/>
    </row>
    <row r="74" spans="1:14" ht="12.75" customHeight="1" x14ac:dyDescent="0.2"/>
    <row r="75" spans="1:14" x14ac:dyDescent="0.2">
      <c r="B75" s="165" t="s">
        <v>649</v>
      </c>
      <c r="C75" s="859" t="s">
        <v>383</v>
      </c>
      <c r="D75" s="859"/>
      <c r="E75" s="859"/>
      <c r="F75" s="859"/>
      <c r="G75" s="859"/>
      <c r="H75" s="859"/>
      <c r="I75" s="859"/>
      <c r="J75" s="859"/>
      <c r="N75" s="220"/>
    </row>
    <row r="76" spans="1:14" ht="12.75" customHeight="1" x14ac:dyDescent="0.2">
      <c r="N76" s="44"/>
    </row>
    <row r="77" spans="1:14" ht="12.75" customHeight="1" x14ac:dyDescent="0.2">
      <c r="B77" s="38" t="s">
        <v>650</v>
      </c>
      <c r="C77" s="858" t="s">
        <v>108</v>
      </c>
      <c r="D77" s="858"/>
      <c r="E77" s="858"/>
      <c r="F77" s="858"/>
      <c r="G77" s="858"/>
      <c r="H77" s="858"/>
      <c r="I77" s="858"/>
      <c r="J77" s="858"/>
      <c r="N77" s="36"/>
    </row>
    <row r="78" spans="1:14" ht="12.75" customHeight="1" x14ac:dyDescent="0.2">
      <c r="C78" s="858"/>
      <c r="D78" s="858"/>
      <c r="E78" s="858"/>
      <c r="F78" s="858"/>
      <c r="G78" s="858"/>
      <c r="H78" s="858"/>
      <c r="I78" s="858"/>
      <c r="J78" s="858"/>
      <c r="N78" s="220"/>
    </row>
    <row r="79" spans="1:14" ht="12.75" customHeight="1" x14ac:dyDescent="0.2">
      <c r="C79" s="34"/>
      <c r="D79" s="34"/>
      <c r="E79" s="34"/>
      <c r="F79" s="34"/>
      <c r="G79" s="34"/>
      <c r="H79" s="34"/>
      <c r="I79" s="34"/>
      <c r="J79" s="34"/>
    </row>
    <row r="80" spans="1:14" ht="25.5" customHeight="1" x14ac:dyDescent="0.2">
      <c r="A80" s="765" t="s">
        <v>579</v>
      </c>
      <c r="B80" s="971" t="s">
        <v>22</v>
      </c>
      <c r="C80" s="972"/>
      <c r="D80" s="972"/>
      <c r="E80" s="972"/>
      <c r="F80" s="972"/>
      <c r="G80" s="972"/>
      <c r="H80" s="972"/>
      <c r="I80" s="972"/>
      <c r="J80" s="972"/>
      <c r="K80" s="972"/>
      <c r="L80" s="972"/>
      <c r="M80" s="972"/>
      <c r="N80" s="973"/>
    </row>
    <row r="81" spans="2:14" ht="12.75" customHeight="1" x14ac:dyDescent="0.2"/>
    <row r="82" spans="2:14" ht="12.75" customHeight="1" x14ac:dyDescent="0.2">
      <c r="N82" s="36"/>
    </row>
    <row r="83" spans="2:14" ht="12.75" customHeight="1" x14ac:dyDescent="0.2">
      <c r="B83" s="38" t="s">
        <v>649</v>
      </c>
      <c r="C83" t="s">
        <v>70</v>
      </c>
      <c r="N83" s="220"/>
    </row>
    <row r="84" spans="2:14" ht="12.75" customHeight="1" x14ac:dyDescent="0.2">
      <c r="N84" s="36"/>
    </row>
    <row r="85" spans="2:14" ht="12.75" customHeight="1" x14ac:dyDescent="0.2">
      <c r="B85" s="38" t="s">
        <v>650</v>
      </c>
      <c r="C85" t="s">
        <v>118</v>
      </c>
      <c r="N85" s="220">
        <v>27272</v>
      </c>
    </row>
    <row r="86" spans="2:14" ht="12.75" customHeight="1" x14ac:dyDescent="0.2">
      <c r="N86" s="36"/>
    </row>
    <row r="87" spans="2:14" ht="12.75" customHeight="1" x14ac:dyDescent="0.2">
      <c r="B87" s="38" t="s">
        <v>651</v>
      </c>
      <c r="C87" t="s">
        <v>713</v>
      </c>
      <c r="N87" s="220">
        <v>25000</v>
      </c>
    </row>
    <row r="88" spans="2:14" ht="12.75" customHeight="1" x14ac:dyDescent="0.2">
      <c r="N88" s="36"/>
    </row>
    <row r="89" spans="2:14" ht="12.75" customHeight="1" x14ac:dyDescent="0.2">
      <c r="B89" s="38" t="s">
        <v>335</v>
      </c>
      <c r="C89" t="s">
        <v>714</v>
      </c>
      <c r="N89" s="220">
        <v>0</v>
      </c>
    </row>
    <row r="90" spans="2:14" ht="12.75" customHeight="1" x14ac:dyDescent="0.2">
      <c r="N90" s="36"/>
    </row>
    <row r="91" spans="2:14" ht="12.75" customHeight="1" x14ac:dyDescent="0.2">
      <c r="B91" s="38" t="s">
        <v>336</v>
      </c>
      <c r="C91" t="s">
        <v>384</v>
      </c>
      <c r="N91" s="220"/>
    </row>
    <row r="92" spans="2:14" ht="12.75" customHeight="1" x14ac:dyDescent="0.2">
      <c r="N92" s="36"/>
    </row>
    <row r="93" spans="2:14" ht="12.75" customHeight="1" x14ac:dyDescent="0.2">
      <c r="B93" s="38" t="s">
        <v>182</v>
      </c>
      <c r="C93" s="858" t="s">
        <v>175</v>
      </c>
      <c r="D93" s="858"/>
      <c r="E93" s="858"/>
      <c r="F93" s="858"/>
      <c r="G93" s="858"/>
      <c r="H93" s="858"/>
      <c r="I93" s="858"/>
      <c r="J93" s="858"/>
      <c r="N93" s="1102">
        <v>200</v>
      </c>
    </row>
    <row r="94" spans="2:14" ht="12.75" customHeight="1" x14ac:dyDescent="0.2">
      <c r="B94" s="38"/>
      <c r="C94" s="858"/>
      <c r="D94" s="858"/>
      <c r="E94" s="858"/>
      <c r="F94" s="858"/>
      <c r="G94" s="858"/>
      <c r="H94" s="858"/>
      <c r="I94" s="858"/>
      <c r="J94" s="858"/>
      <c r="N94" s="1103"/>
    </row>
    <row r="95" spans="2:14" ht="12.75" customHeight="1" x14ac:dyDescent="0.2">
      <c r="N95" s="36"/>
    </row>
    <row r="96" spans="2:14" ht="12.75" customHeight="1" x14ac:dyDescent="0.2">
      <c r="B96" s="38" t="s">
        <v>20</v>
      </c>
      <c r="C96" t="str">
        <f>CONCATENATE("What is the amount of ",  'Conversion Worksheet'!C100, " that will be due and payable within one year?")</f>
        <v>What is the amount of Other long-term liability #1 that will be due and payable within one year?</v>
      </c>
      <c r="N96" s="220"/>
    </row>
    <row r="97" spans="1:17" ht="12.75" customHeight="1" x14ac:dyDescent="0.2">
      <c r="N97" s="36"/>
    </row>
    <row r="98" spans="1:17" ht="12.75" customHeight="1" x14ac:dyDescent="0.2">
      <c r="B98" s="38" t="s">
        <v>712</v>
      </c>
      <c r="C98" t="str">
        <f>CONCATENATE("What is the amount of ",  'Conversion Worksheet'!C101, " that will be due and payable within one year?")</f>
        <v>What is the amount of Other long-term liability #2 that will be due and payable within one year?</v>
      </c>
      <c r="N98" s="220"/>
    </row>
    <row r="99" spans="1:17" ht="12.75" customHeight="1" x14ac:dyDescent="0.2">
      <c r="N99" s="36"/>
    </row>
    <row r="100" spans="1:17" ht="12.75" customHeight="1" x14ac:dyDescent="0.2">
      <c r="B100" s="38"/>
      <c r="C100" s="858"/>
      <c r="D100" s="858"/>
      <c r="E100" s="858"/>
      <c r="F100" s="858"/>
      <c r="G100" s="858"/>
      <c r="H100" s="858"/>
      <c r="I100" s="858"/>
      <c r="J100" s="858"/>
      <c r="K100" s="858"/>
      <c r="L100" s="858"/>
      <c r="N100" s="11"/>
    </row>
    <row r="101" spans="1:17" ht="12.75" customHeight="1" x14ac:dyDescent="0.2">
      <c r="C101" s="858"/>
      <c r="D101" s="858"/>
      <c r="E101" s="858"/>
      <c r="F101" s="858"/>
      <c r="G101" s="858"/>
      <c r="H101" s="858"/>
      <c r="I101" s="858"/>
      <c r="J101" s="858"/>
      <c r="K101" s="858"/>
      <c r="L101" s="858"/>
    </row>
    <row r="102" spans="1:17" ht="12.75" customHeight="1" x14ac:dyDescent="0.2"/>
    <row r="103" spans="1:17" ht="25.5" customHeight="1" x14ac:dyDescent="0.2">
      <c r="A103" s="765" t="s">
        <v>580</v>
      </c>
      <c r="B103" s="971" t="s">
        <v>165</v>
      </c>
      <c r="C103" s="972"/>
      <c r="D103" s="972"/>
      <c r="E103" s="972"/>
      <c r="F103" s="972"/>
      <c r="G103" s="972"/>
      <c r="H103" s="972"/>
      <c r="I103" s="972"/>
      <c r="J103" s="972"/>
      <c r="K103" s="972"/>
      <c r="L103" s="972"/>
      <c r="M103" s="972"/>
      <c r="N103" s="973"/>
    </row>
    <row r="104" spans="1:17" ht="12.75" customHeight="1" x14ac:dyDescent="0.2"/>
    <row r="105" spans="1:17" ht="12.75" customHeight="1" x14ac:dyDescent="0.2">
      <c r="B105" s="38" t="s">
        <v>649</v>
      </c>
      <c r="C105" s="989" t="s">
        <v>745</v>
      </c>
      <c r="D105" s="859"/>
      <c r="E105" s="859"/>
      <c r="F105" s="859"/>
      <c r="G105" s="859"/>
      <c r="H105" s="859"/>
      <c r="I105" s="859"/>
      <c r="J105" s="859"/>
      <c r="M105" s="42"/>
    </row>
    <row r="106" spans="1:17" ht="39.75" customHeight="1" x14ac:dyDescent="0.2">
      <c r="C106" s="859"/>
      <c r="D106" s="859"/>
      <c r="E106" s="859"/>
      <c r="F106" s="859"/>
      <c r="G106" s="859"/>
      <c r="H106" s="859"/>
      <c r="I106" s="859"/>
      <c r="J106" s="859"/>
      <c r="L106" s="1093" t="s">
        <v>460</v>
      </c>
      <c r="M106" s="1093"/>
      <c r="N106" s="1093"/>
    </row>
    <row r="107" spans="1:17" ht="15.75" customHeight="1" x14ac:dyDescent="0.2">
      <c r="J107" s="3" t="s">
        <v>634</v>
      </c>
      <c r="L107" s="3" t="s">
        <v>137</v>
      </c>
      <c r="N107" s="3" t="s">
        <v>136</v>
      </c>
    </row>
    <row r="108" spans="1:17" ht="12.75" customHeight="1" x14ac:dyDescent="0.2">
      <c r="E108" t="s">
        <v>263</v>
      </c>
      <c r="J108" s="220"/>
      <c r="K108" s="36"/>
      <c r="L108" s="220"/>
      <c r="M108" s="36"/>
      <c r="N108" s="220"/>
      <c r="O108" s="36"/>
      <c r="P108" s="36"/>
      <c r="Q108" s="36"/>
    </row>
    <row r="109" spans="1:17" ht="12.75" customHeight="1" x14ac:dyDescent="0.2">
      <c r="E109" t="s">
        <v>264</v>
      </c>
      <c r="J109" s="220"/>
      <c r="K109" s="36"/>
      <c r="L109" s="220"/>
      <c r="M109" s="36"/>
      <c r="N109" s="220"/>
      <c r="O109" s="36"/>
      <c r="P109" s="36"/>
      <c r="Q109" s="36"/>
    </row>
    <row r="110" spans="1:17" ht="12.75" customHeight="1" x14ac:dyDescent="0.2">
      <c r="E110" t="s">
        <v>265</v>
      </c>
      <c r="J110" s="220"/>
      <c r="K110" s="36"/>
      <c r="L110" s="220"/>
      <c r="M110" s="36"/>
      <c r="N110" s="220"/>
      <c r="O110" s="36"/>
      <c r="P110" s="36"/>
      <c r="Q110" s="36"/>
    </row>
    <row r="111" spans="1:17" ht="12.75" customHeight="1" x14ac:dyDescent="0.2">
      <c r="E111" t="s">
        <v>266</v>
      </c>
      <c r="J111" s="220"/>
      <c r="K111" s="36"/>
      <c r="L111" s="220"/>
      <c r="M111" s="36"/>
      <c r="N111" s="220"/>
      <c r="O111" s="36"/>
      <c r="P111" s="36"/>
      <c r="Q111" s="36"/>
    </row>
    <row r="112" spans="1:17" ht="12.75" customHeight="1" x14ac:dyDescent="0.2">
      <c r="E112" t="s">
        <v>267</v>
      </c>
      <c r="J112" s="220"/>
      <c r="K112" s="36"/>
      <c r="L112" s="220"/>
      <c r="M112" s="36"/>
      <c r="N112" s="220"/>
      <c r="O112" s="36"/>
      <c r="P112" s="36"/>
      <c r="Q112" s="36"/>
    </row>
    <row r="113" spans="5:17" ht="12.75" customHeight="1" x14ac:dyDescent="0.2">
      <c r="E113" t="s">
        <v>268</v>
      </c>
      <c r="J113" s="220"/>
      <c r="K113" s="36"/>
      <c r="L113" s="220"/>
      <c r="M113" s="36"/>
      <c r="N113" s="220"/>
      <c r="O113" s="36"/>
      <c r="P113" s="36"/>
      <c r="Q113" s="36"/>
    </row>
    <row r="114" spans="5:17" ht="12.75" customHeight="1" x14ac:dyDescent="0.2">
      <c r="E114" t="s">
        <v>269</v>
      </c>
      <c r="J114" s="220"/>
      <c r="K114" s="36"/>
      <c r="L114" s="220"/>
      <c r="M114" s="36"/>
      <c r="N114" s="220"/>
      <c r="O114" s="36"/>
      <c r="P114" s="36"/>
      <c r="Q114" s="36"/>
    </row>
    <row r="115" spans="5:17" ht="12.75" customHeight="1" x14ac:dyDescent="0.2">
      <c r="E115" t="s">
        <v>377</v>
      </c>
      <c r="J115" s="220"/>
      <c r="K115" s="36"/>
      <c r="L115" s="220"/>
      <c r="M115" s="36"/>
      <c r="N115" s="220"/>
      <c r="O115" s="36"/>
      <c r="P115" s="36"/>
      <c r="Q115" s="36"/>
    </row>
    <row r="116" spans="5:17" ht="12.75" customHeight="1" x14ac:dyDescent="0.2">
      <c r="E116" t="s">
        <v>439</v>
      </c>
      <c r="J116" s="220"/>
      <c r="K116" s="36"/>
      <c r="L116" s="220"/>
      <c r="M116" s="36"/>
      <c r="N116" s="220"/>
      <c r="O116" s="36"/>
      <c r="P116" s="36"/>
      <c r="Q116" s="36"/>
    </row>
    <row r="117" spans="5:17" ht="12.75" customHeight="1" x14ac:dyDescent="0.2">
      <c r="E117" t="s">
        <v>237</v>
      </c>
      <c r="J117" s="220"/>
      <c r="K117" s="36"/>
      <c r="L117" s="220"/>
      <c r="M117" s="36"/>
      <c r="N117" s="220"/>
      <c r="O117" s="36"/>
      <c r="P117" s="36"/>
      <c r="Q117" s="36"/>
    </row>
    <row r="118" spans="5:17" ht="12.75" customHeight="1" x14ac:dyDescent="0.2">
      <c r="E118" t="s">
        <v>238</v>
      </c>
      <c r="J118" s="220"/>
      <c r="K118" s="36"/>
      <c r="L118" s="220"/>
      <c r="M118" s="36"/>
      <c r="N118" s="220"/>
      <c r="O118" s="36"/>
      <c r="P118" s="36"/>
      <c r="Q118" s="36"/>
    </row>
    <row r="119" spans="5:17" ht="12.75" customHeight="1" x14ac:dyDescent="0.2">
      <c r="E119" t="s">
        <v>271</v>
      </c>
      <c r="J119" s="220"/>
      <c r="K119" s="36"/>
      <c r="L119" s="220"/>
      <c r="M119" s="36"/>
      <c r="N119" s="220"/>
      <c r="O119" s="36"/>
      <c r="P119" s="36"/>
      <c r="Q119" s="36"/>
    </row>
    <row r="120" spans="5:17" ht="12.75" customHeight="1" x14ac:dyDescent="0.2">
      <c r="E120" t="s">
        <v>273</v>
      </c>
      <c r="J120" s="220"/>
      <c r="K120" s="36"/>
      <c r="L120" s="220"/>
      <c r="M120" s="36"/>
      <c r="N120" s="220"/>
      <c r="O120" s="36"/>
      <c r="P120" s="36"/>
      <c r="Q120" s="36"/>
    </row>
    <row r="121" spans="5:17" ht="12.75" customHeight="1" x14ac:dyDescent="0.2">
      <c r="E121" t="s">
        <v>274</v>
      </c>
      <c r="J121" s="220"/>
      <c r="K121" s="36"/>
      <c r="L121" s="220"/>
      <c r="M121" s="36"/>
      <c r="N121" s="220"/>
      <c r="O121" s="36"/>
      <c r="P121" s="36"/>
      <c r="Q121" s="36"/>
    </row>
    <row r="122" spans="5:17" ht="12.75" customHeight="1" x14ac:dyDescent="0.2">
      <c r="E122" t="s">
        <v>272</v>
      </c>
      <c r="J122" s="220"/>
      <c r="K122" s="36"/>
      <c r="L122" s="220"/>
      <c r="M122" s="36"/>
      <c r="N122" s="220"/>
      <c r="O122" s="36"/>
      <c r="P122" s="36"/>
      <c r="Q122" s="36"/>
    </row>
    <row r="123" spans="5:17" ht="12.75" customHeight="1" x14ac:dyDescent="0.2">
      <c r="E123" t="s">
        <v>257</v>
      </c>
      <c r="J123" s="220"/>
      <c r="K123" s="36"/>
      <c r="L123" s="220"/>
      <c r="M123" s="36"/>
      <c r="N123" s="220"/>
      <c r="O123" s="36"/>
      <c r="P123" s="36"/>
      <c r="Q123" s="36"/>
    </row>
    <row r="124" spans="5:17" ht="12.75" customHeight="1" x14ac:dyDescent="0.2">
      <c r="E124" t="s">
        <v>55</v>
      </c>
      <c r="J124" s="220"/>
      <c r="K124" s="36"/>
      <c r="L124" s="220"/>
      <c r="M124" s="45"/>
      <c r="N124" s="220"/>
      <c r="O124" s="36"/>
      <c r="P124" s="36"/>
      <c r="Q124" s="36"/>
    </row>
    <row r="125" spans="5:17" ht="12.75" customHeight="1" thickBot="1" x14ac:dyDescent="0.25">
      <c r="E125" t="s">
        <v>181</v>
      </c>
      <c r="J125" s="62">
        <f>SUM(J108:J124)</f>
        <v>0</v>
      </c>
      <c r="K125" s="36"/>
      <c r="L125" s="62">
        <f>SUM(L108:L124)</f>
        <v>0</v>
      </c>
      <c r="M125" s="45"/>
      <c r="N125" s="62">
        <f>SUM(N108:N124)</f>
        <v>0</v>
      </c>
      <c r="O125" s="36"/>
      <c r="P125" s="36"/>
      <c r="Q125" s="36"/>
    </row>
    <row r="126" spans="5:17" ht="12.75" customHeight="1" thickTop="1" x14ac:dyDescent="0.2">
      <c r="J126" s="36"/>
      <c r="K126" s="36"/>
      <c r="L126" s="36"/>
      <c r="M126" s="45"/>
      <c r="N126" s="36"/>
      <c r="O126" s="36"/>
      <c r="P126" s="36"/>
      <c r="Q126" s="36"/>
    </row>
    <row r="127" spans="5:17" ht="12.75" customHeight="1" x14ac:dyDescent="0.2">
      <c r="M127" s="12"/>
    </row>
    <row r="128" spans="5:17" ht="12.75" customHeight="1" x14ac:dyDescent="0.2">
      <c r="L128" s="156"/>
    </row>
    <row r="129" spans="1:19" ht="12.75" customHeight="1" x14ac:dyDescent="0.2">
      <c r="A129" s="1096" t="s">
        <v>635</v>
      </c>
      <c r="B129" s="1097" t="s">
        <v>221</v>
      </c>
      <c r="C129" s="1098"/>
      <c r="D129" s="1098"/>
      <c r="E129" s="1098"/>
      <c r="F129" s="1098"/>
      <c r="G129" s="1098"/>
      <c r="H129" s="1098"/>
      <c r="I129" s="1098"/>
      <c r="J129" s="1098"/>
      <c r="K129" s="1098"/>
      <c r="L129" s="1098"/>
      <c r="M129" s="1098"/>
      <c r="N129" s="1099"/>
    </row>
    <row r="130" spans="1:19" ht="12.75" customHeight="1" x14ac:dyDescent="0.2">
      <c r="A130" s="1096"/>
      <c r="B130" s="1100"/>
      <c r="C130" s="1079"/>
      <c r="D130" s="1079"/>
      <c r="E130" s="1079"/>
      <c r="F130" s="1079"/>
      <c r="G130" s="1079"/>
      <c r="H130" s="1079"/>
      <c r="I130" s="1079"/>
      <c r="J130" s="1079"/>
      <c r="K130" s="1079"/>
      <c r="L130" s="1079"/>
      <c r="M130" s="1079"/>
      <c r="N130" s="1101"/>
    </row>
    <row r="131" spans="1:19" ht="12.75" customHeight="1" x14ac:dyDescent="0.2">
      <c r="L131" s="156"/>
    </row>
    <row r="132" spans="1:19" ht="12.75" customHeight="1" x14ac:dyDescent="0.2">
      <c r="B132" s="38" t="s">
        <v>649</v>
      </c>
      <c r="C132" s="966" t="s">
        <v>83</v>
      </c>
      <c r="D132" s="966"/>
      <c r="E132" s="966"/>
      <c r="F132" s="966"/>
      <c r="G132" s="966"/>
      <c r="H132" s="966"/>
      <c r="I132" s="966"/>
      <c r="J132" s="966"/>
      <c r="L132" s="997"/>
    </row>
    <row r="133" spans="1:19" ht="12.75" customHeight="1" x14ac:dyDescent="0.2">
      <c r="C133" s="237" t="s">
        <v>84</v>
      </c>
      <c r="L133" s="997"/>
    </row>
    <row r="134" spans="1:19" ht="12.75" customHeight="1" x14ac:dyDescent="0.2">
      <c r="C134" s="237" t="s">
        <v>122</v>
      </c>
      <c r="L134" s="156"/>
    </row>
    <row r="135" spans="1:19" ht="20.25" customHeight="1" x14ac:dyDescent="0.2"/>
    <row r="136" spans="1:19" ht="3.75" customHeight="1" x14ac:dyDescent="0.2"/>
    <row r="137" spans="1:19" ht="25.5" customHeight="1" x14ac:dyDescent="0.2">
      <c r="A137" s="796" t="s">
        <v>109</v>
      </c>
      <c r="B137" s="971" t="s">
        <v>746</v>
      </c>
      <c r="C137" s="972"/>
      <c r="D137" s="972"/>
      <c r="E137" s="972"/>
      <c r="F137" s="972"/>
      <c r="G137" s="972"/>
      <c r="H137" s="972"/>
      <c r="I137" s="972"/>
      <c r="J137" s="972"/>
      <c r="K137" s="972"/>
      <c r="L137" s="972"/>
      <c r="M137" s="972"/>
      <c r="N137" s="973"/>
    </row>
    <row r="138" spans="1:19" ht="13.5" customHeight="1" x14ac:dyDescent="0.2"/>
    <row r="139" spans="1:19" ht="12.75" customHeight="1" x14ac:dyDescent="0.2">
      <c r="B139" s="447" t="s">
        <v>747</v>
      </c>
      <c r="G139" s="36"/>
      <c r="H139" s="36"/>
      <c r="I139" s="36"/>
      <c r="J139" s="36"/>
      <c r="K139" s="36"/>
      <c r="L139" s="36"/>
      <c r="M139" s="36"/>
      <c r="N139" s="762">
        <v>425730</v>
      </c>
      <c r="R139" s="839"/>
      <c r="S139" s="5"/>
    </row>
    <row r="140" spans="1:19" ht="12.75" customHeight="1" x14ac:dyDescent="0.2">
      <c r="C140" s="1095" t="s">
        <v>1657</v>
      </c>
      <c r="D140" s="1095"/>
      <c r="E140" s="1095"/>
      <c r="F140" s="1095"/>
      <c r="G140" s="1095"/>
      <c r="H140" s="1095"/>
      <c r="I140" s="1095"/>
      <c r="J140" s="1095"/>
      <c r="K140" s="358"/>
      <c r="L140" s="358"/>
      <c r="M140" s="36"/>
      <c r="N140" s="36"/>
    </row>
    <row r="141" spans="1:19" ht="12.75" customHeight="1" x14ac:dyDescent="0.2">
      <c r="C141" s="1095"/>
      <c r="D141" s="1095"/>
      <c r="E141" s="1095"/>
      <c r="F141" s="1095"/>
      <c r="G141" s="1095"/>
      <c r="H141" s="1095"/>
      <c r="I141" s="1095"/>
      <c r="J141" s="1095"/>
      <c r="K141" s="358"/>
      <c r="L141" s="358"/>
      <c r="M141" s="36"/>
      <c r="N141" s="36"/>
      <c r="R141" s="5"/>
    </row>
    <row r="142" spans="1:19" ht="13.5" customHeight="1" x14ac:dyDescent="0.2">
      <c r="G142" s="36"/>
      <c r="H142" s="36"/>
      <c r="I142" s="36"/>
      <c r="J142" s="36"/>
      <c r="K142" s="36"/>
      <c r="L142" s="36"/>
      <c r="M142" s="36"/>
      <c r="N142" s="36"/>
    </row>
    <row r="143" spans="1:19" ht="12.75" customHeight="1" x14ac:dyDescent="0.2">
      <c r="B143" s="4" t="s">
        <v>729</v>
      </c>
      <c r="G143" s="36"/>
      <c r="H143" s="36"/>
      <c r="I143" s="36"/>
      <c r="J143" s="36"/>
      <c r="K143" s="36"/>
      <c r="L143" s="36"/>
      <c r="M143" s="36"/>
      <c r="N143" s="36"/>
    </row>
    <row r="144" spans="1:19" ht="15.75" customHeight="1" x14ac:dyDescent="0.2">
      <c r="B144" s="38" t="s">
        <v>649</v>
      </c>
      <c r="C144" t="s">
        <v>63</v>
      </c>
      <c r="G144" s="36"/>
      <c r="H144" s="36"/>
      <c r="I144" s="36"/>
      <c r="J144" s="36"/>
      <c r="K144" s="36"/>
      <c r="L144" s="220">
        <v>914783</v>
      </c>
      <c r="M144" s="36"/>
      <c r="N144" s="36"/>
    </row>
    <row r="145" spans="2:14" ht="12.75" customHeight="1" x14ac:dyDescent="0.2">
      <c r="C145" s="1095" t="s">
        <v>421</v>
      </c>
      <c r="D145" s="1095"/>
      <c r="E145" s="1095"/>
      <c r="F145" s="1095"/>
      <c r="G145" s="1095"/>
      <c r="H145" s="1095"/>
      <c r="I145" s="1095"/>
      <c r="J145" s="1095"/>
      <c r="K145" s="36"/>
      <c r="L145" s="36"/>
      <c r="M145" s="36"/>
      <c r="N145" s="36"/>
    </row>
    <row r="146" spans="2:14" ht="12.75" customHeight="1" x14ac:dyDescent="0.2">
      <c r="C146" s="1095"/>
      <c r="D146" s="1095"/>
      <c r="E146" s="1095"/>
      <c r="F146" s="1095"/>
      <c r="G146" s="1095"/>
      <c r="H146" s="1095"/>
      <c r="I146" s="1095"/>
      <c r="J146" s="1095"/>
      <c r="K146" s="36"/>
      <c r="L146" s="36"/>
      <c r="M146" s="36"/>
      <c r="N146" s="36"/>
    </row>
    <row r="147" spans="2:14" ht="3" customHeight="1" x14ac:dyDescent="0.2">
      <c r="G147" s="36"/>
      <c r="H147" s="36"/>
      <c r="I147" s="36"/>
      <c r="J147" s="36"/>
      <c r="K147" s="36"/>
      <c r="L147" s="36"/>
      <c r="M147" s="36"/>
      <c r="N147" s="36"/>
    </row>
    <row r="148" spans="2:14" ht="18" customHeight="1" x14ac:dyDescent="0.2">
      <c r="B148" s="38" t="s">
        <v>650</v>
      </c>
      <c r="C148" t="s">
        <v>593</v>
      </c>
      <c r="G148" s="36"/>
      <c r="H148" s="36"/>
      <c r="I148" s="36"/>
      <c r="J148" s="36"/>
      <c r="K148" s="36"/>
      <c r="L148" s="220">
        <v>548738</v>
      </c>
      <c r="M148" s="36"/>
      <c r="N148" s="36"/>
    </row>
    <row r="149" spans="2:14" ht="12.75" customHeight="1" x14ac:dyDescent="0.2">
      <c r="B149" s="38"/>
      <c r="C149" s="1095" t="s">
        <v>422</v>
      </c>
      <c r="D149" s="1095"/>
      <c r="E149" s="1095"/>
      <c r="F149" s="1095"/>
      <c r="G149" s="1095"/>
      <c r="H149" s="1095"/>
      <c r="I149" s="1095"/>
      <c r="J149" s="1095"/>
      <c r="K149" s="36"/>
      <c r="L149" s="78"/>
      <c r="M149" s="36"/>
      <c r="N149" s="36"/>
    </row>
    <row r="150" spans="2:14" ht="22.5" customHeight="1" x14ac:dyDescent="0.2">
      <c r="B150" s="38"/>
      <c r="C150" s="1095"/>
      <c r="D150" s="1095"/>
      <c r="E150" s="1095"/>
      <c r="F150" s="1095"/>
      <c r="G150" s="1095"/>
      <c r="H150" s="1095"/>
      <c r="I150" s="1095"/>
      <c r="J150" s="1095"/>
      <c r="K150" s="36"/>
      <c r="L150" s="78"/>
      <c r="M150" s="36"/>
      <c r="N150" s="36"/>
    </row>
    <row r="151" spans="2:14" ht="3.75" customHeight="1" x14ac:dyDescent="0.2">
      <c r="B151" s="38"/>
      <c r="C151" s="367"/>
      <c r="D151" s="367"/>
      <c r="E151" s="367"/>
      <c r="F151" s="367"/>
      <c r="G151" s="367"/>
      <c r="H151" s="367"/>
      <c r="I151" s="367"/>
      <c r="J151" s="367"/>
      <c r="K151" s="36"/>
      <c r="L151" s="78"/>
      <c r="M151" s="36"/>
      <c r="N151" s="36"/>
    </row>
    <row r="152" spans="2:14" ht="12.75" customHeight="1" x14ac:dyDescent="0.2">
      <c r="B152" s="38" t="s">
        <v>651</v>
      </c>
      <c r="C152" t="s">
        <v>594</v>
      </c>
      <c r="G152" s="36"/>
      <c r="H152" s="36"/>
      <c r="I152" s="36"/>
      <c r="J152" s="36"/>
      <c r="K152" s="36"/>
      <c r="L152" s="220"/>
      <c r="M152" s="36"/>
      <c r="N152" s="36"/>
    </row>
    <row r="153" spans="2:14" ht="12.75" customHeight="1" x14ac:dyDescent="0.2">
      <c r="C153" s="1094" t="s">
        <v>468</v>
      </c>
      <c r="D153" s="1094"/>
      <c r="E153" s="1094"/>
      <c r="F153" s="1094"/>
      <c r="G153" s="1094"/>
      <c r="H153" s="1094"/>
      <c r="I153" s="1094"/>
      <c r="J153" s="1094"/>
      <c r="K153" s="36"/>
      <c r="L153" s="36"/>
      <c r="M153" s="36"/>
      <c r="N153" s="36"/>
    </row>
    <row r="154" spans="2:14" ht="12.75" customHeight="1" x14ac:dyDescent="0.2">
      <c r="B154" s="38"/>
      <c r="C154" s="200" t="s">
        <v>729</v>
      </c>
      <c r="G154" s="36"/>
      <c r="H154" s="36"/>
      <c r="I154" s="36"/>
      <c r="J154" s="36"/>
      <c r="K154" s="36"/>
      <c r="L154" s="36"/>
      <c r="M154" s="36"/>
      <c r="N154" s="69">
        <f>L144-L148+L152</f>
        <v>366045</v>
      </c>
    </row>
    <row r="155" spans="2:14" ht="12.75" customHeight="1" x14ac:dyDescent="0.2">
      <c r="B155" s="38"/>
      <c r="C155" s="4"/>
      <c r="G155" s="36"/>
      <c r="H155" s="36"/>
      <c r="I155" s="36"/>
      <c r="J155" s="36"/>
      <c r="K155" s="36"/>
      <c r="L155" s="36"/>
      <c r="M155" s="36"/>
      <c r="N155" s="78"/>
    </row>
    <row r="156" spans="2:14" ht="12.75" customHeight="1" x14ac:dyDescent="0.2">
      <c r="B156" s="4" t="s">
        <v>748</v>
      </c>
      <c r="G156" s="36"/>
      <c r="H156" s="36"/>
      <c r="I156" s="36"/>
      <c r="J156" s="36"/>
      <c r="K156" s="36"/>
      <c r="L156" s="36"/>
      <c r="M156" s="36"/>
      <c r="N156" s="36"/>
    </row>
    <row r="157" spans="2:14" ht="12.75" customHeight="1" x14ac:dyDescent="0.2">
      <c r="B157" s="38" t="s">
        <v>335</v>
      </c>
      <c r="C157" t="s">
        <v>469</v>
      </c>
      <c r="G157" s="36"/>
      <c r="H157" s="36"/>
      <c r="I157" s="36"/>
      <c r="J157" s="36"/>
      <c r="K157" s="36"/>
      <c r="L157" s="36"/>
      <c r="M157" s="36"/>
      <c r="N157" s="36"/>
    </row>
    <row r="158" spans="2:14" ht="12.75" customHeight="1" x14ac:dyDescent="0.2">
      <c r="C158" t="s">
        <v>470</v>
      </c>
      <c r="G158" s="36"/>
      <c r="H158" s="36"/>
      <c r="I158" s="36"/>
      <c r="J158" s="36"/>
      <c r="K158" s="36"/>
      <c r="L158" s="36"/>
      <c r="M158" s="36"/>
      <c r="N158" s="36"/>
    </row>
    <row r="159" spans="2:14" ht="3" customHeight="1" x14ac:dyDescent="0.2">
      <c r="G159" s="36"/>
      <c r="H159" s="36"/>
      <c r="I159" s="36"/>
      <c r="J159" s="36"/>
      <c r="K159" s="36"/>
      <c r="L159" s="36"/>
      <c r="M159" s="36"/>
      <c r="N159" s="36"/>
    </row>
    <row r="160" spans="2:14" ht="12.75" customHeight="1" x14ac:dyDescent="0.2">
      <c r="E160" t="s">
        <v>351</v>
      </c>
      <c r="G160" s="251"/>
      <c r="H160" s="251" t="s">
        <v>595</v>
      </c>
      <c r="I160" s="251" t="s">
        <v>595</v>
      </c>
      <c r="J160" s="251" t="s">
        <v>385</v>
      </c>
      <c r="K160" s="36"/>
      <c r="L160" s="36" t="s">
        <v>596</v>
      </c>
      <c r="M160" s="36"/>
      <c r="N160" s="36"/>
    </row>
    <row r="161" spans="2:14" ht="12.75" customHeight="1" x14ac:dyDescent="0.2">
      <c r="C161" t="s">
        <v>351</v>
      </c>
      <c r="G161" s="251" t="s">
        <v>352</v>
      </c>
      <c r="H161" s="251" t="s">
        <v>597</v>
      </c>
      <c r="I161" s="251" t="s">
        <v>598</v>
      </c>
      <c r="J161" s="448" t="s">
        <v>749</v>
      </c>
      <c r="K161" s="36"/>
      <c r="L161" s="36" t="s">
        <v>599</v>
      </c>
      <c r="M161" s="36"/>
      <c r="N161" s="36"/>
    </row>
    <row r="162" spans="2:14" ht="12.75" customHeight="1" x14ac:dyDescent="0.2">
      <c r="G162" s="220"/>
      <c r="H162" s="220"/>
      <c r="I162" s="220"/>
      <c r="J162" s="220"/>
      <c r="K162" s="78"/>
      <c r="L162" s="69">
        <f>+G162+H162-I162-J162</f>
        <v>0</v>
      </c>
      <c r="M162" s="36"/>
      <c r="N162" s="36"/>
    </row>
    <row r="163" spans="2:14" ht="12.75" customHeight="1" x14ac:dyDescent="0.2">
      <c r="G163" s="36"/>
      <c r="H163" s="36"/>
      <c r="I163" s="36"/>
      <c r="J163" s="36"/>
      <c r="K163" s="36"/>
      <c r="L163" s="36"/>
      <c r="M163" s="36"/>
      <c r="N163" s="36"/>
    </row>
    <row r="164" spans="2:14" ht="12.75" customHeight="1" x14ac:dyDescent="0.2">
      <c r="B164" s="38" t="s">
        <v>336</v>
      </c>
      <c r="C164" t="s">
        <v>386</v>
      </c>
      <c r="G164" s="36"/>
      <c r="H164" s="36"/>
      <c r="I164" s="36"/>
      <c r="J164" s="36"/>
      <c r="K164" s="36"/>
      <c r="L164" s="220"/>
      <c r="M164" s="36"/>
      <c r="N164" s="36"/>
    </row>
    <row r="165" spans="2:14" ht="12.75" customHeight="1" x14ac:dyDescent="0.2">
      <c r="B165" s="4"/>
      <c r="C165" s="368" t="s">
        <v>669</v>
      </c>
      <c r="G165" s="36"/>
      <c r="H165" s="36"/>
      <c r="I165" s="36"/>
      <c r="J165" s="36"/>
      <c r="K165" s="36"/>
      <c r="L165" s="36"/>
      <c r="M165" s="36"/>
      <c r="N165" s="36"/>
    </row>
    <row r="166" spans="2:14" ht="12.75" customHeight="1" x14ac:dyDescent="0.2">
      <c r="B166" s="4"/>
      <c r="G166" s="36"/>
      <c r="H166" s="36"/>
      <c r="I166" s="36"/>
      <c r="J166" s="36"/>
      <c r="K166" s="36"/>
      <c r="L166" s="36"/>
      <c r="M166" s="36"/>
      <c r="N166" s="36"/>
    </row>
    <row r="167" spans="2:14" ht="12.75" customHeight="1" x14ac:dyDescent="0.2">
      <c r="B167" s="38" t="s">
        <v>182</v>
      </c>
      <c r="C167" s="123" t="s">
        <v>723</v>
      </c>
      <c r="G167" s="36"/>
      <c r="H167" s="36"/>
      <c r="I167" s="36"/>
      <c r="J167" s="36"/>
      <c r="K167" s="36"/>
      <c r="L167" s="220"/>
      <c r="M167" s="36"/>
      <c r="N167" s="36"/>
    </row>
    <row r="168" spans="2:14" ht="12.75" customHeight="1" x14ac:dyDescent="0.2">
      <c r="B168" s="4"/>
      <c r="G168" s="36"/>
      <c r="H168" s="36"/>
      <c r="I168" s="36"/>
      <c r="J168" s="36"/>
      <c r="K168" s="36"/>
      <c r="L168" s="36"/>
      <c r="M168" s="36"/>
      <c r="N168" s="36"/>
    </row>
    <row r="169" spans="2:14" s="746" customFormat="1" ht="12.75" customHeight="1" x14ac:dyDescent="0.2">
      <c r="B169" s="158" t="s">
        <v>20</v>
      </c>
      <c r="C169" s="746" t="s">
        <v>1643</v>
      </c>
      <c r="G169" s="36"/>
      <c r="H169" s="36"/>
      <c r="I169" s="36"/>
      <c r="J169" s="36"/>
      <c r="K169" s="36"/>
      <c r="L169" s="753"/>
      <c r="M169" s="36"/>
      <c r="N169" s="36"/>
    </row>
    <row r="170" spans="2:14" s="746" customFormat="1" ht="12.75" customHeight="1" x14ac:dyDescent="0.2">
      <c r="B170" s="745"/>
      <c r="G170" s="36"/>
      <c r="H170" s="36"/>
      <c r="I170" s="36"/>
      <c r="J170" s="36"/>
      <c r="K170" s="36"/>
      <c r="L170" s="36"/>
      <c r="M170" s="36"/>
      <c r="N170" s="36"/>
    </row>
    <row r="171" spans="2:14" ht="12.75" customHeight="1" x14ac:dyDescent="0.2">
      <c r="B171" s="750" t="s">
        <v>712</v>
      </c>
      <c r="C171" s="970" t="s">
        <v>750</v>
      </c>
      <c r="D171" s="858"/>
      <c r="E171" s="858"/>
      <c r="F171" s="858"/>
      <c r="G171" s="858"/>
      <c r="H171" s="858"/>
      <c r="I171" s="858"/>
      <c r="J171" s="858"/>
      <c r="K171" s="36"/>
      <c r="L171" s="78"/>
      <c r="M171" s="36"/>
      <c r="N171" s="36"/>
    </row>
    <row r="172" spans="2:14" ht="24.75" customHeight="1" x14ac:dyDescent="0.2">
      <c r="C172" s="858"/>
      <c r="D172" s="858"/>
      <c r="E172" s="858"/>
      <c r="F172" s="858"/>
      <c r="G172" s="858"/>
      <c r="H172" s="858"/>
      <c r="I172" s="858"/>
      <c r="J172" s="858"/>
      <c r="K172" s="36"/>
      <c r="L172" s="78"/>
      <c r="M172" s="36"/>
      <c r="N172" s="36"/>
    </row>
    <row r="173" spans="2:14" ht="12.75" customHeight="1" x14ac:dyDescent="0.2">
      <c r="C173" s="858"/>
      <c r="D173" s="858"/>
      <c r="E173" s="858"/>
      <c r="F173" s="858"/>
      <c r="G173" s="858"/>
      <c r="H173" s="858"/>
      <c r="I173" s="858"/>
      <c r="J173" s="858"/>
      <c r="K173" s="36"/>
      <c r="L173" s="78"/>
      <c r="M173" s="36"/>
      <c r="N173" s="36"/>
    </row>
    <row r="174" spans="2:14" ht="12.75" customHeight="1" x14ac:dyDescent="0.2">
      <c r="C174" s="858"/>
      <c r="D174" s="858"/>
      <c r="E174" s="858"/>
      <c r="F174" s="858"/>
      <c r="G174" s="858"/>
      <c r="H174" s="858"/>
      <c r="I174" s="858"/>
      <c r="J174" s="858"/>
      <c r="K174" s="36"/>
      <c r="L174" s="78"/>
      <c r="M174" s="36"/>
      <c r="N174" s="36"/>
    </row>
    <row r="175" spans="2:14" ht="12.75" customHeight="1" x14ac:dyDescent="0.2">
      <c r="C175" s="858"/>
      <c r="D175" s="858"/>
      <c r="E175" s="858"/>
      <c r="F175" s="858"/>
      <c r="G175" s="858"/>
      <c r="H175" s="858"/>
      <c r="I175" s="858"/>
      <c r="J175" s="858"/>
      <c r="K175" s="36"/>
      <c r="L175" s="78"/>
      <c r="M175" s="36"/>
      <c r="N175" s="36"/>
    </row>
    <row r="176" spans="2:14" ht="10.5" customHeight="1" x14ac:dyDescent="0.2">
      <c r="C176" s="858"/>
      <c r="D176" s="858"/>
      <c r="E176" s="858"/>
      <c r="F176" s="858"/>
      <c r="G176" s="858"/>
      <c r="H176" s="858"/>
      <c r="I176" s="858"/>
      <c r="J176" s="858"/>
      <c r="K176" s="36"/>
      <c r="L176" s="78"/>
      <c r="M176" s="36"/>
      <c r="N176" s="36"/>
    </row>
    <row r="177" spans="3:14" ht="8.25" customHeight="1" x14ac:dyDescent="0.2">
      <c r="C177" s="34"/>
      <c r="D177" s="34"/>
      <c r="E177" s="34"/>
      <c r="F177" s="34"/>
      <c r="G177" s="34"/>
      <c r="H177" s="34"/>
      <c r="I177" s="34"/>
      <c r="J177" s="34"/>
      <c r="K177" s="36"/>
      <c r="L177" s="78"/>
      <c r="M177" s="36"/>
      <c r="N177" s="36"/>
    </row>
    <row r="178" spans="3:14" ht="12.75" customHeight="1" x14ac:dyDescent="0.2">
      <c r="G178" s="36"/>
      <c r="H178" s="36" t="s">
        <v>595</v>
      </c>
      <c r="I178" s="36" t="s">
        <v>595</v>
      </c>
      <c r="J178" s="36" t="s">
        <v>385</v>
      </c>
      <c r="K178" s="36"/>
      <c r="L178" s="36" t="s">
        <v>600</v>
      </c>
      <c r="M178" s="36"/>
      <c r="N178" s="36"/>
    </row>
    <row r="179" spans="3:14" ht="12.75" customHeight="1" x14ac:dyDescent="0.2">
      <c r="G179" s="167" t="s">
        <v>352</v>
      </c>
      <c r="H179" s="443" t="s">
        <v>720</v>
      </c>
      <c r="I179" s="443" t="s">
        <v>719</v>
      </c>
      <c r="J179" s="449" t="s">
        <v>749</v>
      </c>
      <c r="K179" s="36"/>
      <c r="L179" s="449" t="s">
        <v>726</v>
      </c>
      <c r="M179" s="36"/>
      <c r="N179" s="36"/>
    </row>
    <row r="180" spans="3:14" ht="12.75" customHeight="1" x14ac:dyDescent="0.2">
      <c r="C180" t="s">
        <v>263</v>
      </c>
      <c r="G180" s="220"/>
      <c r="H180" s="220"/>
      <c r="I180" s="220"/>
      <c r="J180" s="220"/>
      <c r="K180" s="36"/>
      <c r="L180" s="69">
        <f>+G180+H180-I180-J180</f>
        <v>0</v>
      </c>
      <c r="M180" s="36"/>
      <c r="N180" s="36"/>
    </row>
    <row r="181" spans="3:14" ht="12.75" customHeight="1" x14ac:dyDescent="0.2">
      <c r="C181" t="s">
        <v>264</v>
      </c>
      <c r="G181" s="220"/>
      <c r="H181" s="220"/>
      <c r="I181" s="220"/>
      <c r="J181" s="220"/>
      <c r="K181" s="36"/>
      <c r="L181" s="69">
        <f t="shared" ref="L181:L196" si="0">+G181+H181-I181-J181</f>
        <v>0</v>
      </c>
      <c r="M181" s="36"/>
      <c r="N181" s="252" t="s">
        <v>686</v>
      </c>
    </row>
    <row r="182" spans="3:14" ht="12.75" customHeight="1" x14ac:dyDescent="0.2">
      <c r="C182" t="s">
        <v>265</v>
      </c>
      <c r="G182" s="220"/>
      <c r="H182" s="220"/>
      <c r="I182" s="220"/>
      <c r="J182" s="220"/>
      <c r="K182" s="36"/>
      <c r="L182" s="69">
        <f t="shared" si="0"/>
        <v>0</v>
      </c>
      <c r="M182" s="36"/>
      <c r="N182" s="251" t="s">
        <v>584</v>
      </c>
    </row>
    <row r="183" spans="3:14" ht="12.75" customHeight="1" x14ac:dyDescent="0.2">
      <c r="C183" t="s">
        <v>266</v>
      </c>
      <c r="G183" s="220"/>
      <c r="H183" s="220"/>
      <c r="I183" s="220"/>
      <c r="J183" s="220"/>
      <c r="K183" s="36"/>
      <c r="L183" s="69">
        <f t="shared" si="0"/>
        <v>0</v>
      </c>
      <c r="M183" s="36"/>
      <c r="N183" s="251" t="s">
        <v>584</v>
      </c>
    </row>
    <row r="184" spans="3:14" ht="12.75" customHeight="1" x14ac:dyDescent="0.2">
      <c r="C184" t="s">
        <v>267</v>
      </c>
      <c r="G184" s="220"/>
      <c r="H184" s="220"/>
      <c r="I184" s="220"/>
      <c r="J184" s="220"/>
      <c r="K184" s="36"/>
      <c r="L184" s="69">
        <f t="shared" si="0"/>
        <v>0</v>
      </c>
      <c r="M184" s="36"/>
      <c r="N184" s="251" t="s">
        <v>584</v>
      </c>
    </row>
    <row r="185" spans="3:14" ht="12.75" customHeight="1" x14ac:dyDescent="0.2">
      <c r="C185" t="s">
        <v>268</v>
      </c>
      <c r="G185" s="220"/>
      <c r="H185" s="220"/>
      <c r="I185" s="220"/>
      <c r="J185" s="220"/>
      <c r="K185" s="36"/>
      <c r="L185" s="69">
        <f t="shared" si="0"/>
        <v>0</v>
      </c>
      <c r="M185" s="36"/>
      <c r="N185" s="251" t="s">
        <v>584</v>
      </c>
    </row>
    <row r="186" spans="3:14" ht="12.75" customHeight="1" x14ac:dyDescent="0.2">
      <c r="C186" t="s">
        <v>269</v>
      </c>
      <c r="G186" s="220"/>
      <c r="H186" s="220"/>
      <c r="I186" s="220"/>
      <c r="J186" s="220"/>
      <c r="K186" s="36"/>
      <c r="L186" s="69">
        <f t="shared" si="0"/>
        <v>0</v>
      </c>
      <c r="M186" s="36"/>
      <c r="N186" s="251" t="s">
        <v>584</v>
      </c>
    </row>
    <row r="187" spans="3:14" ht="12.75" customHeight="1" x14ac:dyDescent="0.2">
      <c r="C187" t="s">
        <v>479</v>
      </c>
      <c r="G187" s="220"/>
      <c r="H187" s="220"/>
      <c r="I187" s="220"/>
      <c r="J187" s="220"/>
      <c r="K187" s="36"/>
      <c r="L187" s="69">
        <f t="shared" si="0"/>
        <v>0</v>
      </c>
      <c r="M187" s="36"/>
      <c r="N187" s="251" t="s">
        <v>584</v>
      </c>
    </row>
    <row r="188" spans="3:14" ht="12.75" customHeight="1" x14ac:dyDescent="0.2">
      <c r="C188" t="s">
        <v>480</v>
      </c>
      <c r="G188" s="220"/>
      <c r="H188" s="220"/>
      <c r="I188" s="220"/>
      <c r="J188" s="220"/>
      <c r="K188" s="36"/>
      <c r="L188" s="69">
        <f t="shared" si="0"/>
        <v>0</v>
      </c>
      <c r="M188" s="36"/>
      <c r="N188" s="251" t="s">
        <v>584</v>
      </c>
    </row>
    <row r="189" spans="3:14" ht="12.75" customHeight="1" x14ac:dyDescent="0.2">
      <c r="C189" t="s">
        <v>237</v>
      </c>
      <c r="G189" s="220"/>
      <c r="H189" s="220"/>
      <c r="I189" s="220"/>
      <c r="J189" s="220"/>
      <c r="K189" s="36"/>
      <c r="L189" s="69">
        <f t="shared" si="0"/>
        <v>0</v>
      </c>
      <c r="M189" s="36"/>
      <c r="N189" s="251" t="s">
        <v>584</v>
      </c>
    </row>
    <row r="190" spans="3:14" ht="12.75" customHeight="1" x14ac:dyDescent="0.2">
      <c r="C190" t="s">
        <v>238</v>
      </c>
      <c r="G190" s="220"/>
      <c r="H190" s="220"/>
      <c r="I190" s="220"/>
      <c r="J190" s="220"/>
      <c r="K190" s="36"/>
      <c r="L190" s="69">
        <f t="shared" si="0"/>
        <v>0</v>
      </c>
      <c r="M190" s="36"/>
      <c r="N190" s="251" t="s">
        <v>584</v>
      </c>
    </row>
    <row r="191" spans="3:14" ht="12.75" customHeight="1" x14ac:dyDescent="0.2">
      <c r="C191" t="s">
        <v>271</v>
      </c>
      <c r="G191" s="220"/>
      <c r="H191" s="220"/>
      <c r="I191" s="220"/>
      <c r="J191" s="220"/>
      <c r="K191" s="36"/>
      <c r="L191" s="69">
        <f t="shared" si="0"/>
        <v>0</v>
      </c>
      <c r="M191" s="36"/>
      <c r="N191" s="251" t="s">
        <v>584</v>
      </c>
    </row>
    <row r="192" spans="3:14" ht="12.75" customHeight="1" x14ac:dyDescent="0.2">
      <c r="C192" t="s">
        <v>273</v>
      </c>
      <c r="G192" s="220"/>
      <c r="H192" s="220"/>
      <c r="I192" s="220"/>
      <c r="J192" s="220"/>
      <c r="K192" s="36"/>
      <c r="L192" s="69">
        <f t="shared" si="0"/>
        <v>0</v>
      </c>
      <c r="M192" s="36"/>
      <c r="N192" s="251" t="s">
        <v>584</v>
      </c>
    </row>
    <row r="193" spans="1:14" ht="12.75" customHeight="1" x14ac:dyDescent="0.2">
      <c r="C193" t="s">
        <v>274</v>
      </c>
      <c r="G193" s="220"/>
      <c r="H193" s="220"/>
      <c r="I193" s="220"/>
      <c r="J193" s="220"/>
      <c r="K193" s="36"/>
      <c r="L193" s="69">
        <f t="shared" si="0"/>
        <v>0</v>
      </c>
      <c r="M193" s="36"/>
      <c r="N193" s="251" t="s">
        <v>584</v>
      </c>
    </row>
    <row r="194" spans="1:14" ht="12.75" customHeight="1" x14ac:dyDescent="0.2">
      <c r="C194" t="s">
        <v>481</v>
      </c>
      <c r="G194" s="220"/>
      <c r="H194" s="220"/>
      <c r="I194" s="220"/>
      <c r="J194" s="220"/>
      <c r="K194" s="36"/>
      <c r="L194" s="69">
        <f t="shared" si="0"/>
        <v>0</v>
      </c>
      <c r="M194" s="36"/>
      <c r="N194" s="251" t="s">
        <v>584</v>
      </c>
    </row>
    <row r="195" spans="1:14" ht="12.75" customHeight="1" x14ac:dyDescent="0.2">
      <c r="C195" t="s">
        <v>257</v>
      </c>
      <c r="G195" s="220"/>
      <c r="H195" s="220"/>
      <c r="I195" s="220"/>
      <c r="J195" s="220"/>
      <c r="K195" s="36"/>
      <c r="L195" s="69">
        <f t="shared" si="0"/>
        <v>0</v>
      </c>
      <c r="M195" s="36"/>
      <c r="N195" s="251" t="s">
        <v>584</v>
      </c>
    </row>
    <row r="196" spans="1:14" ht="12.75" customHeight="1" x14ac:dyDescent="0.2">
      <c r="C196" t="s">
        <v>55</v>
      </c>
      <c r="G196" s="220"/>
      <c r="H196" s="220"/>
      <c r="I196" s="220"/>
      <c r="J196" s="220"/>
      <c r="K196" s="36"/>
      <c r="L196" s="69">
        <f t="shared" si="0"/>
        <v>0</v>
      </c>
      <c r="M196" s="36"/>
      <c r="N196" s="251" t="s">
        <v>584</v>
      </c>
    </row>
    <row r="197" spans="1:14" ht="12.75" customHeight="1" x14ac:dyDescent="0.2">
      <c r="G197" s="36"/>
      <c r="H197" s="36"/>
      <c r="I197" s="36"/>
      <c r="J197" s="36"/>
      <c r="K197" s="36"/>
      <c r="L197" s="78"/>
      <c r="M197" s="36"/>
      <c r="N197" s="251" t="s">
        <v>584</v>
      </c>
    </row>
    <row r="198" spans="1:14" ht="12.75" customHeight="1" thickBot="1" x14ac:dyDescent="0.25">
      <c r="B198" t="s">
        <v>566</v>
      </c>
      <c r="G198" s="62">
        <f>SUM(G180:G196)</f>
        <v>0</v>
      </c>
      <c r="H198" s="62">
        <f>SUM(H180:H196)</f>
        <v>0</v>
      </c>
      <c r="I198" s="62">
        <f>SUM(I180:I196)</f>
        <v>0</v>
      </c>
      <c r="J198" s="62">
        <f>SUM(J180:J196)</f>
        <v>0</v>
      </c>
      <c r="K198" s="36"/>
      <c r="L198" s="62">
        <f>SUM(L180:L196)</f>
        <v>0</v>
      </c>
      <c r="M198" s="36"/>
      <c r="N198" s="251" t="s">
        <v>585</v>
      </c>
    </row>
    <row r="199" spans="1:14" s="11" customFormat="1" ht="6.75" customHeight="1" thickTop="1" x14ac:dyDescent="0.2">
      <c r="G199" s="44"/>
      <c r="H199" s="44"/>
      <c r="I199" s="44"/>
      <c r="J199" s="44"/>
      <c r="K199" s="78"/>
      <c r="L199" s="44"/>
      <c r="M199" s="78"/>
      <c r="N199" s="78"/>
    </row>
    <row r="200" spans="1:14" s="11" customFormat="1" ht="12.75" customHeight="1" x14ac:dyDescent="0.2">
      <c r="B200" s="11" t="s">
        <v>26</v>
      </c>
      <c r="G200" s="44"/>
      <c r="H200" s="44"/>
      <c r="I200" s="44"/>
      <c r="J200" s="44"/>
      <c r="K200" s="78"/>
      <c r="L200" s="44"/>
      <c r="M200" s="78"/>
      <c r="N200" s="69">
        <f>SUM(L162:L196)</f>
        <v>0</v>
      </c>
    </row>
    <row r="201" spans="1:14" ht="6.75" customHeight="1" x14ac:dyDescent="0.2">
      <c r="G201" s="36"/>
      <c r="H201" s="36"/>
      <c r="I201" s="36"/>
      <c r="J201" s="36"/>
      <c r="K201" s="36"/>
      <c r="L201" s="36"/>
      <c r="M201" s="36"/>
      <c r="N201" s="36"/>
    </row>
    <row r="202" spans="1:14" ht="12.75" customHeight="1" x14ac:dyDescent="0.2">
      <c r="B202" s="4" t="s">
        <v>85</v>
      </c>
      <c r="G202" s="36"/>
      <c r="H202" s="36"/>
      <c r="I202" s="36"/>
      <c r="J202" s="36"/>
      <c r="K202" s="36"/>
      <c r="L202" s="78"/>
      <c r="M202" s="36"/>
      <c r="N202" s="69">
        <f>+N139-N154-N200</f>
        <v>59685</v>
      </c>
    </row>
    <row r="203" spans="1:14" ht="11.25" customHeight="1" x14ac:dyDescent="0.2"/>
    <row r="204" spans="1:14" ht="11.25" customHeight="1" x14ac:dyDescent="0.2">
      <c r="D204" s="123" t="s">
        <v>648</v>
      </c>
      <c r="E204" s="447" t="s">
        <v>751</v>
      </c>
    </row>
    <row r="205" spans="1:14" ht="11.25" customHeight="1" x14ac:dyDescent="0.2">
      <c r="D205" s="123" t="s">
        <v>721</v>
      </c>
      <c r="E205" s="447" t="s">
        <v>739</v>
      </c>
    </row>
    <row r="206" spans="1:14" ht="11.25" customHeight="1" x14ac:dyDescent="0.2"/>
    <row r="207" spans="1:14" ht="25.5" customHeight="1" x14ac:dyDescent="0.2">
      <c r="A207" s="765" t="s">
        <v>636</v>
      </c>
      <c r="B207" s="971" t="s">
        <v>375</v>
      </c>
      <c r="C207" s="972"/>
      <c r="D207" s="972"/>
      <c r="E207" s="972"/>
      <c r="F207" s="972"/>
      <c r="G207" s="972"/>
      <c r="H207" s="972"/>
      <c r="I207" s="972"/>
      <c r="J207" s="972"/>
      <c r="K207" s="972"/>
      <c r="L207" s="972"/>
      <c r="M207" s="972"/>
      <c r="N207" s="973"/>
    </row>
    <row r="208" spans="1:14" ht="3" customHeight="1" x14ac:dyDescent="0.2">
      <c r="A208" s="4"/>
      <c r="B208" s="41"/>
      <c r="C208" s="41"/>
      <c r="D208" s="41"/>
      <c r="E208" s="41"/>
      <c r="F208" s="41"/>
      <c r="G208" s="41"/>
      <c r="H208" s="41"/>
      <c r="I208" s="32"/>
      <c r="J208" s="32"/>
      <c r="K208" s="32"/>
      <c r="L208" s="32"/>
      <c r="M208" s="32"/>
      <c r="N208" s="32"/>
    </row>
    <row r="209" spans="1:14" ht="18" customHeight="1" x14ac:dyDescent="0.2">
      <c r="J209" s="46" t="s">
        <v>645</v>
      </c>
      <c r="K209" s="37"/>
      <c r="L209" s="46" t="s">
        <v>646</v>
      </c>
    </row>
    <row r="210" spans="1:14" x14ac:dyDescent="0.2">
      <c r="A210" s="111" t="s">
        <v>391</v>
      </c>
      <c r="D210" t="s">
        <v>192</v>
      </c>
      <c r="J210" s="69">
        <f>N34</f>
        <v>0</v>
      </c>
      <c r="K210" s="78"/>
      <c r="L210" s="69"/>
      <c r="N210" s="2"/>
    </row>
    <row r="211" spans="1:14" x14ac:dyDescent="0.2">
      <c r="A211" s="111"/>
      <c r="E211" t="s">
        <v>193</v>
      </c>
      <c r="I211" s="5">
        <f>SUM(J210:J211)-SUM(L210:L211)</f>
        <v>0</v>
      </c>
      <c r="J211" s="69"/>
      <c r="K211" s="78"/>
      <c r="L211" s="69">
        <f>N34</f>
        <v>0</v>
      </c>
    </row>
    <row r="212" spans="1:14" ht="4.5" customHeight="1" x14ac:dyDescent="0.2">
      <c r="A212" s="111"/>
      <c r="J212" s="36"/>
      <c r="K212" s="78"/>
      <c r="L212" s="36"/>
    </row>
    <row r="213" spans="1:14" x14ac:dyDescent="0.2">
      <c r="A213" s="111" t="s">
        <v>280</v>
      </c>
      <c r="C213" s="11"/>
      <c r="D213" s="11" t="s">
        <v>358</v>
      </c>
      <c r="E213" s="11"/>
      <c r="F213" s="11"/>
      <c r="G213" s="11"/>
      <c r="J213" s="69">
        <f>N41</f>
        <v>9000</v>
      </c>
      <c r="K213" s="78"/>
      <c r="L213" s="69"/>
      <c r="N213" s="757" t="s">
        <v>1649</v>
      </c>
    </row>
    <row r="214" spans="1:14" x14ac:dyDescent="0.2">
      <c r="A214" s="111"/>
      <c r="C214" s="11"/>
      <c r="D214" s="11" t="s">
        <v>642</v>
      </c>
      <c r="E214" s="11"/>
      <c r="F214" s="11"/>
      <c r="G214" s="11"/>
      <c r="H214" s="2"/>
      <c r="J214" s="69">
        <f>N44</f>
        <v>0</v>
      </c>
      <c r="K214" s="78"/>
      <c r="L214" s="69"/>
      <c r="N214" s="797" t="s">
        <v>1650</v>
      </c>
    </row>
    <row r="215" spans="1:14" ht="12.75" customHeight="1" x14ac:dyDescent="0.2">
      <c r="A215" s="111"/>
      <c r="C215" s="11"/>
      <c r="D215" s="11"/>
      <c r="E215" s="11" t="s">
        <v>354</v>
      </c>
      <c r="F215" s="11"/>
      <c r="G215" s="11"/>
      <c r="J215" s="69"/>
      <c r="K215" s="78"/>
      <c r="L215" s="69">
        <f>N41</f>
        <v>9000</v>
      </c>
    </row>
    <row r="216" spans="1:14" x14ac:dyDescent="0.2">
      <c r="A216" s="111"/>
      <c r="C216" s="11"/>
      <c r="D216" s="11"/>
      <c r="E216" s="11" t="s">
        <v>643</v>
      </c>
      <c r="F216" s="11"/>
      <c r="G216" s="11"/>
      <c r="I216" s="5">
        <f>SUM(J213:J216)-SUM(L213:L216)</f>
        <v>0</v>
      </c>
      <c r="J216" s="69"/>
      <c r="K216" s="78"/>
      <c r="L216" s="69">
        <f>N44</f>
        <v>0</v>
      </c>
    </row>
    <row r="217" spans="1:14" ht="4.5" customHeight="1" x14ac:dyDescent="0.2">
      <c r="A217" s="111"/>
      <c r="J217" s="36"/>
      <c r="K217" s="78"/>
      <c r="L217" s="36"/>
    </row>
    <row r="218" spans="1:14" x14ac:dyDescent="0.2">
      <c r="A218" s="111" t="s">
        <v>281</v>
      </c>
      <c r="D218" t="s">
        <v>642</v>
      </c>
      <c r="J218" s="69">
        <f>N60</f>
        <v>0</v>
      </c>
      <c r="K218" s="78"/>
      <c r="L218" s="69"/>
    </row>
    <row r="219" spans="1:14" x14ac:dyDescent="0.2">
      <c r="A219" s="111"/>
      <c r="D219" t="s">
        <v>358</v>
      </c>
      <c r="J219" s="69">
        <f>N53</f>
        <v>0</v>
      </c>
      <c r="K219" s="78"/>
      <c r="L219" s="69"/>
      <c r="N219" s="797" t="s">
        <v>56</v>
      </c>
    </row>
    <row r="220" spans="1:14" x14ac:dyDescent="0.2">
      <c r="A220" s="111"/>
      <c r="B220" s="23"/>
      <c r="D220" t="s">
        <v>693</v>
      </c>
      <c r="J220" s="69">
        <f>SUM(L221:L222)-SUM(J218:J219)</f>
        <v>0</v>
      </c>
      <c r="K220" s="78"/>
      <c r="L220" s="69"/>
      <c r="N220" s="797" t="s">
        <v>58</v>
      </c>
    </row>
    <row r="221" spans="1:14" x14ac:dyDescent="0.2">
      <c r="A221" s="111"/>
      <c r="E221" t="s">
        <v>643</v>
      </c>
      <c r="J221" s="69"/>
      <c r="K221" s="78"/>
      <c r="L221" s="69">
        <f>N57</f>
        <v>0</v>
      </c>
      <c r="N221" s="797" t="s">
        <v>57</v>
      </c>
    </row>
    <row r="222" spans="1:14" x14ac:dyDescent="0.2">
      <c r="A222" s="111"/>
      <c r="E222" t="s">
        <v>354</v>
      </c>
      <c r="I222" s="5">
        <f>SUM(J218:J222)-SUM(L218:L222)</f>
        <v>0</v>
      </c>
      <c r="J222" s="69"/>
      <c r="K222" s="78"/>
      <c r="L222" s="69">
        <f>N50</f>
        <v>0</v>
      </c>
    </row>
    <row r="223" spans="1:14" ht="3.75" customHeight="1" x14ac:dyDescent="0.2">
      <c r="A223" s="111"/>
      <c r="J223" s="78"/>
      <c r="K223" s="78"/>
      <c r="L223" s="78"/>
    </row>
    <row r="224" spans="1:14" x14ac:dyDescent="0.2">
      <c r="A224" s="111" t="s">
        <v>282</v>
      </c>
      <c r="D224" t="s">
        <v>430</v>
      </c>
      <c r="J224" s="69">
        <f>N66</f>
        <v>0</v>
      </c>
      <c r="K224" s="78"/>
      <c r="L224" s="69"/>
    </row>
    <row r="225" spans="1:14" x14ac:dyDescent="0.2">
      <c r="A225" s="111"/>
      <c r="E225" t="s">
        <v>354</v>
      </c>
      <c r="J225" s="69"/>
      <c r="K225" s="78"/>
      <c r="L225" s="69">
        <f>N66</f>
        <v>0</v>
      </c>
      <c r="N225" s="797" t="s">
        <v>619</v>
      </c>
    </row>
    <row r="226" spans="1:14" x14ac:dyDescent="0.2">
      <c r="A226" s="111"/>
      <c r="D226" t="s">
        <v>358</v>
      </c>
      <c r="J226" s="69">
        <f>N68</f>
        <v>0</v>
      </c>
      <c r="K226" s="78"/>
      <c r="L226" s="69"/>
      <c r="N226" s="797" t="s">
        <v>620</v>
      </c>
    </row>
    <row r="227" spans="1:14" x14ac:dyDescent="0.2">
      <c r="A227" s="111"/>
      <c r="E227" t="s">
        <v>431</v>
      </c>
      <c r="I227" s="5">
        <f>SUM(J224:J227)-SUM(L224:L227)</f>
        <v>0</v>
      </c>
      <c r="J227" s="69"/>
      <c r="K227" s="78"/>
      <c r="L227" s="69">
        <f>N68</f>
        <v>0</v>
      </c>
    </row>
    <row r="228" spans="1:14" ht="5.25" customHeight="1" x14ac:dyDescent="0.2">
      <c r="A228" s="111"/>
      <c r="J228" s="78"/>
      <c r="K228" s="78"/>
      <c r="L228" s="78"/>
    </row>
    <row r="229" spans="1:14" x14ac:dyDescent="0.2">
      <c r="A229" s="111" t="s">
        <v>283</v>
      </c>
      <c r="D229" t="s">
        <v>238</v>
      </c>
      <c r="H229" t="s">
        <v>121</v>
      </c>
      <c r="J229" s="69">
        <f>N75+N78</f>
        <v>0</v>
      </c>
      <c r="K229" s="78"/>
      <c r="L229" s="69"/>
    </row>
    <row r="230" spans="1:14" x14ac:dyDescent="0.2">
      <c r="A230" s="111"/>
      <c r="E230" t="s">
        <v>27</v>
      </c>
      <c r="F230" s="47"/>
      <c r="J230" s="69"/>
      <c r="K230" s="78"/>
      <c r="L230" s="69">
        <f>N75</f>
        <v>0</v>
      </c>
      <c r="N230" s="797" t="s">
        <v>622</v>
      </c>
    </row>
    <row r="231" spans="1:14" x14ac:dyDescent="0.2">
      <c r="A231" s="111"/>
      <c r="E231" t="s">
        <v>120</v>
      </c>
      <c r="I231" s="5">
        <f>SUM(J229:J231)-SUM(L229:L231)</f>
        <v>0</v>
      </c>
      <c r="J231" s="69"/>
      <c r="K231" s="78"/>
      <c r="L231" s="69">
        <f>N78</f>
        <v>0</v>
      </c>
      <c r="N231" s="797" t="s">
        <v>621</v>
      </c>
    </row>
    <row r="232" spans="1:14" ht="3.75" customHeight="1" x14ac:dyDescent="0.2">
      <c r="A232" s="111"/>
      <c r="J232" s="36"/>
      <c r="K232" s="78"/>
      <c r="L232" s="36"/>
    </row>
    <row r="233" spans="1:14" x14ac:dyDescent="0.2">
      <c r="A233" s="111" t="s">
        <v>284</v>
      </c>
      <c r="D233" t="s">
        <v>610</v>
      </c>
      <c r="J233" s="69">
        <f>N83</f>
        <v>0</v>
      </c>
      <c r="K233" s="78"/>
      <c r="L233" s="69"/>
    </row>
    <row r="234" spans="1:14" x14ac:dyDescent="0.2">
      <c r="A234" s="111"/>
      <c r="D234" t="s">
        <v>117</v>
      </c>
      <c r="J234" s="69">
        <f>N85</f>
        <v>27272</v>
      </c>
      <c r="K234" s="78"/>
      <c r="L234" s="69"/>
      <c r="N234" s="6"/>
    </row>
    <row r="235" spans="1:14" x14ac:dyDescent="0.2">
      <c r="A235" s="111"/>
      <c r="D235" t="s">
        <v>709</v>
      </c>
      <c r="J235" s="69">
        <f>N87</f>
        <v>25000</v>
      </c>
      <c r="K235" s="78"/>
      <c r="L235" s="69"/>
      <c r="N235" s="6"/>
    </row>
    <row r="236" spans="1:14" x14ac:dyDescent="0.2">
      <c r="A236" s="111"/>
      <c r="D236" t="s">
        <v>710</v>
      </c>
      <c r="J236" s="69">
        <f>N89</f>
        <v>0</v>
      </c>
      <c r="K236" s="78"/>
      <c r="L236" s="69"/>
      <c r="N236" s="6"/>
    </row>
    <row r="237" spans="1:14" x14ac:dyDescent="0.2">
      <c r="A237" s="111"/>
      <c r="D237" t="s">
        <v>146</v>
      </c>
      <c r="J237" s="69">
        <f>N91</f>
        <v>0</v>
      </c>
      <c r="K237" s="78"/>
      <c r="L237" s="69"/>
      <c r="N237" s="6"/>
    </row>
    <row r="238" spans="1:14" x14ac:dyDescent="0.2">
      <c r="A238" s="111"/>
      <c r="D238" t="s">
        <v>694</v>
      </c>
      <c r="J238" s="69">
        <f>N93</f>
        <v>200</v>
      </c>
      <c r="K238" s="78"/>
      <c r="L238" s="69"/>
      <c r="N238" s="6"/>
    </row>
    <row r="239" spans="1:14" x14ac:dyDescent="0.2">
      <c r="A239" s="111"/>
      <c r="D239" t="str">
        <f>'Conversion Worksheet'!C100</f>
        <v>Other long-term liability #1</v>
      </c>
      <c r="J239" s="69">
        <f>N96</f>
        <v>0</v>
      </c>
      <c r="K239" s="78"/>
      <c r="L239" s="69"/>
      <c r="N239" s="6"/>
    </row>
    <row r="240" spans="1:14" x14ac:dyDescent="0.2">
      <c r="A240" s="111"/>
      <c r="D240" t="str">
        <f>'Conversion Worksheet'!C101</f>
        <v>Other long-term liability #2</v>
      </c>
      <c r="J240" s="69">
        <f>N98</f>
        <v>0</v>
      </c>
      <c r="K240" s="78"/>
      <c r="L240" s="69"/>
      <c r="N240" s="797" t="s">
        <v>625</v>
      </c>
    </row>
    <row r="241" spans="1:14" x14ac:dyDescent="0.2">
      <c r="A241" s="111"/>
      <c r="E241" s="35" t="s">
        <v>69</v>
      </c>
      <c r="J241" s="69"/>
      <c r="K241" s="78"/>
      <c r="L241" s="69">
        <f>N83</f>
        <v>0</v>
      </c>
      <c r="N241" s="797" t="s">
        <v>23</v>
      </c>
    </row>
    <row r="242" spans="1:14" x14ac:dyDescent="0.2">
      <c r="A242" s="111"/>
      <c r="E242" s="452" t="s">
        <v>761</v>
      </c>
      <c r="J242" s="69"/>
      <c r="K242" s="78"/>
      <c r="L242" s="69">
        <f>N85</f>
        <v>27272</v>
      </c>
    </row>
    <row r="243" spans="1:14" x14ac:dyDescent="0.2">
      <c r="A243" s="111"/>
      <c r="E243" s="452" t="s">
        <v>760</v>
      </c>
      <c r="J243" s="69"/>
      <c r="K243" s="78"/>
      <c r="L243" s="69">
        <f>N87</f>
        <v>25000</v>
      </c>
    </row>
    <row r="244" spans="1:14" x14ac:dyDescent="0.2">
      <c r="A244" s="111"/>
      <c r="E244" s="452" t="s">
        <v>759</v>
      </c>
      <c r="J244" s="69"/>
      <c r="K244" s="78"/>
      <c r="L244" s="69">
        <f>N89</f>
        <v>0</v>
      </c>
    </row>
    <row r="245" spans="1:14" x14ac:dyDescent="0.2">
      <c r="A245" s="111"/>
      <c r="E245" s="452" t="s">
        <v>758</v>
      </c>
      <c r="J245" s="69"/>
      <c r="K245" s="78"/>
      <c r="L245" s="69">
        <f>N91</f>
        <v>0</v>
      </c>
      <c r="N245" s="6"/>
    </row>
    <row r="246" spans="1:14" x14ac:dyDescent="0.2">
      <c r="A246" s="111"/>
      <c r="E246" s="452" t="s">
        <v>757</v>
      </c>
      <c r="J246" s="69"/>
      <c r="K246" s="78"/>
      <c r="L246" s="69">
        <f>N93</f>
        <v>200</v>
      </c>
      <c r="N246" s="6"/>
    </row>
    <row r="247" spans="1:14" x14ac:dyDescent="0.2">
      <c r="A247" s="111"/>
      <c r="E247" s="35" t="str">
        <f>CONCATENATE(D239," - current")</f>
        <v>Other long-term liability #1 - current</v>
      </c>
      <c r="G247" s="38"/>
      <c r="J247" s="69"/>
      <c r="K247" s="78"/>
      <c r="L247" s="69">
        <f>N96</f>
        <v>0</v>
      </c>
      <c r="N247" s="6"/>
    </row>
    <row r="248" spans="1:14" x14ac:dyDescent="0.2">
      <c r="A248" s="111"/>
      <c r="E248" s="35" t="str">
        <f>CONCATENATE(D240," - current")</f>
        <v>Other long-term liability #2 - current</v>
      </c>
      <c r="G248" s="38"/>
      <c r="I248" s="5">
        <f>SUM(J233:J248)-SUM(L233:L248)</f>
        <v>0</v>
      </c>
      <c r="J248" s="69"/>
      <c r="K248" s="78"/>
      <c r="L248" s="69">
        <f>N98</f>
        <v>0</v>
      </c>
      <c r="N248" s="6"/>
    </row>
    <row r="249" spans="1:14" ht="4.5" customHeight="1" x14ac:dyDescent="0.2">
      <c r="A249" s="111"/>
      <c r="J249" s="36"/>
      <c r="K249" s="78"/>
      <c r="L249" s="36"/>
    </row>
    <row r="250" spans="1:14" x14ac:dyDescent="0.2">
      <c r="A250" s="111" t="s">
        <v>285</v>
      </c>
      <c r="D250" t="s">
        <v>263</v>
      </c>
      <c r="J250" s="69">
        <f t="shared" ref="J250:J266" si="1">J108</f>
        <v>0</v>
      </c>
      <c r="K250" s="78"/>
      <c r="L250" s="69"/>
    </row>
    <row r="251" spans="1:14" x14ac:dyDescent="0.2">
      <c r="A251" s="111"/>
      <c r="D251" t="s">
        <v>264</v>
      </c>
      <c r="J251" s="69">
        <f t="shared" si="1"/>
        <v>0</v>
      </c>
      <c r="K251" s="78"/>
      <c r="L251" s="69"/>
    </row>
    <row r="252" spans="1:14" x14ac:dyDescent="0.2">
      <c r="A252" s="111"/>
      <c r="D252" t="s">
        <v>265</v>
      </c>
      <c r="J252" s="69">
        <f t="shared" si="1"/>
        <v>0</v>
      </c>
      <c r="K252" s="78"/>
      <c r="L252" s="69"/>
    </row>
    <row r="253" spans="1:14" x14ac:dyDescent="0.2">
      <c r="A253" s="111"/>
      <c r="D253" t="s">
        <v>266</v>
      </c>
      <c r="J253" s="69">
        <f t="shared" si="1"/>
        <v>0</v>
      </c>
      <c r="K253" s="78"/>
      <c r="L253" s="69"/>
    </row>
    <row r="254" spans="1:14" x14ac:dyDescent="0.2">
      <c r="A254" s="111"/>
      <c r="D254" t="s">
        <v>267</v>
      </c>
      <c r="J254" s="69">
        <f t="shared" si="1"/>
        <v>0</v>
      </c>
      <c r="K254" s="78"/>
      <c r="L254" s="69"/>
    </row>
    <row r="255" spans="1:14" x14ac:dyDescent="0.2">
      <c r="A255" s="111"/>
      <c r="D255" t="s">
        <v>268</v>
      </c>
      <c r="J255" s="69">
        <f t="shared" si="1"/>
        <v>0</v>
      </c>
      <c r="K255" s="78"/>
      <c r="L255" s="69"/>
    </row>
    <row r="256" spans="1:14" x14ac:dyDescent="0.2">
      <c r="A256" s="111"/>
      <c r="D256" t="s">
        <v>269</v>
      </c>
      <c r="J256" s="69">
        <f t="shared" si="1"/>
        <v>0</v>
      </c>
      <c r="K256" s="78"/>
      <c r="L256" s="69"/>
    </row>
    <row r="257" spans="1:12" x14ac:dyDescent="0.2">
      <c r="A257" s="111"/>
      <c r="D257" t="s">
        <v>377</v>
      </c>
      <c r="J257" s="69">
        <f t="shared" si="1"/>
        <v>0</v>
      </c>
      <c r="K257" s="78"/>
      <c r="L257" s="69"/>
    </row>
    <row r="258" spans="1:12" x14ac:dyDescent="0.2">
      <c r="A258" s="111"/>
      <c r="D258" t="s">
        <v>439</v>
      </c>
      <c r="J258" s="69">
        <f t="shared" si="1"/>
        <v>0</v>
      </c>
      <c r="K258" s="78"/>
      <c r="L258" s="69"/>
    </row>
    <row r="259" spans="1:12" x14ac:dyDescent="0.2">
      <c r="A259" s="111"/>
      <c r="D259" t="s">
        <v>237</v>
      </c>
      <c r="J259" s="69">
        <f t="shared" si="1"/>
        <v>0</v>
      </c>
      <c r="K259" s="78"/>
      <c r="L259" s="69"/>
    </row>
    <row r="260" spans="1:12" x14ac:dyDescent="0.2">
      <c r="A260" s="111"/>
      <c r="D260" t="s">
        <v>238</v>
      </c>
      <c r="J260" s="69">
        <f t="shared" si="1"/>
        <v>0</v>
      </c>
      <c r="K260" s="78"/>
      <c r="L260" s="69"/>
    </row>
    <row r="261" spans="1:12" x14ac:dyDescent="0.2">
      <c r="A261" s="111"/>
      <c r="D261" t="s">
        <v>271</v>
      </c>
      <c r="J261" s="69">
        <f t="shared" si="1"/>
        <v>0</v>
      </c>
      <c r="K261" s="78"/>
      <c r="L261" s="69"/>
    </row>
    <row r="262" spans="1:12" x14ac:dyDescent="0.2">
      <c r="A262" s="111"/>
      <c r="D262" t="s">
        <v>273</v>
      </c>
      <c r="J262" s="69">
        <f t="shared" si="1"/>
        <v>0</v>
      </c>
      <c r="K262" s="78"/>
      <c r="L262" s="69"/>
    </row>
    <row r="263" spans="1:12" x14ac:dyDescent="0.2">
      <c r="A263" s="111"/>
      <c r="D263" t="s">
        <v>274</v>
      </c>
      <c r="J263" s="69">
        <f t="shared" si="1"/>
        <v>0</v>
      </c>
      <c r="K263" s="78"/>
      <c r="L263" s="69"/>
    </row>
    <row r="264" spans="1:12" x14ac:dyDescent="0.2">
      <c r="A264" s="111"/>
      <c r="D264" t="s">
        <v>272</v>
      </c>
      <c r="J264" s="69">
        <f t="shared" si="1"/>
        <v>0</v>
      </c>
      <c r="K264" s="78"/>
      <c r="L264" s="69"/>
    </row>
    <row r="265" spans="1:12" x14ac:dyDescent="0.2">
      <c r="A265" s="111"/>
      <c r="D265" t="s">
        <v>257</v>
      </c>
      <c r="J265" s="69">
        <f t="shared" si="1"/>
        <v>0</v>
      </c>
      <c r="K265" s="78"/>
      <c r="L265" s="69"/>
    </row>
    <row r="266" spans="1:12" x14ac:dyDescent="0.2">
      <c r="A266" s="111"/>
      <c r="D266" t="s">
        <v>55</v>
      </c>
      <c r="J266" s="69">
        <f t="shared" si="1"/>
        <v>0</v>
      </c>
      <c r="K266" s="78"/>
      <c r="L266" s="69"/>
    </row>
    <row r="267" spans="1:12" x14ac:dyDescent="0.2">
      <c r="A267" s="111"/>
      <c r="E267" t="s">
        <v>343</v>
      </c>
      <c r="J267" s="69"/>
      <c r="K267" s="78"/>
      <c r="L267" s="69">
        <f>J125</f>
        <v>0</v>
      </c>
    </row>
    <row r="268" spans="1:12" x14ac:dyDescent="0.2">
      <c r="A268" s="111"/>
      <c r="D268" t="s">
        <v>140</v>
      </c>
      <c r="J268" s="69">
        <f>L125+N125</f>
        <v>0</v>
      </c>
      <c r="K268" s="78"/>
      <c r="L268" s="69"/>
    </row>
    <row r="269" spans="1:12" x14ac:dyDescent="0.2">
      <c r="A269" s="111"/>
      <c r="E269" t="s">
        <v>263</v>
      </c>
      <c r="H269" t="s">
        <v>344</v>
      </c>
      <c r="J269" s="69"/>
      <c r="K269" s="78"/>
      <c r="L269" s="69">
        <f t="shared" ref="L269:L285" si="2">L108</f>
        <v>0</v>
      </c>
    </row>
    <row r="270" spans="1:12" x14ac:dyDescent="0.2">
      <c r="A270" s="111"/>
      <c r="E270" t="s">
        <v>264</v>
      </c>
      <c r="H270" t="s">
        <v>344</v>
      </c>
      <c r="J270" s="69"/>
      <c r="K270" s="78"/>
      <c r="L270" s="69">
        <f t="shared" si="2"/>
        <v>0</v>
      </c>
    </row>
    <row r="271" spans="1:12" x14ac:dyDescent="0.2">
      <c r="A271" s="111"/>
      <c r="E271" t="s">
        <v>265</v>
      </c>
      <c r="H271" t="s">
        <v>344</v>
      </c>
      <c r="J271" s="69"/>
      <c r="K271" s="78"/>
      <c r="L271" s="69">
        <f t="shared" si="2"/>
        <v>0</v>
      </c>
    </row>
    <row r="272" spans="1:12" x14ac:dyDescent="0.2">
      <c r="A272" s="111"/>
      <c r="E272" t="s">
        <v>266</v>
      </c>
      <c r="H272" t="s">
        <v>344</v>
      </c>
      <c r="J272" s="69"/>
      <c r="K272" s="78"/>
      <c r="L272" s="69">
        <f t="shared" si="2"/>
        <v>0</v>
      </c>
    </row>
    <row r="273" spans="1:14" x14ac:dyDescent="0.2">
      <c r="A273" s="111"/>
      <c r="E273" t="s">
        <v>267</v>
      </c>
      <c r="H273" t="s">
        <v>344</v>
      </c>
      <c r="J273" s="69"/>
      <c r="K273" s="78"/>
      <c r="L273" s="69">
        <f t="shared" si="2"/>
        <v>0</v>
      </c>
    </row>
    <row r="274" spans="1:14" x14ac:dyDescent="0.2">
      <c r="A274" s="111"/>
      <c r="E274" t="s">
        <v>268</v>
      </c>
      <c r="H274" t="s">
        <v>344</v>
      </c>
      <c r="J274" s="69"/>
      <c r="K274" s="78"/>
      <c r="L274" s="69">
        <f t="shared" si="2"/>
        <v>0</v>
      </c>
    </row>
    <row r="275" spans="1:14" x14ac:dyDescent="0.2">
      <c r="A275" s="111"/>
      <c r="E275" t="s">
        <v>269</v>
      </c>
      <c r="H275" t="s">
        <v>344</v>
      </c>
      <c r="J275" s="69"/>
      <c r="K275" s="78"/>
      <c r="L275" s="69">
        <f t="shared" si="2"/>
        <v>0</v>
      </c>
    </row>
    <row r="276" spans="1:14" x14ac:dyDescent="0.2">
      <c r="A276" s="111"/>
      <c r="E276" t="s">
        <v>377</v>
      </c>
      <c r="H276" t="s">
        <v>344</v>
      </c>
      <c r="J276" s="69"/>
      <c r="K276" s="78"/>
      <c r="L276" s="69">
        <f t="shared" si="2"/>
        <v>0</v>
      </c>
      <c r="N276" s="797" t="s">
        <v>623</v>
      </c>
    </row>
    <row r="277" spans="1:14" x14ac:dyDescent="0.2">
      <c r="A277" s="111"/>
      <c r="E277" t="s">
        <v>439</v>
      </c>
      <c r="H277" t="s">
        <v>344</v>
      </c>
      <c r="J277" s="69"/>
      <c r="K277" s="78"/>
      <c r="L277" s="69">
        <f t="shared" si="2"/>
        <v>0</v>
      </c>
      <c r="N277" s="797" t="s">
        <v>624</v>
      </c>
    </row>
    <row r="278" spans="1:14" x14ac:dyDescent="0.2">
      <c r="A278" s="111"/>
      <c r="E278" t="s">
        <v>237</v>
      </c>
      <c r="H278" t="s">
        <v>344</v>
      </c>
      <c r="J278" s="69"/>
      <c r="K278" s="78"/>
      <c r="L278" s="69">
        <f t="shared" si="2"/>
        <v>0</v>
      </c>
    </row>
    <row r="279" spans="1:14" x14ac:dyDescent="0.2">
      <c r="A279" s="111"/>
      <c r="E279" t="s">
        <v>238</v>
      </c>
      <c r="H279" t="s">
        <v>344</v>
      </c>
      <c r="J279" s="69"/>
      <c r="K279" s="78"/>
      <c r="L279" s="69">
        <f t="shared" si="2"/>
        <v>0</v>
      </c>
    </row>
    <row r="280" spans="1:14" x14ac:dyDescent="0.2">
      <c r="A280" s="111"/>
      <c r="E280" t="s">
        <v>271</v>
      </c>
      <c r="H280" t="s">
        <v>344</v>
      </c>
      <c r="J280" s="69"/>
      <c r="K280" s="78"/>
      <c r="L280" s="69">
        <f t="shared" si="2"/>
        <v>0</v>
      </c>
    </row>
    <row r="281" spans="1:14" x14ac:dyDescent="0.2">
      <c r="A281" s="111"/>
      <c r="E281" t="s">
        <v>273</v>
      </c>
      <c r="H281" t="s">
        <v>344</v>
      </c>
      <c r="J281" s="69"/>
      <c r="K281" s="78"/>
      <c r="L281" s="69">
        <f t="shared" si="2"/>
        <v>0</v>
      </c>
    </row>
    <row r="282" spans="1:14" x14ac:dyDescent="0.2">
      <c r="A282" s="111"/>
      <c r="E282" t="s">
        <v>274</v>
      </c>
      <c r="H282" t="s">
        <v>344</v>
      </c>
      <c r="J282" s="69"/>
      <c r="K282" s="78"/>
      <c r="L282" s="69">
        <f t="shared" si="2"/>
        <v>0</v>
      </c>
    </row>
    <row r="283" spans="1:14" x14ac:dyDescent="0.2">
      <c r="A283" s="111"/>
      <c r="E283" t="s">
        <v>481</v>
      </c>
      <c r="H283" t="s">
        <v>344</v>
      </c>
      <c r="J283" s="69"/>
      <c r="K283" s="78"/>
      <c r="L283" s="69">
        <f t="shared" si="2"/>
        <v>0</v>
      </c>
    </row>
    <row r="284" spans="1:14" x14ac:dyDescent="0.2">
      <c r="A284" s="111"/>
      <c r="E284" t="s">
        <v>257</v>
      </c>
      <c r="H284" t="s">
        <v>344</v>
      </c>
      <c r="J284" s="69"/>
      <c r="K284" s="78"/>
      <c r="L284" s="69">
        <f t="shared" si="2"/>
        <v>0</v>
      </c>
    </row>
    <row r="285" spans="1:14" x14ac:dyDescent="0.2">
      <c r="A285" s="111"/>
      <c r="E285" t="s">
        <v>55</v>
      </c>
      <c r="H285" t="s">
        <v>344</v>
      </c>
      <c r="J285" s="69"/>
      <c r="K285" s="78"/>
      <c r="L285" s="69">
        <f t="shared" si="2"/>
        <v>0</v>
      </c>
    </row>
    <row r="286" spans="1:14" x14ac:dyDescent="0.2">
      <c r="A286" s="111"/>
      <c r="E286" t="s">
        <v>263</v>
      </c>
      <c r="H286" t="s">
        <v>345</v>
      </c>
      <c r="J286" s="69"/>
      <c r="K286" s="78"/>
      <c r="L286" s="69">
        <f t="shared" ref="L286:L302" si="3">N108</f>
        <v>0</v>
      </c>
    </row>
    <row r="287" spans="1:14" x14ac:dyDescent="0.2">
      <c r="A287" s="111"/>
      <c r="E287" t="s">
        <v>264</v>
      </c>
      <c r="H287" t="s">
        <v>345</v>
      </c>
      <c r="J287" s="69"/>
      <c r="K287" s="78"/>
      <c r="L287" s="69">
        <f t="shared" si="3"/>
        <v>0</v>
      </c>
    </row>
    <row r="288" spans="1:14" x14ac:dyDescent="0.2">
      <c r="A288" s="111"/>
      <c r="E288" t="s">
        <v>265</v>
      </c>
      <c r="H288" t="s">
        <v>345</v>
      </c>
      <c r="J288" s="69"/>
      <c r="K288" s="78"/>
      <c r="L288" s="69">
        <f t="shared" si="3"/>
        <v>0</v>
      </c>
    </row>
    <row r="289" spans="1:12" x14ac:dyDescent="0.2">
      <c r="A289" s="111"/>
      <c r="E289" t="s">
        <v>266</v>
      </c>
      <c r="H289" t="s">
        <v>345</v>
      </c>
      <c r="J289" s="69"/>
      <c r="K289" s="78"/>
      <c r="L289" s="69">
        <f t="shared" si="3"/>
        <v>0</v>
      </c>
    </row>
    <row r="290" spans="1:12" x14ac:dyDescent="0.2">
      <c r="A290" s="111"/>
      <c r="E290" t="s">
        <v>267</v>
      </c>
      <c r="H290" t="s">
        <v>345</v>
      </c>
      <c r="J290" s="69"/>
      <c r="K290" s="78"/>
      <c r="L290" s="69">
        <f t="shared" si="3"/>
        <v>0</v>
      </c>
    </row>
    <row r="291" spans="1:12" x14ac:dyDescent="0.2">
      <c r="A291" s="111"/>
      <c r="E291" t="s">
        <v>268</v>
      </c>
      <c r="H291" t="s">
        <v>345</v>
      </c>
      <c r="J291" s="69"/>
      <c r="K291" s="78"/>
      <c r="L291" s="69">
        <f t="shared" si="3"/>
        <v>0</v>
      </c>
    </row>
    <row r="292" spans="1:12" x14ac:dyDescent="0.2">
      <c r="A292" s="111"/>
      <c r="E292" t="s">
        <v>269</v>
      </c>
      <c r="H292" t="s">
        <v>345</v>
      </c>
      <c r="J292" s="69"/>
      <c r="K292" s="78"/>
      <c r="L292" s="69">
        <f t="shared" si="3"/>
        <v>0</v>
      </c>
    </row>
    <row r="293" spans="1:12" x14ac:dyDescent="0.2">
      <c r="A293" s="111"/>
      <c r="E293" t="s">
        <v>119</v>
      </c>
      <c r="H293" t="s">
        <v>345</v>
      </c>
      <c r="J293" s="69"/>
      <c r="K293" s="78"/>
      <c r="L293" s="69">
        <f t="shared" si="3"/>
        <v>0</v>
      </c>
    </row>
    <row r="294" spans="1:12" x14ac:dyDescent="0.2">
      <c r="A294" s="111"/>
      <c r="E294" t="s">
        <v>380</v>
      </c>
      <c r="H294" t="s">
        <v>345</v>
      </c>
      <c r="J294" s="69"/>
      <c r="K294" s="78"/>
      <c r="L294" s="69">
        <f t="shared" si="3"/>
        <v>0</v>
      </c>
    </row>
    <row r="295" spans="1:12" x14ac:dyDescent="0.2">
      <c r="A295" s="111"/>
      <c r="E295" t="s">
        <v>237</v>
      </c>
      <c r="H295" t="s">
        <v>345</v>
      </c>
      <c r="J295" s="69"/>
      <c r="K295" s="78"/>
      <c r="L295" s="69">
        <f t="shared" si="3"/>
        <v>0</v>
      </c>
    </row>
    <row r="296" spans="1:12" x14ac:dyDescent="0.2">
      <c r="A296" s="111"/>
      <c r="E296" t="s">
        <v>238</v>
      </c>
      <c r="H296" t="s">
        <v>345</v>
      </c>
      <c r="J296" s="69"/>
      <c r="K296" s="78"/>
      <c r="L296" s="69">
        <f t="shared" si="3"/>
        <v>0</v>
      </c>
    </row>
    <row r="297" spans="1:12" x14ac:dyDescent="0.2">
      <c r="A297" s="111"/>
      <c r="E297" t="s">
        <v>271</v>
      </c>
      <c r="H297" t="s">
        <v>345</v>
      </c>
      <c r="J297" s="69"/>
      <c r="K297" s="78"/>
      <c r="L297" s="69">
        <f t="shared" si="3"/>
        <v>0</v>
      </c>
    </row>
    <row r="298" spans="1:12" x14ac:dyDescent="0.2">
      <c r="A298" s="111"/>
      <c r="E298" t="s">
        <v>273</v>
      </c>
      <c r="H298" t="s">
        <v>345</v>
      </c>
      <c r="J298" s="69"/>
      <c r="K298" s="78"/>
      <c r="L298" s="69">
        <f t="shared" si="3"/>
        <v>0</v>
      </c>
    </row>
    <row r="299" spans="1:12" x14ac:dyDescent="0.2">
      <c r="A299" s="111"/>
      <c r="E299" t="s">
        <v>274</v>
      </c>
      <c r="H299" t="s">
        <v>345</v>
      </c>
      <c r="J299" s="69"/>
      <c r="K299" s="78"/>
      <c r="L299" s="69">
        <f t="shared" si="3"/>
        <v>0</v>
      </c>
    </row>
    <row r="300" spans="1:12" x14ac:dyDescent="0.2">
      <c r="A300" s="111"/>
      <c r="E300" t="s">
        <v>272</v>
      </c>
      <c r="H300" t="s">
        <v>345</v>
      </c>
      <c r="J300" s="69"/>
      <c r="K300" s="78"/>
      <c r="L300" s="69">
        <f t="shared" si="3"/>
        <v>0</v>
      </c>
    </row>
    <row r="301" spans="1:12" x14ac:dyDescent="0.2">
      <c r="A301" s="111"/>
      <c r="E301" t="s">
        <v>257</v>
      </c>
      <c r="H301" t="s">
        <v>345</v>
      </c>
      <c r="J301" s="69"/>
      <c r="K301" s="78"/>
      <c r="L301" s="69">
        <f t="shared" si="3"/>
        <v>0</v>
      </c>
    </row>
    <row r="302" spans="1:12" x14ac:dyDescent="0.2">
      <c r="A302" s="111"/>
      <c r="E302" t="s">
        <v>55</v>
      </c>
      <c r="H302" t="s">
        <v>345</v>
      </c>
      <c r="J302" s="69"/>
      <c r="K302" s="78"/>
      <c r="L302" s="69">
        <f t="shared" si="3"/>
        <v>0</v>
      </c>
    </row>
    <row r="303" spans="1:12" x14ac:dyDescent="0.2">
      <c r="A303" s="111"/>
      <c r="I303" s="5">
        <f>SUM(J250:J303)-SUM(L250:L303)</f>
        <v>0</v>
      </c>
      <c r="J303" s="69"/>
      <c r="K303" s="78"/>
      <c r="L303" s="69" t="s">
        <v>351</v>
      </c>
    </row>
    <row r="304" spans="1:12" ht="3.75" customHeight="1" x14ac:dyDescent="0.2">
      <c r="A304" s="111"/>
      <c r="J304" s="78"/>
      <c r="K304" s="78"/>
      <c r="L304" s="78"/>
    </row>
    <row r="305" spans="1:14" ht="12.75" customHeight="1" x14ac:dyDescent="0.2">
      <c r="A305" s="111" t="s">
        <v>286</v>
      </c>
      <c r="E305" t="s">
        <v>238</v>
      </c>
      <c r="F305" s="11"/>
      <c r="G305" s="11"/>
      <c r="J305" s="69">
        <f>L132</f>
        <v>0</v>
      </c>
      <c r="K305" s="78"/>
      <c r="L305" s="69"/>
    </row>
    <row r="306" spans="1:14" ht="12.75" customHeight="1" x14ac:dyDescent="0.2">
      <c r="A306" s="111"/>
      <c r="F306" t="s">
        <v>670</v>
      </c>
      <c r="I306" s="5">
        <f>SUM(J305:J306)-SUM(L305:L306)</f>
        <v>0</v>
      </c>
      <c r="J306" s="69"/>
      <c r="K306" s="78"/>
      <c r="L306" s="69">
        <f>L132</f>
        <v>0</v>
      </c>
    </row>
    <row r="307" spans="1:14" ht="4.5" customHeight="1" x14ac:dyDescent="0.2">
      <c r="A307" s="111"/>
      <c r="J307" s="78"/>
      <c r="K307" s="78"/>
      <c r="L307" s="78"/>
    </row>
    <row r="308" spans="1:14" x14ac:dyDescent="0.2">
      <c r="A308" s="111" t="s">
        <v>287</v>
      </c>
      <c r="D308" t="s">
        <v>392</v>
      </c>
      <c r="J308" s="69">
        <f>N139</f>
        <v>425730</v>
      </c>
      <c r="K308" s="78"/>
      <c r="L308" s="69"/>
    </row>
    <row r="309" spans="1:14" x14ac:dyDescent="0.2">
      <c r="E309" s="447" t="s">
        <v>729</v>
      </c>
      <c r="J309" s="69"/>
      <c r="K309" s="78"/>
      <c r="L309" s="69">
        <f>N154</f>
        <v>366045</v>
      </c>
    </row>
    <row r="310" spans="1:14" x14ac:dyDescent="0.2">
      <c r="E310" t="s">
        <v>110</v>
      </c>
      <c r="J310" s="69"/>
      <c r="K310" s="78"/>
      <c r="L310" s="69">
        <f>L162</f>
        <v>0</v>
      </c>
    </row>
    <row r="311" spans="1:14" x14ac:dyDescent="0.2">
      <c r="E311" t="s">
        <v>346</v>
      </c>
      <c r="F311" t="s">
        <v>405</v>
      </c>
      <c r="J311" s="69"/>
      <c r="K311" s="78"/>
      <c r="L311" s="69">
        <f>L164</f>
        <v>0</v>
      </c>
    </row>
    <row r="312" spans="1:14" x14ac:dyDescent="0.2">
      <c r="E312" s="123" t="s">
        <v>722</v>
      </c>
      <c r="J312" s="69"/>
      <c r="K312" s="78"/>
      <c r="L312" s="69">
        <f>L167</f>
        <v>0</v>
      </c>
    </row>
    <row r="313" spans="1:14" x14ac:dyDescent="0.2">
      <c r="E313" t="s">
        <v>346</v>
      </c>
      <c r="F313" t="s">
        <v>263</v>
      </c>
      <c r="J313" s="69"/>
      <c r="K313" s="78"/>
      <c r="L313" s="69">
        <f>L180</f>
        <v>0</v>
      </c>
    </row>
    <row r="314" spans="1:14" x14ac:dyDescent="0.2">
      <c r="E314" t="s">
        <v>346</v>
      </c>
      <c r="F314" t="s">
        <v>264</v>
      </c>
      <c r="J314" s="69"/>
      <c r="K314" s="78"/>
      <c r="L314" s="69">
        <f t="shared" ref="L314:L329" si="4">L181</f>
        <v>0</v>
      </c>
    </row>
    <row r="315" spans="1:14" x14ac:dyDescent="0.2">
      <c r="E315" t="s">
        <v>346</v>
      </c>
      <c r="F315" t="s">
        <v>265</v>
      </c>
      <c r="J315" s="69"/>
      <c r="K315" s="78"/>
      <c r="L315" s="69">
        <f t="shared" si="4"/>
        <v>0</v>
      </c>
    </row>
    <row r="316" spans="1:14" x14ac:dyDescent="0.2">
      <c r="E316" t="s">
        <v>346</v>
      </c>
      <c r="F316" t="s">
        <v>266</v>
      </c>
      <c r="J316" s="69"/>
      <c r="K316" s="78"/>
      <c r="L316" s="69">
        <f t="shared" si="4"/>
        <v>0</v>
      </c>
    </row>
    <row r="317" spans="1:14" x14ac:dyDescent="0.2">
      <c r="E317" t="s">
        <v>346</v>
      </c>
      <c r="F317" t="s">
        <v>267</v>
      </c>
      <c r="J317" s="69"/>
      <c r="K317" s="78"/>
      <c r="L317" s="69">
        <f t="shared" si="4"/>
        <v>0</v>
      </c>
    </row>
    <row r="318" spans="1:14" x14ac:dyDescent="0.2">
      <c r="E318" t="s">
        <v>346</v>
      </c>
      <c r="F318" t="s">
        <v>268</v>
      </c>
      <c r="J318" s="69"/>
      <c r="K318" s="78"/>
      <c r="L318" s="69">
        <f t="shared" si="4"/>
        <v>0</v>
      </c>
    </row>
    <row r="319" spans="1:14" x14ac:dyDescent="0.2">
      <c r="E319" t="s">
        <v>346</v>
      </c>
      <c r="F319" t="s">
        <v>269</v>
      </c>
      <c r="J319" s="69"/>
      <c r="K319" s="78"/>
      <c r="L319" s="69">
        <f t="shared" si="4"/>
        <v>0</v>
      </c>
    </row>
    <row r="320" spans="1:14" x14ac:dyDescent="0.2">
      <c r="E320" t="s">
        <v>346</v>
      </c>
      <c r="F320" t="s">
        <v>377</v>
      </c>
      <c r="J320" s="69"/>
      <c r="K320" s="78"/>
      <c r="L320" s="69">
        <f t="shared" si="4"/>
        <v>0</v>
      </c>
      <c r="N320" s="797" t="s">
        <v>740</v>
      </c>
    </row>
    <row r="321" spans="5:14" x14ac:dyDescent="0.2">
      <c r="E321" t="s">
        <v>346</v>
      </c>
      <c r="F321" t="s">
        <v>439</v>
      </c>
      <c r="J321" s="69"/>
      <c r="K321" s="78"/>
      <c r="L321" s="69">
        <f t="shared" si="4"/>
        <v>0</v>
      </c>
    </row>
    <row r="322" spans="5:14" x14ac:dyDescent="0.2">
      <c r="E322" t="s">
        <v>346</v>
      </c>
      <c r="F322" t="s">
        <v>237</v>
      </c>
      <c r="J322" s="69"/>
      <c r="K322" s="78"/>
      <c r="L322" s="69">
        <f t="shared" si="4"/>
        <v>0</v>
      </c>
    </row>
    <row r="323" spans="5:14" x14ac:dyDescent="0.2">
      <c r="E323" t="s">
        <v>346</v>
      </c>
      <c r="F323" t="s">
        <v>238</v>
      </c>
      <c r="J323" s="69"/>
      <c r="K323" s="78"/>
      <c r="L323" s="69">
        <f t="shared" si="4"/>
        <v>0</v>
      </c>
    </row>
    <row r="324" spans="5:14" x14ac:dyDescent="0.2">
      <c r="E324" t="s">
        <v>346</v>
      </c>
      <c r="F324" t="s">
        <v>271</v>
      </c>
      <c r="J324" s="69"/>
      <c r="K324" s="78"/>
      <c r="L324" s="69">
        <f t="shared" si="4"/>
        <v>0</v>
      </c>
    </row>
    <row r="325" spans="5:14" x14ac:dyDescent="0.2">
      <c r="E325" t="s">
        <v>346</v>
      </c>
      <c r="F325" t="s">
        <v>273</v>
      </c>
      <c r="J325" s="69"/>
      <c r="K325" s="78"/>
      <c r="L325" s="69">
        <f t="shared" si="4"/>
        <v>0</v>
      </c>
    </row>
    <row r="326" spans="5:14" x14ac:dyDescent="0.2">
      <c r="E326" t="s">
        <v>346</v>
      </c>
      <c r="F326" t="s">
        <v>274</v>
      </c>
      <c r="J326" s="69"/>
      <c r="K326" s="78"/>
      <c r="L326" s="69">
        <f t="shared" si="4"/>
        <v>0</v>
      </c>
    </row>
    <row r="327" spans="5:14" x14ac:dyDescent="0.2">
      <c r="E327" t="s">
        <v>346</v>
      </c>
      <c r="F327" t="s">
        <v>272</v>
      </c>
      <c r="J327" s="69"/>
      <c r="K327" s="78"/>
      <c r="L327" s="69">
        <f t="shared" si="4"/>
        <v>0</v>
      </c>
    </row>
    <row r="328" spans="5:14" x14ac:dyDescent="0.2">
      <c r="E328" t="s">
        <v>346</v>
      </c>
      <c r="F328" t="s">
        <v>257</v>
      </c>
      <c r="J328" s="69"/>
      <c r="K328" s="78"/>
      <c r="L328" s="69">
        <f t="shared" si="4"/>
        <v>0</v>
      </c>
      <c r="N328" s="157"/>
    </row>
    <row r="329" spans="5:14" x14ac:dyDescent="0.2">
      <c r="E329" t="s">
        <v>346</v>
      </c>
      <c r="F329" t="s">
        <v>55</v>
      </c>
      <c r="J329" s="69"/>
      <c r="K329" s="78"/>
      <c r="L329" s="69">
        <f t="shared" si="4"/>
        <v>0</v>
      </c>
    </row>
    <row r="330" spans="5:14" s="746" customFormat="1" x14ac:dyDescent="0.2">
      <c r="E330" s="746" t="s">
        <v>1644</v>
      </c>
      <c r="J330" s="748"/>
      <c r="K330" s="78"/>
      <c r="L330" s="748">
        <f>L169</f>
        <v>0</v>
      </c>
    </row>
    <row r="331" spans="5:14" x14ac:dyDescent="0.2">
      <c r="E331" t="s">
        <v>19</v>
      </c>
      <c r="I331" s="5"/>
      <c r="J331" s="69"/>
      <c r="K331" s="78"/>
      <c r="L331" s="69">
        <f>N202</f>
        <v>59685</v>
      </c>
    </row>
    <row r="332" spans="5:14" ht="13.5" thickBot="1" x14ac:dyDescent="0.25">
      <c r="J332" s="62">
        <f>SUM(J210:J331)</f>
        <v>487202</v>
      </c>
      <c r="K332" s="250"/>
      <c r="L332" s="62">
        <f>SUM(L210:L331)</f>
        <v>487202</v>
      </c>
    </row>
    <row r="333" spans="5:14" ht="13.5" thickTop="1" x14ac:dyDescent="0.2">
      <c r="J333" s="36"/>
      <c r="K333" s="36"/>
      <c r="L333" s="36"/>
    </row>
    <row r="334" spans="5:14" x14ac:dyDescent="0.2">
      <c r="J334" s="36"/>
      <c r="K334" s="36"/>
      <c r="L334" s="36"/>
    </row>
    <row r="335" spans="5:14" x14ac:dyDescent="0.2">
      <c r="J335" s="36"/>
      <c r="K335" s="36"/>
      <c r="L335" s="36"/>
    </row>
    <row r="336" spans="5:14" x14ac:dyDescent="0.2">
      <c r="J336" s="36"/>
      <c r="K336" s="36"/>
      <c r="L336" s="36"/>
    </row>
  </sheetData>
  <sheetProtection algorithmName="SHA-512" hashValue="VKtscvtwW5Zn5OVG+GooVkrYnJEQmDtDQbwrgXEcvUZnCroyKVzf4b8rCBsJzQz5RSkAC+EmmCxy45+/Hv4MNg==" saltValue="b1tSZo4I+8HvAg/MSk634A==" spinCount="100000" sheet="1" objects="1" scenarios="1"/>
  <mergeCells count="48">
    <mergeCell ref="C21:N25"/>
    <mergeCell ref="C57:L58"/>
    <mergeCell ref="C34:L35"/>
    <mergeCell ref="C41:L42"/>
    <mergeCell ref="B31:N31"/>
    <mergeCell ref="B38:N38"/>
    <mergeCell ref="N41:N42"/>
    <mergeCell ref="C50:L50"/>
    <mergeCell ref="C27:N29"/>
    <mergeCell ref="N57:N58"/>
    <mergeCell ref="N34:N35"/>
    <mergeCell ref="N44:N45"/>
    <mergeCell ref="B48:N48"/>
    <mergeCell ref="C44:L45"/>
    <mergeCell ref="C53:L54"/>
    <mergeCell ref="N53:N54"/>
    <mergeCell ref="C6:N7"/>
    <mergeCell ref="C9:N10"/>
    <mergeCell ref="C15:N16"/>
    <mergeCell ref="C18:N19"/>
    <mergeCell ref="A2:N2"/>
    <mergeCell ref="A4:N4"/>
    <mergeCell ref="C12:N13"/>
    <mergeCell ref="C75:J75"/>
    <mergeCell ref="C77:J78"/>
    <mergeCell ref="B80:N80"/>
    <mergeCell ref="C60:L60"/>
    <mergeCell ref="B73:N73"/>
    <mergeCell ref="B64:N64"/>
    <mergeCell ref="C66:J66"/>
    <mergeCell ref="C68:J68"/>
    <mergeCell ref="A129:A130"/>
    <mergeCell ref="L132:L133"/>
    <mergeCell ref="C100:L101"/>
    <mergeCell ref="C93:J94"/>
    <mergeCell ref="B129:N130"/>
    <mergeCell ref="B103:N103"/>
    <mergeCell ref="N93:N94"/>
    <mergeCell ref="B207:N207"/>
    <mergeCell ref="C105:J106"/>
    <mergeCell ref="L106:N106"/>
    <mergeCell ref="C132:J132"/>
    <mergeCell ref="C153:J153"/>
    <mergeCell ref="C140:J141"/>
    <mergeCell ref="C145:J146"/>
    <mergeCell ref="C149:J150"/>
    <mergeCell ref="C171:J176"/>
    <mergeCell ref="B137:N137"/>
  </mergeCells>
  <phoneticPr fontId="0" type="noConversion"/>
  <printOptions horizontalCentered="1"/>
  <pageMargins left="0.5" right="0.45" top="0.65" bottom="0.59" header="0.5" footer="0.5"/>
  <pageSetup scale="61" orientation="portrait" r:id="rId1"/>
  <headerFooter alignWithMargins="0">
    <oddHeader>&amp;R&amp;"Arial,Bold"&amp;12Entry  I</oddHeader>
    <oddFooter>&amp;R&amp;P</oddFooter>
  </headerFooter>
  <rowBreaks count="4" manualBreakCount="4">
    <brk id="78" max="13" man="1"/>
    <brk id="135" max="13" man="1"/>
    <brk id="205" max="13" man="1"/>
    <brk id="248" max="13" man="1"/>
  </rowBreaks>
  <ignoredErrors>
    <ignoredError sqref="B6 B9 B12 B15 B18 B21 B27 B34 B41 B44 B50 B53 B57 B60 B66 B68 B75 B77 B83 B85 B148 B152 B157 B164 B132 B105 B144 B87 B89 B91 B93 B96 B98 B167" numberStoredAsText="1"/>
  </ignoredError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X157"/>
  <sheetViews>
    <sheetView zoomScaleNormal="100" workbookViewId="0">
      <selection activeCell="C14" sqref="C14"/>
    </sheetView>
  </sheetViews>
  <sheetFormatPr defaultRowHeight="12.75" x14ac:dyDescent="0.2"/>
  <cols>
    <col min="1" max="1" width="15.28515625" customWidth="1"/>
    <col min="2" max="2" width="55.5703125" bestFit="1" customWidth="1"/>
    <col min="3" max="3" width="29.28515625" customWidth="1"/>
    <col min="4" max="4" width="21.42578125" customWidth="1"/>
    <col min="5" max="5" width="18.28515625" customWidth="1"/>
    <col min="6" max="6" width="30.85546875" customWidth="1"/>
    <col min="7" max="7" width="18.28515625" customWidth="1"/>
    <col min="8" max="8" width="20" customWidth="1"/>
    <col min="9" max="9" width="19.7109375" customWidth="1"/>
    <col min="10" max="10" width="19.42578125" customWidth="1"/>
    <col min="11" max="11" width="59.140625" customWidth="1"/>
    <col min="12" max="12" width="18.28515625" customWidth="1"/>
    <col min="13" max="13" width="20" customWidth="1"/>
    <col min="14" max="14" width="16.7109375" customWidth="1"/>
    <col min="15" max="15" width="19.42578125" customWidth="1"/>
    <col min="16" max="16" width="50.5703125" customWidth="1"/>
    <col min="17" max="17" width="13.85546875" customWidth="1"/>
    <col min="18" max="18" width="30.85546875" customWidth="1"/>
    <col min="19" max="19" width="12.42578125" customWidth="1"/>
    <col min="20" max="20" width="18.7109375" customWidth="1"/>
    <col min="21" max="21" width="33" customWidth="1"/>
    <col min="22" max="22" width="15" bestFit="1" customWidth="1"/>
  </cols>
  <sheetData>
    <row r="2" spans="1:24" ht="15.75" x14ac:dyDescent="0.25">
      <c r="A2" s="1105" t="s">
        <v>1066</v>
      </c>
      <c r="B2" s="1106"/>
      <c r="C2" s="1107"/>
    </row>
    <row r="5" spans="1:24" ht="98.25" customHeight="1" x14ac:dyDescent="0.2">
      <c r="A5" s="1108" t="s">
        <v>1656</v>
      </c>
      <c r="B5" s="1108"/>
      <c r="C5" s="1108"/>
    </row>
    <row r="11" spans="1:24" ht="18" customHeight="1" x14ac:dyDescent="0.2">
      <c r="A11" s="832" t="s">
        <v>333</v>
      </c>
      <c r="B11" s="833" t="s">
        <v>1108</v>
      </c>
      <c r="C11" s="465"/>
    </row>
    <row r="14" spans="1:24" x14ac:dyDescent="0.2">
      <c r="B14" s="23" t="s">
        <v>1067</v>
      </c>
      <c r="C14" s="605" t="s">
        <v>1527</v>
      </c>
    </row>
    <row r="15" spans="1:24" x14ac:dyDescent="0.2">
      <c r="A15" s="526"/>
      <c r="B15" s="552" t="s">
        <v>765</v>
      </c>
      <c r="C15" s="526" t="str">
        <f>VLOOKUP(C14,'Ja. TSERS 2018 Summary'!B310:C611,2,FALSE)</f>
        <v>N/A</v>
      </c>
      <c r="D15" s="526"/>
      <c r="E15" s="848"/>
      <c r="F15" s="526"/>
      <c r="G15" s="526"/>
      <c r="H15" s="526"/>
      <c r="I15" s="526"/>
      <c r="J15" s="526"/>
      <c r="K15" s="526"/>
      <c r="L15" s="526"/>
      <c r="M15" s="526"/>
      <c r="N15" s="847">
        <f>(O29+P29+H29-M29-39000)*0.8</f>
        <v>-31200</v>
      </c>
      <c r="O15" s="526"/>
      <c r="P15" s="526"/>
      <c r="Q15" s="526"/>
      <c r="R15" s="526"/>
      <c r="S15" s="526"/>
      <c r="T15" s="526"/>
      <c r="U15" s="526"/>
      <c r="V15" s="526"/>
      <c r="W15" s="526"/>
      <c r="X15" s="526"/>
    </row>
    <row r="16" spans="1:24" x14ac:dyDescent="0.2">
      <c r="A16" s="526"/>
      <c r="B16" s="526"/>
      <c r="C16" s="526"/>
      <c r="D16" s="526"/>
      <c r="E16" s="526"/>
      <c r="F16" s="526"/>
      <c r="G16" s="526"/>
      <c r="H16" s="8"/>
      <c r="I16" s="526"/>
      <c r="J16" s="526"/>
      <c r="K16" s="526"/>
      <c r="L16" s="526"/>
      <c r="M16" s="526"/>
      <c r="N16" s="526"/>
      <c r="O16" s="526"/>
      <c r="P16" s="526"/>
      <c r="Q16" s="526"/>
      <c r="R16" s="526"/>
      <c r="S16" s="526"/>
      <c r="T16" s="526"/>
      <c r="U16" s="526"/>
      <c r="V16" s="526"/>
      <c r="W16" s="526"/>
      <c r="X16" s="526"/>
    </row>
    <row r="17" spans="1:24" s="525" customFormat="1" ht="57.75" customHeight="1" x14ac:dyDescent="0.2">
      <c r="A17" s="526"/>
      <c r="B17" s="834" t="s">
        <v>1630</v>
      </c>
      <c r="C17" s="835">
        <v>0</v>
      </c>
      <c r="D17" s="526"/>
      <c r="E17" s="526"/>
      <c r="F17" s="526"/>
      <c r="G17" s="526"/>
      <c r="H17" s="526"/>
      <c r="I17" s="526"/>
      <c r="J17" s="526"/>
      <c r="K17" s="526"/>
      <c r="L17" s="526"/>
      <c r="M17" s="526"/>
      <c r="N17" s="526"/>
      <c r="O17" s="526"/>
      <c r="P17" s="526"/>
      <c r="Q17" s="526"/>
      <c r="R17" s="526"/>
      <c r="S17" s="526"/>
      <c r="T17" s="526"/>
      <c r="U17" s="526"/>
      <c r="V17" s="526"/>
      <c r="W17" s="526"/>
      <c r="X17" s="526"/>
    </row>
    <row r="18" spans="1:24" hidden="1" x14ac:dyDescent="0.2">
      <c r="A18" s="525"/>
      <c r="B18" s="525"/>
      <c r="C18" s="525"/>
      <c r="D18" s="525"/>
      <c r="E18" s="525"/>
      <c r="F18" s="525"/>
      <c r="G18" s="525"/>
      <c r="H18" s="525"/>
      <c r="I18" s="525"/>
      <c r="J18" s="525"/>
      <c r="K18" s="525"/>
      <c r="L18" s="525"/>
      <c r="M18" s="525"/>
      <c r="N18" s="525"/>
      <c r="O18" s="525"/>
      <c r="P18" s="525"/>
      <c r="Q18" s="525"/>
      <c r="R18" s="525"/>
      <c r="S18" s="525"/>
      <c r="T18" s="525"/>
      <c r="U18" s="525"/>
      <c r="V18" s="525"/>
      <c r="W18" s="526"/>
      <c r="X18" s="526"/>
    </row>
    <row r="19" spans="1:24" hidden="1" x14ac:dyDescent="0.2">
      <c r="A19" s="525"/>
      <c r="B19" s="525">
        <v>2</v>
      </c>
      <c r="C19" s="525">
        <v>3</v>
      </c>
      <c r="D19" s="525">
        <v>4</v>
      </c>
      <c r="E19" s="525"/>
      <c r="F19" s="525">
        <v>5</v>
      </c>
      <c r="G19" s="525">
        <v>6</v>
      </c>
      <c r="H19" s="525">
        <v>7</v>
      </c>
      <c r="I19" s="525">
        <v>8</v>
      </c>
      <c r="J19" s="525">
        <v>9</v>
      </c>
      <c r="K19" s="525">
        <v>10</v>
      </c>
      <c r="L19" s="525">
        <v>11</v>
      </c>
      <c r="M19" s="525">
        <v>12</v>
      </c>
      <c r="N19" s="525">
        <v>13</v>
      </c>
      <c r="O19" s="525">
        <v>14</v>
      </c>
      <c r="P19" s="525">
        <v>15</v>
      </c>
      <c r="Q19" s="525">
        <v>16</v>
      </c>
      <c r="R19" s="525">
        <v>17</v>
      </c>
      <c r="S19" s="525">
        <v>18</v>
      </c>
      <c r="T19" s="525">
        <v>19</v>
      </c>
      <c r="U19" s="525">
        <v>20</v>
      </c>
      <c r="V19" s="525">
        <v>21</v>
      </c>
      <c r="W19" s="526"/>
      <c r="X19" s="526"/>
    </row>
    <row r="20" spans="1:24" ht="15" x14ac:dyDescent="0.25">
      <c r="A20" s="525"/>
      <c r="B20" s="525"/>
      <c r="C20" s="525"/>
      <c r="D20" s="525"/>
      <c r="E20" s="525"/>
      <c r="F20" s="52"/>
      <c r="G20" s="52"/>
      <c r="H20" s="525"/>
      <c r="I20" s="525"/>
      <c r="J20" s="462" t="s">
        <v>762</v>
      </c>
      <c r="K20" s="462"/>
      <c r="L20" s="462"/>
      <c r="M20" s="462"/>
      <c r="N20" s="525"/>
      <c r="O20" s="462" t="s">
        <v>763</v>
      </c>
      <c r="P20" s="462"/>
      <c r="Q20" s="462"/>
      <c r="R20" s="462"/>
      <c r="S20" s="525"/>
      <c r="T20" s="462" t="s">
        <v>764</v>
      </c>
      <c r="U20" s="462"/>
      <c r="V20" s="462"/>
      <c r="W20" s="526"/>
      <c r="X20" s="526"/>
    </row>
    <row r="21" spans="1:24" ht="105" x14ac:dyDescent="0.25">
      <c r="A21" s="463" t="s">
        <v>765</v>
      </c>
      <c r="B21" s="463" t="s">
        <v>766</v>
      </c>
      <c r="C21" s="463" t="s">
        <v>1112</v>
      </c>
      <c r="D21" s="463" t="s">
        <v>1113</v>
      </c>
      <c r="E21" s="463" t="s">
        <v>1134</v>
      </c>
      <c r="F21" s="463" t="s">
        <v>1135</v>
      </c>
      <c r="G21" s="463" t="s">
        <v>1114</v>
      </c>
      <c r="H21" s="463" t="s">
        <v>1115</v>
      </c>
      <c r="I21" s="463"/>
      <c r="J21" s="463" t="s">
        <v>768</v>
      </c>
      <c r="K21" s="463" t="s">
        <v>769</v>
      </c>
      <c r="L21" s="463" t="s">
        <v>770</v>
      </c>
      <c r="M21" s="463" t="s">
        <v>771</v>
      </c>
      <c r="N21" s="463"/>
      <c r="O21" s="463" t="s">
        <v>768</v>
      </c>
      <c r="P21" s="463" t="s">
        <v>769</v>
      </c>
      <c r="Q21" s="463" t="s">
        <v>770</v>
      </c>
      <c r="R21" s="463" t="s">
        <v>771</v>
      </c>
      <c r="S21" s="463"/>
      <c r="T21" s="463" t="s">
        <v>772</v>
      </c>
      <c r="U21" s="463" t="s">
        <v>773</v>
      </c>
      <c r="V21" s="463" t="s">
        <v>1136</v>
      </c>
      <c r="W21" s="526"/>
      <c r="X21" s="526"/>
    </row>
    <row r="22" spans="1:24" ht="15" x14ac:dyDescent="0.25">
      <c r="A22" s="463"/>
      <c r="B22" s="463"/>
      <c r="C22" s="463"/>
      <c r="D22" s="463"/>
      <c r="E22" s="463"/>
      <c r="F22" s="463"/>
      <c r="G22" s="463"/>
      <c r="H22" s="463"/>
      <c r="I22" s="463"/>
      <c r="J22" s="463"/>
      <c r="K22" s="463"/>
      <c r="L22" s="463"/>
      <c r="M22" s="463"/>
      <c r="N22" s="463"/>
      <c r="O22" s="463"/>
      <c r="P22" s="463"/>
      <c r="Q22" s="463"/>
      <c r="R22" s="463"/>
      <c r="S22" s="463"/>
      <c r="T22" s="463"/>
      <c r="U22" s="463"/>
      <c r="V22" s="463"/>
      <c r="W22" s="526"/>
      <c r="X22" s="526"/>
    </row>
    <row r="23" spans="1:24" ht="15" x14ac:dyDescent="0.25">
      <c r="A23" s="463" t="s">
        <v>1137</v>
      </c>
      <c r="B23" s="463"/>
      <c r="C23" s="463"/>
      <c r="D23" s="463"/>
      <c r="E23" s="463"/>
      <c r="F23" s="463"/>
      <c r="G23" s="463"/>
      <c r="H23" s="463"/>
      <c r="I23" s="463"/>
      <c r="J23" s="463"/>
      <c r="K23" s="463"/>
      <c r="L23" s="463"/>
      <c r="M23" s="463"/>
      <c r="N23" s="463"/>
      <c r="O23" s="463"/>
      <c r="P23" s="463"/>
      <c r="Q23" s="463"/>
      <c r="R23" s="463"/>
      <c r="S23" s="463"/>
      <c r="T23" s="463"/>
      <c r="U23" s="463"/>
      <c r="V23" s="463"/>
      <c r="W23" s="526"/>
      <c r="X23" s="526"/>
    </row>
    <row r="24" spans="1:24" x14ac:dyDescent="0.2">
      <c r="A24" s="23" t="str">
        <f>C15</f>
        <v>N/A</v>
      </c>
      <c r="B24" s="525" t="str">
        <f>C14</f>
        <v>NO AGENCY CHOSEN</v>
      </c>
      <c r="C24" s="557">
        <f>VLOOKUP($A$24,'Ja. TSERS 2018 Summary'!$A:$U,3,FALSE)</f>
        <v>0</v>
      </c>
      <c r="D24" s="557">
        <f>VLOOKUP($A$24,'Ja. TSERS 2018 Summary'!$A:$U,4,FALSE)</f>
        <v>0</v>
      </c>
      <c r="E24" s="553">
        <f>C24-D24</f>
        <v>0</v>
      </c>
      <c r="F24" s="662">
        <f>VLOOKUP($A$24,'Ja. TSERS 2018 Summary'!$A:$U,7,FALSE)</f>
        <v>0</v>
      </c>
      <c r="G24" s="662">
        <f>VLOOKUP($A$24,'Ja. TSERS 2018 Summary'!$A:$U,5,FALSE)</f>
        <v>0</v>
      </c>
      <c r="H24" s="662">
        <f>VLOOKUP($A$24,'Ja. TSERS 2018 Summary'!$A:$U,6,FALSE)</f>
        <v>0</v>
      </c>
      <c r="I24" s="36"/>
      <c r="J24" s="662">
        <f>VLOOKUP($A$24,'Ja. TSERS 2018 Summary'!$A:$U,9,FALSE)</f>
        <v>0</v>
      </c>
      <c r="K24" s="662">
        <f>VLOOKUP($A$24,'Ja. TSERS 2018 Summary'!$A:$U,10,FALSE)</f>
        <v>0</v>
      </c>
      <c r="L24" s="662">
        <f>VLOOKUP($A$24,'Ja. TSERS 2018 Summary'!$A:$U,11,FALSE)</f>
        <v>0</v>
      </c>
      <c r="M24" s="662">
        <f>VLOOKUP($A$24,'Ja. TSERS 2018 Summary'!$A:$U,12,FALSE)</f>
        <v>0</v>
      </c>
      <c r="N24" s="36"/>
      <c r="O24" s="662">
        <f>VLOOKUP($A$24,'Ja. TSERS 2018 Summary'!$A:$U,14,FALSE)</f>
        <v>0</v>
      </c>
      <c r="P24" s="662">
        <f>VLOOKUP($A$24,'Ja. TSERS 2018 Summary'!$A:$U,15,FALSE)</f>
        <v>0</v>
      </c>
      <c r="Q24" s="662">
        <f>VLOOKUP($A$24,'Ja. TSERS 2018 Summary'!$A:$U,16,FALSE)</f>
        <v>0</v>
      </c>
      <c r="R24" s="662">
        <f>VLOOKUP($A$24,'Ja. TSERS 2018 Summary'!$A:$U,17,FALSE)</f>
        <v>0</v>
      </c>
      <c r="S24" s="36"/>
      <c r="T24" s="662">
        <f>VLOOKUP($A$24,'Ja. TSERS 2018 Summary'!$A:$U,19,FALSE)</f>
        <v>0</v>
      </c>
      <c r="U24" s="662">
        <f>VLOOKUP($A$24,'Ja. TSERS 2018 Summary'!$A:$U,20,FALSE)</f>
        <v>0</v>
      </c>
      <c r="V24" s="662">
        <f>VLOOKUP($A$24,'Ja. TSERS 2018 Summary'!$A:$U,21,FALSE)</f>
        <v>0</v>
      </c>
      <c r="W24" s="526"/>
      <c r="X24" s="526"/>
    </row>
    <row r="25" spans="1:24" x14ac:dyDescent="0.2">
      <c r="A25" s="525"/>
      <c r="B25" s="525"/>
      <c r="C25" s="525"/>
      <c r="D25" s="525"/>
      <c r="E25" s="525"/>
      <c r="F25" s="525"/>
      <c r="G25" s="525"/>
      <c r="H25" s="525"/>
      <c r="I25" s="525"/>
      <c r="J25" s="525"/>
      <c r="K25" s="525"/>
      <c r="L25" s="525"/>
      <c r="M25" s="525"/>
      <c r="N25" s="525"/>
      <c r="O25" s="525"/>
      <c r="P25" s="525"/>
      <c r="Q25" s="525"/>
      <c r="R25" s="525"/>
      <c r="S25" s="525"/>
      <c r="T25" s="525"/>
      <c r="U25" s="525"/>
      <c r="V25" s="525"/>
      <c r="W25" s="526"/>
      <c r="X25" s="526"/>
    </row>
    <row r="26" spans="1:24" s="721" customFormat="1" x14ac:dyDescent="0.2">
      <c r="A26" s="716"/>
      <c r="B26" s="717" t="s">
        <v>1510</v>
      </c>
      <c r="F26" s="541">
        <f>'Ja. TSERS 2018 Summary'!G307</f>
        <v>1435701943</v>
      </c>
      <c r="G26" s="541">
        <f>'Ja. TSERS 2018 Summary'!E307</f>
        <v>9191032996</v>
      </c>
      <c r="H26" s="541">
        <f>'Ja. TSERS 2018 Summary'!F307</f>
        <v>7934441000</v>
      </c>
      <c r="I26" s="541"/>
      <c r="J26" s="541">
        <f>'Ja. TSERS 2018 Summary'!I307</f>
        <v>172004000</v>
      </c>
      <c r="K26" s="541">
        <f>'Ja. TSERS 2018 Summary'!J307</f>
        <v>3783077000</v>
      </c>
      <c r="L26" s="541">
        <f>'Ja. TSERS 2018 Summary'!K307</f>
        <v>1253522000</v>
      </c>
      <c r="M26" s="541">
        <f>'Ja. TSERS 2018 Summary'!L307</f>
        <v>115997289</v>
      </c>
      <c r="N26" s="541"/>
      <c r="O26" s="541">
        <f>'Ja. TSERS 2018 Summary'!N307</f>
        <v>259577000</v>
      </c>
      <c r="P26" s="541">
        <f>'Ja. TSERS 2018 Summary'!O307</f>
        <v>2709278000</v>
      </c>
      <c r="Q26" s="541">
        <f>'Ja. TSERS 2018 Summary'!P307</f>
        <v>0</v>
      </c>
      <c r="R26" s="541">
        <f>'Ja. TSERS 2018 Summary'!Q307</f>
        <v>115997085</v>
      </c>
      <c r="S26" s="541"/>
      <c r="T26" s="541">
        <f>'Ja. TSERS 2018 Summary'!S307</f>
        <v>2138252000</v>
      </c>
      <c r="U26" s="541">
        <f>'Ja. TSERS 2018 Summary'!T307</f>
        <v>143</v>
      </c>
      <c r="V26" s="541">
        <f>'Ja. TSERS 2018 Summary'!U307</f>
        <v>2138252143</v>
      </c>
      <c r="W26" s="722"/>
      <c r="X26" s="722"/>
    </row>
    <row r="27" spans="1:24" x14ac:dyDescent="0.2">
      <c r="A27" s="23"/>
      <c r="B27" s="525"/>
      <c r="C27" s="525"/>
      <c r="D27" s="525"/>
      <c r="E27" s="525"/>
      <c r="F27" s="551"/>
      <c r="G27" s="551"/>
      <c r="H27" s="551"/>
      <c r="I27" s="525"/>
      <c r="J27" s="551"/>
      <c r="K27" s="551"/>
      <c r="L27" s="551"/>
      <c r="M27" s="551"/>
      <c r="N27" s="525"/>
      <c r="O27" s="551"/>
      <c r="P27" s="551"/>
      <c r="Q27" s="551"/>
      <c r="R27" s="551"/>
      <c r="S27" s="525"/>
      <c r="T27" s="551"/>
      <c r="U27" s="551"/>
      <c r="V27" s="551"/>
      <c r="W27" s="526"/>
      <c r="X27" s="526"/>
    </row>
    <row r="28" spans="1:24" ht="15" x14ac:dyDescent="0.25">
      <c r="A28" s="554" t="s">
        <v>1139</v>
      </c>
      <c r="B28" s="525"/>
      <c r="C28" s="525"/>
      <c r="D28" s="525"/>
      <c r="E28" s="525"/>
      <c r="F28" s="551"/>
      <c r="G28" s="551"/>
      <c r="H28" s="551"/>
      <c r="I28" s="525"/>
      <c r="J28" s="551"/>
      <c r="K28" s="551"/>
      <c r="L28" s="551"/>
      <c r="M28" s="551"/>
      <c r="N28" s="525"/>
      <c r="O28" s="551"/>
      <c r="P28" s="551"/>
      <c r="Q28" s="551"/>
      <c r="R28" s="551"/>
      <c r="S28" s="525"/>
      <c r="T28" s="551"/>
      <c r="U28" s="551"/>
      <c r="V28" s="551"/>
      <c r="W28" s="526"/>
      <c r="X28" s="526"/>
    </row>
    <row r="29" spans="1:24" x14ac:dyDescent="0.2">
      <c r="A29" s="23" t="str">
        <f>C15</f>
        <v>N/A</v>
      </c>
      <c r="B29" s="525" t="str">
        <f>C14</f>
        <v>NO AGENCY CHOSEN</v>
      </c>
      <c r="C29" s="557">
        <f>VLOOKUP($A$29,'Jb. TSERS 2017 Summary'!$A:$U,3,FALSE)</f>
        <v>0</v>
      </c>
      <c r="D29" s="557">
        <f>VLOOKUP($A$29,'Jb. TSERS 2017 Summary'!$A:$U,4,FALSE)</f>
        <v>0</v>
      </c>
      <c r="E29" s="553">
        <f>C29-D29</f>
        <v>0</v>
      </c>
      <c r="F29" s="662">
        <f>VLOOKUP($A$29,'Jb. TSERS 2017 Summary'!$A:$U,5,FALSE)</f>
        <v>0</v>
      </c>
      <c r="G29" s="662">
        <f>VLOOKUP($A$29,'Jb. TSERS 2017 Summary'!$A:$U,6,FALSE)</f>
        <v>0</v>
      </c>
      <c r="H29" s="662">
        <f>VLOOKUP($A$29,'Jb. TSERS 2017 Summary'!$A:$U,7,FALSE)</f>
        <v>0</v>
      </c>
      <c r="I29" s="36"/>
      <c r="J29" s="662">
        <f>VLOOKUP($A$29,'Jb. TSERS 2017 Summary'!$A:$U,9,FALSE)</f>
        <v>0</v>
      </c>
      <c r="K29" s="662">
        <f>VLOOKUP($A$29,'Jb. TSERS 2017 Summary'!$A:$U,10,FALSE)</f>
        <v>0</v>
      </c>
      <c r="L29" s="662">
        <f>VLOOKUP($A$29,'Jb. TSERS 2017 Summary'!$A:$U,11,FALSE)</f>
        <v>0</v>
      </c>
      <c r="M29" s="662">
        <f>VLOOKUP($A$29,'Jb. TSERS 2017 Summary'!$A:$U,12,FALSE)</f>
        <v>0</v>
      </c>
      <c r="N29" s="36"/>
      <c r="O29" s="662">
        <f>VLOOKUP($A$29,'Jb. TSERS 2017 Summary'!$A:$U,14,FALSE)</f>
        <v>0</v>
      </c>
      <c r="P29" s="662">
        <f>VLOOKUP($A$29,'Jb. TSERS 2017 Summary'!$A:$U,15,FALSE)</f>
        <v>0</v>
      </c>
      <c r="Q29" s="662">
        <f>VLOOKUP($A$29,'Jb. TSERS 2017 Summary'!$A:$U,16,FALSE)</f>
        <v>0</v>
      </c>
      <c r="R29" s="662">
        <f>VLOOKUP($A$29,'Jb. TSERS 2017 Summary'!$A:$U,17,FALSE)</f>
        <v>0</v>
      </c>
      <c r="S29" s="36"/>
      <c r="T29" s="662">
        <f>VLOOKUP($A$29,'Jb. TSERS 2017 Summary'!$A:$U,19,FALSE)</f>
        <v>0</v>
      </c>
      <c r="U29" s="662">
        <f>VLOOKUP($A$29,'Jb. TSERS 2017 Summary'!$A:$U,20,FALSE)</f>
        <v>0</v>
      </c>
      <c r="V29" s="662">
        <f>VLOOKUP($A$29,'Jb. TSERS 2017 Summary'!$A:$U,21,FALSE)</f>
        <v>0</v>
      </c>
      <c r="W29" s="526"/>
      <c r="X29" s="526"/>
    </row>
    <row r="30" spans="1:24" x14ac:dyDescent="0.2">
      <c r="A30" s="23"/>
      <c r="B30" s="525"/>
      <c r="C30" s="525"/>
      <c r="D30" s="525"/>
      <c r="E30" s="525"/>
      <c r="F30" s="551"/>
      <c r="G30" s="551"/>
      <c r="H30" s="551"/>
      <c r="I30" s="525"/>
      <c r="J30" s="551"/>
      <c r="K30" s="551"/>
      <c r="L30" s="551"/>
      <c r="M30" s="551"/>
      <c r="N30" s="525"/>
      <c r="O30" s="551"/>
      <c r="P30" s="551"/>
      <c r="Q30" s="551"/>
      <c r="R30" s="551"/>
      <c r="S30" s="525"/>
      <c r="T30" s="551"/>
      <c r="U30" s="551"/>
      <c r="V30" s="551"/>
      <c r="W30" s="526"/>
      <c r="X30" s="526"/>
    </row>
    <row r="31" spans="1:24" s="721" customFormat="1" x14ac:dyDescent="0.2">
      <c r="A31" s="716"/>
      <c r="B31" s="717" t="s">
        <v>1154</v>
      </c>
      <c r="F31" s="541">
        <f>'Jb. TSERS 2017 Summary'!E303</f>
        <v>1272194394</v>
      </c>
      <c r="G31" s="541">
        <f>'Jb. TSERS 2017 Summary'!F303</f>
        <v>3685197999</v>
      </c>
      <c r="H31" s="541">
        <f>'Jb. TSERS 2017 Summary'!G303</f>
        <v>9191032996</v>
      </c>
      <c r="I31" s="541"/>
      <c r="J31" s="541">
        <f>'Jb. TSERS 2017 Summary'!I303</f>
        <v>0</v>
      </c>
      <c r="K31" s="541">
        <f>'Jb. TSERS 2017 Summary'!J303</f>
        <v>5258406993</v>
      </c>
      <c r="L31" s="541">
        <f>'Jb. TSERS 2017 Summary'!K303</f>
        <v>1355454004</v>
      </c>
      <c r="M31" s="541">
        <f>'Jb. TSERS 2017 Summary'!L303</f>
        <v>105861789</v>
      </c>
      <c r="N31" s="541"/>
      <c r="O31" s="541">
        <f>'Jb. TSERS 2017 Summary'!N303</f>
        <v>434381001</v>
      </c>
      <c r="P31" s="541">
        <f>'Jb. TSERS 2017 Summary'!O303</f>
        <v>1980589997</v>
      </c>
      <c r="Q31" s="541">
        <f>'Jb. TSERS 2017 Summary'!P303</f>
        <v>0</v>
      </c>
      <c r="R31" s="541">
        <f>'Jb. TSERS 2017 Summary'!Q303</f>
        <v>105861382</v>
      </c>
      <c r="S31" s="541"/>
      <c r="T31" s="541">
        <f>'Jb. TSERS 2017 Summary'!S303</f>
        <v>1760872005</v>
      </c>
      <c r="U31" s="541">
        <f>'Jb. TSERS 2017 Summary'!T303</f>
        <v>156</v>
      </c>
      <c r="V31" s="541">
        <f>'Jb. TSERS 2017 Summary'!U303</f>
        <v>1760872160</v>
      </c>
      <c r="W31" s="722"/>
      <c r="X31" s="722"/>
    </row>
    <row r="32" spans="1:24" x14ac:dyDescent="0.2">
      <c r="A32" s="23"/>
      <c r="B32" s="525"/>
      <c r="C32" s="525"/>
      <c r="D32" s="525"/>
      <c r="E32" s="525"/>
      <c r="F32" s="551"/>
      <c r="G32" s="551"/>
      <c r="H32" s="551"/>
      <c r="I32" s="525"/>
      <c r="J32" s="551"/>
      <c r="K32" s="551"/>
      <c r="L32" s="551"/>
      <c r="M32" s="551"/>
      <c r="N32" s="525"/>
      <c r="O32" s="551"/>
      <c r="P32" s="551"/>
      <c r="Q32" s="551"/>
      <c r="R32" s="551"/>
      <c r="S32" s="525"/>
      <c r="T32" s="551"/>
      <c r="U32" s="551"/>
      <c r="V32" s="551"/>
      <c r="W32" s="526"/>
      <c r="X32" s="526"/>
    </row>
    <row r="33" spans="1:24" x14ac:dyDescent="0.2">
      <c r="A33" s="23"/>
      <c r="B33" s="525"/>
      <c r="C33" s="525"/>
      <c r="D33" s="525"/>
      <c r="E33" s="525"/>
      <c r="F33" s="551"/>
      <c r="G33" s="551"/>
      <c r="H33" s="551"/>
      <c r="I33" s="525"/>
      <c r="J33" s="82"/>
      <c r="K33" s="8">
        <f>K29-P29</f>
        <v>0</v>
      </c>
      <c r="L33" s="551"/>
      <c r="M33" s="551"/>
      <c r="N33" s="525"/>
      <c r="O33" s="551"/>
      <c r="P33" s="551"/>
      <c r="Q33" s="551"/>
      <c r="R33" s="551"/>
      <c r="S33" s="525"/>
      <c r="T33" s="551"/>
      <c r="U33" s="551"/>
      <c r="V33" s="551"/>
      <c r="W33" s="526"/>
      <c r="X33" s="526"/>
    </row>
    <row r="34" spans="1:24" ht="15" hidden="1" x14ac:dyDescent="0.25">
      <c r="A34" s="552"/>
      <c r="B34" s="598"/>
      <c r="C34" s="562"/>
      <c r="D34" s="562"/>
      <c r="E34" s="562"/>
      <c r="F34" s="594"/>
      <c r="G34" s="594"/>
      <c r="H34" s="594"/>
      <c r="I34" s="562"/>
      <c r="J34" s="594"/>
      <c r="K34" s="594"/>
      <c r="L34" s="594"/>
      <c r="M34" s="594"/>
      <c r="N34" s="562"/>
      <c r="O34" s="594"/>
      <c r="P34" s="551"/>
      <c r="Q34" s="551"/>
      <c r="R34" s="551"/>
      <c r="S34" s="525"/>
      <c r="T34" s="551"/>
      <c r="U34" s="551"/>
      <c r="V34" s="551"/>
      <c r="W34" s="526"/>
      <c r="X34" s="526"/>
    </row>
    <row r="35" spans="1:24" hidden="1" x14ac:dyDescent="0.2">
      <c r="A35" s="552"/>
      <c r="B35" s="562" t="s">
        <v>1176</v>
      </c>
      <c r="C35" s="562"/>
      <c r="D35" s="8">
        <f>G24</f>
        <v>0</v>
      </c>
      <c r="E35" s="599"/>
      <c r="F35" s="594"/>
      <c r="G35" s="594"/>
      <c r="H35" s="594"/>
      <c r="I35" s="562"/>
      <c r="J35" s="594"/>
      <c r="K35" s="594"/>
      <c r="L35" s="594"/>
      <c r="M35" s="594"/>
      <c r="N35" s="562"/>
      <c r="O35" s="594"/>
      <c r="P35" s="551"/>
      <c r="Q35" s="551"/>
      <c r="R35" s="551"/>
      <c r="S35" s="525"/>
      <c r="T35" s="551"/>
      <c r="U35" s="551"/>
      <c r="V35" s="551"/>
      <c r="W35" s="526"/>
      <c r="X35" s="526"/>
    </row>
    <row r="36" spans="1:24" ht="15" hidden="1" x14ac:dyDescent="0.25">
      <c r="A36" s="552"/>
      <c r="B36" s="562" t="s">
        <v>1177</v>
      </c>
      <c r="C36" s="562"/>
      <c r="D36" s="8"/>
      <c r="E36" s="599">
        <f>H24</f>
        <v>0</v>
      </c>
      <c r="F36" s="463"/>
      <c r="G36" s="594"/>
      <c r="H36" s="562"/>
      <c r="I36" s="594"/>
      <c r="J36" s="594"/>
      <c r="K36" s="594"/>
      <c r="L36" s="594"/>
      <c r="M36" s="562"/>
      <c r="N36" s="594"/>
      <c r="O36" s="562"/>
      <c r="P36" s="551"/>
      <c r="Q36" s="551"/>
      <c r="R36" s="551"/>
      <c r="S36" s="525"/>
      <c r="T36" s="551"/>
      <c r="U36" s="551"/>
      <c r="V36" s="551"/>
      <c r="W36" s="526"/>
      <c r="X36" s="526"/>
    </row>
    <row r="37" spans="1:24" hidden="1" x14ac:dyDescent="0.2">
      <c r="A37" s="552"/>
      <c r="B37" s="562" t="s">
        <v>1156</v>
      </c>
      <c r="C37" s="562"/>
      <c r="D37" s="8">
        <f>V24</f>
        <v>0</v>
      </c>
      <c r="E37" s="599"/>
      <c r="F37" s="594"/>
      <c r="G37" s="594"/>
      <c r="H37" s="562"/>
      <c r="I37" s="594"/>
      <c r="J37" s="594"/>
      <c r="K37" s="594"/>
      <c r="L37" s="594"/>
      <c r="M37" s="562"/>
      <c r="N37" s="594"/>
      <c r="O37" s="562"/>
      <c r="P37" s="551"/>
      <c r="Q37" s="551"/>
      <c r="R37" s="551"/>
      <c r="S37" s="525"/>
      <c r="T37" s="551"/>
      <c r="U37" s="551"/>
      <c r="V37" s="551"/>
      <c r="W37" s="526"/>
      <c r="X37" s="526"/>
    </row>
    <row r="38" spans="1:24" hidden="1" x14ac:dyDescent="0.2">
      <c r="A38" s="552"/>
      <c r="B38" s="562" t="s">
        <v>1157</v>
      </c>
      <c r="C38" s="562"/>
      <c r="D38" s="8"/>
      <c r="E38" s="599">
        <f>J29</f>
        <v>0</v>
      </c>
      <c r="F38" s="594"/>
      <c r="G38" s="594"/>
      <c r="H38" s="562"/>
      <c r="I38" s="594"/>
      <c r="J38" s="594"/>
      <c r="K38" s="594"/>
      <c r="L38" s="594"/>
      <c r="M38" s="562"/>
      <c r="N38" s="594"/>
      <c r="O38" s="562"/>
      <c r="P38" s="551"/>
      <c r="Q38" s="551"/>
      <c r="R38" s="551"/>
      <c r="S38" s="525"/>
      <c r="T38" s="551"/>
      <c r="U38" s="551"/>
      <c r="V38" s="551"/>
      <c r="W38" s="526"/>
      <c r="X38" s="526"/>
    </row>
    <row r="39" spans="1:24" hidden="1" x14ac:dyDescent="0.2">
      <c r="A39" s="552"/>
      <c r="B39" s="562" t="s">
        <v>1158</v>
      </c>
      <c r="C39" s="562"/>
      <c r="D39" s="8"/>
      <c r="E39" s="599">
        <f>IF(K29-P29&gt;0,K29-P29,0)</f>
        <v>0</v>
      </c>
      <c r="F39" s="594"/>
      <c r="G39" s="594"/>
      <c r="H39" s="562"/>
      <c r="I39" s="594"/>
      <c r="J39" s="594"/>
      <c r="K39" s="594"/>
      <c r="L39" s="594"/>
      <c r="M39" s="562"/>
      <c r="N39" s="594"/>
      <c r="O39" s="562"/>
      <c r="P39" s="551"/>
      <c r="Q39" s="551"/>
      <c r="R39" s="551"/>
      <c r="S39" s="525"/>
      <c r="T39" s="551"/>
      <c r="U39" s="551"/>
      <c r="V39" s="551"/>
      <c r="W39" s="526"/>
      <c r="X39" s="526"/>
    </row>
    <row r="40" spans="1:24" hidden="1" x14ac:dyDescent="0.2">
      <c r="A40" s="552"/>
      <c r="B40" s="562" t="s">
        <v>1159</v>
      </c>
      <c r="C40" s="562"/>
      <c r="D40" s="8"/>
      <c r="E40" s="599">
        <f>L29</f>
        <v>0</v>
      </c>
      <c r="F40" s="101"/>
      <c r="G40" s="101"/>
      <c r="H40" s="101"/>
      <c r="I40" s="101"/>
      <c r="J40" s="101"/>
      <c r="K40" s="101"/>
      <c r="L40" s="101"/>
      <c r="M40" s="101"/>
      <c r="N40" s="101"/>
      <c r="O40" s="562"/>
      <c r="P40" s="551"/>
      <c r="Q40" s="551"/>
      <c r="R40" s="551"/>
      <c r="S40" s="525"/>
      <c r="T40" s="551"/>
      <c r="U40" s="551"/>
      <c r="V40" s="551"/>
      <c r="W40" s="526"/>
      <c r="X40" s="526"/>
    </row>
    <row r="41" spans="1:24" hidden="1" x14ac:dyDescent="0.2">
      <c r="A41" s="552"/>
      <c r="B41" s="82" t="s">
        <v>1160</v>
      </c>
      <c r="C41" s="562"/>
      <c r="D41" s="8"/>
      <c r="E41" s="599">
        <f>M29</f>
        <v>0</v>
      </c>
      <c r="F41" s="101"/>
      <c r="G41" s="101"/>
      <c r="H41" s="101"/>
      <c r="I41" s="101"/>
      <c r="J41" s="101"/>
      <c r="K41" s="101"/>
      <c r="L41" s="101"/>
      <c r="M41" s="101"/>
      <c r="N41" s="101"/>
      <c r="O41" s="562"/>
      <c r="P41" s="551"/>
      <c r="Q41" s="551"/>
      <c r="R41" s="551"/>
      <c r="S41" s="525"/>
      <c r="T41" s="551"/>
      <c r="U41" s="551"/>
      <c r="V41" s="551"/>
      <c r="W41" s="526"/>
      <c r="X41" s="526"/>
    </row>
    <row r="42" spans="1:24" hidden="1" x14ac:dyDescent="0.2">
      <c r="A42" s="552"/>
      <c r="B42" s="82" t="s">
        <v>1161</v>
      </c>
      <c r="C42" s="562"/>
      <c r="D42" s="8">
        <f>O29</f>
        <v>0</v>
      </c>
      <c r="E42" s="364"/>
      <c r="F42" s="563"/>
      <c r="G42" s="563"/>
      <c r="H42" s="563"/>
      <c r="I42" s="562"/>
      <c r="J42" s="555"/>
      <c r="K42" s="562"/>
      <c r="L42" s="562"/>
      <c r="M42" s="562"/>
      <c r="N42" s="562"/>
      <c r="O42" s="562"/>
      <c r="P42" s="551"/>
      <c r="Q42" s="551"/>
      <c r="R42" s="551"/>
      <c r="S42" s="525"/>
      <c r="T42" s="551"/>
      <c r="U42" s="551"/>
      <c r="V42" s="551"/>
      <c r="W42" s="526"/>
      <c r="X42" s="526"/>
    </row>
    <row r="43" spans="1:24" hidden="1" x14ac:dyDescent="0.2">
      <c r="A43" s="552"/>
      <c r="B43" s="562" t="s">
        <v>1162</v>
      </c>
      <c r="C43" s="562"/>
      <c r="D43" s="8">
        <f>IF(P29-K29&gt;0,P29-K29,0)</f>
        <v>0</v>
      </c>
      <c r="E43" s="599"/>
      <c r="F43" s="563"/>
      <c r="G43" s="563"/>
      <c r="H43" s="563"/>
      <c r="I43" s="562"/>
      <c r="J43" s="555"/>
      <c r="K43" s="562"/>
      <c r="L43" s="562"/>
      <c r="M43" s="562"/>
      <c r="N43" s="562"/>
      <c r="O43" s="562"/>
      <c r="P43" s="551"/>
      <c r="Q43" s="551"/>
      <c r="R43" s="551"/>
      <c r="S43" s="525"/>
      <c r="T43" s="551"/>
      <c r="U43" s="551"/>
      <c r="V43" s="551"/>
      <c r="W43" s="526"/>
      <c r="X43" s="526"/>
    </row>
    <row r="44" spans="1:24" ht="15" hidden="1" x14ac:dyDescent="0.25">
      <c r="A44" s="552"/>
      <c r="B44" s="602" t="s">
        <v>1163</v>
      </c>
      <c r="C44" s="600"/>
      <c r="D44" s="603">
        <f>Q29</f>
        <v>0</v>
      </c>
      <c r="E44" s="603"/>
      <c r="F44" s="601"/>
      <c r="G44" s="601"/>
      <c r="H44" s="601"/>
      <c r="I44" s="601"/>
      <c r="J44" s="601"/>
      <c r="K44" s="601"/>
      <c r="L44" s="601"/>
      <c r="M44" s="601"/>
      <c r="N44" s="601"/>
      <c r="O44" s="562"/>
      <c r="P44" s="551"/>
      <c r="Q44" s="551"/>
      <c r="R44" s="551"/>
      <c r="S44" s="525"/>
      <c r="T44" s="551"/>
      <c r="U44" s="551"/>
      <c r="V44" s="551"/>
      <c r="W44" s="526"/>
      <c r="X44" s="526"/>
    </row>
    <row r="45" spans="1:24" hidden="1" x14ac:dyDescent="0.2">
      <c r="A45" s="552"/>
      <c r="B45" s="602" t="s">
        <v>1164</v>
      </c>
      <c r="C45" s="600"/>
      <c r="D45" s="603">
        <f>R29</f>
        <v>0</v>
      </c>
      <c r="E45" s="603"/>
      <c r="F45" s="595"/>
      <c r="G45" s="595"/>
      <c r="H45" s="595"/>
      <c r="I45" s="562"/>
      <c r="J45" s="562"/>
      <c r="K45" s="562"/>
      <c r="L45" s="562"/>
      <c r="M45" s="562"/>
      <c r="N45" s="562"/>
      <c r="O45" s="562"/>
      <c r="P45" s="551"/>
      <c r="Q45" s="551"/>
      <c r="R45" s="551"/>
      <c r="S45" s="525"/>
      <c r="T45" s="551"/>
      <c r="U45" s="551"/>
      <c r="V45" s="551"/>
      <c r="W45" s="526"/>
      <c r="X45" s="526"/>
    </row>
    <row r="46" spans="1:24" hidden="1" x14ac:dyDescent="0.2">
      <c r="A46" s="552"/>
      <c r="B46" s="562" t="s">
        <v>1165</v>
      </c>
      <c r="C46" s="600"/>
      <c r="D46" s="603">
        <f>J24</f>
        <v>0</v>
      </c>
      <c r="E46" s="603"/>
      <c r="F46" s="562"/>
      <c r="G46" s="562"/>
      <c r="H46" s="562"/>
      <c r="I46" s="562"/>
      <c r="J46" s="562"/>
      <c r="K46" s="562"/>
      <c r="L46" s="562"/>
      <c r="M46" s="562"/>
      <c r="N46" s="562"/>
      <c r="O46" s="562"/>
      <c r="P46" s="551"/>
      <c r="Q46" s="551"/>
      <c r="R46" s="551"/>
      <c r="S46" s="525"/>
      <c r="T46" s="551"/>
      <c r="U46" s="551"/>
      <c r="V46" s="551"/>
      <c r="W46" s="526"/>
      <c r="X46" s="526"/>
    </row>
    <row r="47" spans="1:24" hidden="1" x14ac:dyDescent="0.2">
      <c r="A47" s="552"/>
      <c r="B47" s="562" t="s">
        <v>1166</v>
      </c>
      <c r="C47" s="600"/>
      <c r="D47" s="603">
        <f>IF(K24-P24&gt;0,K24-P24,0)</f>
        <v>0</v>
      </c>
      <c r="E47" s="603"/>
      <c r="F47" s="596"/>
      <c r="G47" s="596"/>
      <c r="H47" s="596"/>
      <c r="I47" s="562"/>
      <c r="J47" s="562"/>
      <c r="K47" s="562"/>
      <c r="L47" s="562"/>
      <c r="M47" s="562"/>
      <c r="N47" s="562"/>
      <c r="O47" s="562"/>
      <c r="P47" s="551"/>
      <c r="Q47" s="551"/>
      <c r="R47" s="551"/>
      <c r="S47" s="525"/>
      <c r="T47" s="551"/>
      <c r="U47" s="551"/>
      <c r="V47" s="551"/>
      <c r="W47" s="526"/>
      <c r="X47" s="526"/>
    </row>
    <row r="48" spans="1:24" hidden="1" x14ac:dyDescent="0.2">
      <c r="A48" s="552"/>
      <c r="B48" s="562" t="s">
        <v>1167</v>
      </c>
      <c r="C48" s="600"/>
      <c r="D48" s="603">
        <f>L24</f>
        <v>0</v>
      </c>
      <c r="E48" s="364"/>
      <c r="F48" s="562"/>
      <c r="G48" s="562"/>
      <c r="H48" s="562"/>
      <c r="I48" s="562"/>
      <c r="J48" s="562"/>
      <c r="K48" s="562"/>
      <c r="L48" s="562"/>
      <c r="M48" s="562"/>
      <c r="N48" s="562"/>
      <c r="O48" s="562"/>
      <c r="P48" s="551"/>
      <c r="Q48" s="551"/>
      <c r="R48" s="551"/>
      <c r="S48" s="525"/>
      <c r="T48" s="551"/>
      <c r="U48" s="551"/>
      <c r="V48" s="551"/>
      <c r="W48" s="526"/>
      <c r="X48" s="526"/>
    </row>
    <row r="49" spans="1:24" ht="15" hidden="1" x14ac:dyDescent="0.25">
      <c r="A49" s="552"/>
      <c r="B49" s="82" t="s">
        <v>1168</v>
      </c>
      <c r="C49" s="600"/>
      <c r="D49" s="603">
        <f>M24</f>
        <v>0</v>
      </c>
      <c r="E49" s="364"/>
      <c r="F49" s="597"/>
      <c r="G49" s="597"/>
      <c r="H49" s="597"/>
      <c r="I49" s="598"/>
      <c r="J49" s="598"/>
      <c r="K49" s="598"/>
      <c r="L49" s="598"/>
      <c r="M49" s="598"/>
      <c r="N49" s="598"/>
      <c r="O49" s="562"/>
      <c r="P49" s="551"/>
      <c r="Q49" s="551"/>
      <c r="R49" s="551"/>
      <c r="S49" s="525"/>
      <c r="T49" s="551"/>
      <c r="U49" s="551"/>
      <c r="V49" s="551"/>
      <c r="W49" s="526"/>
      <c r="X49" s="526"/>
    </row>
    <row r="50" spans="1:24" hidden="1" x14ac:dyDescent="0.2">
      <c r="A50" s="552"/>
      <c r="B50" s="82" t="s">
        <v>1169</v>
      </c>
      <c r="C50" s="600"/>
      <c r="D50" s="603"/>
      <c r="E50" s="364">
        <f>O24</f>
        <v>0</v>
      </c>
      <c r="F50" s="562"/>
      <c r="G50" s="562"/>
      <c r="H50" s="562"/>
      <c r="I50" s="562"/>
      <c r="J50" s="562"/>
      <c r="K50" s="562"/>
      <c r="L50" s="562"/>
      <c r="M50" s="562"/>
      <c r="N50" s="562"/>
      <c r="O50" s="562"/>
      <c r="P50" s="551"/>
      <c r="Q50" s="551"/>
      <c r="R50" s="551"/>
      <c r="S50" s="525"/>
      <c r="T50" s="551"/>
      <c r="U50" s="551"/>
      <c r="V50" s="551"/>
      <c r="W50" s="526"/>
      <c r="X50" s="526"/>
    </row>
    <row r="51" spans="1:24" hidden="1" x14ac:dyDescent="0.2">
      <c r="A51" s="552"/>
      <c r="B51" s="562" t="s">
        <v>1170</v>
      </c>
      <c r="C51" s="562"/>
      <c r="D51" s="8"/>
      <c r="E51" s="599">
        <f>IF(P24-K24&gt;0,P24-K24,0)</f>
        <v>0</v>
      </c>
      <c r="F51" s="562"/>
      <c r="G51" s="562"/>
      <c r="H51" s="562"/>
      <c r="I51" s="562"/>
      <c r="J51" s="562"/>
      <c r="K51" s="562"/>
      <c r="L51" s="596"/>
      <c r="M51" s="562"/>
      <c r="N51" s="562"/>
      <c r="O51" s="562"/>
      <c r="P51" s="551"/>
      <c r="Q51" s="551"/>
      <c r="R51" s="551"/>
      <c r="S51" s="525"/>
      <c r="T51" s="551"/>
      <c r="U51" s="551"/>
      <c r="V51" s="551"/>
      <c r="W51" s="526"/>
      <c r="X51" s="526"/>
    </row>
    <row r="52" spans="1:24" hidden="1" x14ac:dyDescent="0.2">
      <c r="A52" s="552"/>
      <c r="B52" s="602" t="s">
        <v>1171</v>
      </c>
      <c r="C52" s="562"/>
      <c r="D52" s="8"/>
      <c r="E52" s="599">
        <f>Q24</f>
        <v>0</v>
      </c>
      <c r="F52" s="562"/>
      <c r="G52" s="562"/>
      <c r="H52" s="562"/>
      <c r="I52" s="562"/>
      <c r="J52" s="562"/>
      <c r="K52" s="562"/>
      <c r="L52" s="596"/>
      <c r="M52" s="562"/>
      <c r="N52" s="562"/>
      <c r="O52" s="562"/>
      <c r="P52" s="551"/>
      <c r="Q52" s="551"/>
      <c r="R52" s="551"/>
      <c r="S52" s="525"/>
      <c r="T52" s="551"/>
      <c r="U52" s="551"/>
      <c r="V52" s="551"/>
      <c r="W52" s="526"/>
      <c r="X52" s="526"/>
    </row>
    <row r="53" spans="1:24" hidden="1" x14ac:dyDescent="0.2">
      <c r="A53" s="552"/>
      <c r="B53" s="602" t="s">
        <v>1172</v>
      </c>
      <c r="C53" s="562"/>
      <c r="D53" s="8"/>
      <c r="E53" s="599">
        <f>R24</f>
        <v>0</v>
      </c>
      <c r="F53" s="562"/>
      <c r="G53" s="562"/>
      <c r="H53" s="562"/>
      <c r="I53" s="562"/>
      <c r="J53" s="562"/>
      <c r="K53" s="562"/>
      <c r="L53" s="595"/>
      <c r="M53" s="562"/>
      <c r="N53" s="562"/>
      <c r="O53" s="562"/>
      <c r="P53" s="551"/>
      <c r="Q53" s="551"/>
      <c r="R53" s="551"/>
      <c r="S53" s="525"/>
      <c r="T53" s="551"/>
      <c r="U53" s="551"/>
      <c r="V53" s="551"/>
      <c r="W53" s="526"/>
      <c r="X53" s="526"/>
    </row>
    <row r="54" spans="1:24" hidden="1" x14ac:dyDescent="0.2">
      <c r="A54" s="552"/>
      <c r="B54" s="562" t="s">
        <v>1173</v>
      </c>
      <c r="C54" s="562"/>
      <c r="D54" s="8"/>
      <c r="E54" s="599">
        <f>C17</f>
        <v>0</v>
      </c>
      <c r="F54" s="562"/>
      <c r="G54" s="562"/>
      <c r="H54" s="562"/>
      <c r="I54" s="562"/>
      <c r="J54" s="562"/>
      <c r="K54" s="562"/>
      <c r="L54" s="596"/>
      <c r="M54" s="562"/>
      <c r="N54" s="562"/>
      <c r="O54" s="562"/>
      <c r="P54" s="551"/>
      <c r="Q54" s="551"/>
      <c r="R54" s="551"/>
      <c r="S54" s="525"/>
      <c r="T54" s="551"/>
      <c r="U54" s="551"/>
      <c r="V54" s="551"/>
      <c r="W54" s="526"/>
      <c r="X54" s="526"/>
    </row>
    <row r="55" spans="1:24" hidden="1" x14ac:dyDescent="0.2">
      <c r="A55" s="552"/>
      <c r="B55" s="562" t="s">
        <v>1174</v>
      </c>
      <c r="C55" s="562"/>
      <c r="D55" s="8">
        <f>IF(C17-F24&gt;0,C17-F24,0)</f>
        <v>0</v>
      </c>
      <c r="E55" s="599">
        <f>IF(F24-C17&gt;0,F24-C17,0)</f>
        <v>0</v>
      </c>
      <c r="F55" s="596"/>
      <c r="G55" s="596"/>
      <c r="H55" s="596"/>
      <c r="I55" s="596"/>
      <c r="J55" s="596"/>
      <c r="K55" s="596"/>
      <c r="L55" s="596"/>
      <c r="M55" s="595"/>
      <c r="N55" s="596"/>
      <c r="O55" s="562"/>
      <c r="P55" s="551"/>
      <c r="Q55" s="551"/>
      <c r="R55" s="551"/>
      <c r="S55" s="525"/>
      <c r="T55" s="551"/>
      <c r="U55" s="551"/>
      <c r="V55" s="551"/>
      <c r="W55" s="526"/>
      <c r="X55" s="526"/>
    </row>
    <row r="56" spans="1:24" hidden="1" x14ac:dyDescent="0.2">
      <c r="A56" s="552"/>
      <c r="B56" s="562" t="s">
        <v>1175</v>
      </c>
      <c r="C56" s="562"/>
      <c r="D56" s="8">
        <f>IF(SUM(E35:E55)&gt;SUM(D35:D55),SUM(E35:E55)-SUM(D35:D55),0)</f>
        <v>0</v>
      </c>
      <c r="E56" s="599">
        <f>IF(SUM(D35:D55)&gt;SUM(E35:E55),SUM(D35:D55)-SUM(E35:E55),0)</f>
        <v>0</v>
      </c>
      <c r="F56" s="562"/>
      <c r="G56" s="562"/>
      <c r="H56" s="562"/>
      <c r="I56" s="562"/>
      <c r="J56" s="562"/>
      <c r="K56" s="562"/>
      <c r="L56" s="562"/>
      <c r="M56" s="562"/>
      <c r="N56" s="562"/>
      <c r="O56" s="562"/>
      <c r="P56" s="551"/>
      <c r="Q56" s="551"/>
      <c r="R56" s="551"/>
      <c r="S56" s="525"/>
      <c r="T56" s="551"/>
      <c r="U56" s="551"/>
      <c r="V56" s="551"/>
      <c r="W56" s="526"/>
      <c r="X56" s="526"/>
    </row>
    <row r="57" spans="1:24" hidden="1" x14ac:dyDescent="0.2">
      <c r="A57" s="552"/>
      <c r="B57" s="562"/>
      <c r="C57" s="562"/>
      <c r="D57" s="8">
        <f>SUM(D35:D56)</f>
        <v>0</v>
      </c>
      <c r="E57" s="8">
        <f>SUM(E35:E56)</f>
        <v>0</v>
      </c>
      <c r="F57" s="595"/>
      <c r="G57" s="595"/>
      <c r="H57" s="595"/>
      <c r="I57" s="595"/>
      <c r="J57" s="595"/>
      <c r="K57" s="595"/>
      <c r="L57" s="595"/>
      <c r="M57" s="595"/>
      <c r="N57" s="595"/>
      <c r="O57" s="562"/>
      <c r="P57" s="551"/>
      <c r="Q57" s="551"/>
      <c r="R57" s="551"/>
      <c r="S57" s="525"/>
      <c r="T57" s="551"/>
      <c r="U57" s="551"/>
      <c r="V57" s="551"/>
      <c r="W57" s="526"/>
      <c r="X57" s="526"/>
    </row>
    <row r="58" spans="1:24" x14ac:dyDescent="0.2">
      <c r="A58" s="552"/>
      <c r="B58" s="562"/>
      <c r="C58" s="562"/>
      <c r="D58" s="562"/>
      <c r="E58" s="562"/>
      <c r="F58" s="562"/>
      <c r="G58" s="562"/>
      <c r="H58" s="562"/>
      <c r="I58" s="562"/>
      <c r="J58" s="562"/>
      <c r="K58" s="562"/>
      <c r="L58" s="562"/>
      <c r="M58" s="562"/>
      <c r="N58" s="562"/>
      <c r="O58" s="562"/>
      <c r="P58" s="551"/>
      <c r="Q58" s="551"/>
      <c r="R58" s="551"/>
      <c r="S58" s="525"/>
      <c r="T58" s="551"/>
      <c r="U58" s="551"/>
      <c r="V58" s="551"/>
      <c r="W58" s="526"/>
      <c r="X58" s="526"/>
    </row>
    <row r="59" spans="1:24" ht="15" x14ac:dyDescent="0.25">
      <c r="A59" s="552"/>
      <c r="B59" s="598"/>
      <c r="C59" s="597"/>
      <c r="D59" s="597"/>
      <c r="E59" s="597"/>
      <c r="F59" s="597"/>
      <c r="G59" s="597"/>
      <c r="H59" s="597"/>
      <c r="I59" s="597"/>
      <c r="J59" s="597"/>
      <c r="K59" s="597"/>
      <c r="L59" s="597"/>
      <c r="M59" s="597"/>
      <c r="N59" s="597"/>
      <c r="O59" s="562"/>
      <c r="P59" s="551"/>
      <c r="Q59" s="551"/>
      <c r="R59" s="551"/>
      <c r="S59" s="525"/>
      <c r="T59" s="551"/>
      <c r="U59" s="551"/>
      <c r="V59" s="551"/>
      <c r="W59" s="526"/>
      <c r="X59" s="526"/>
    </row>
    <row r="60" spans="1:24" x14ac:dyDescent="0.2">
      <c r="A60" s="552"/>
      <c r="B60" s="562"/>
      <c r="C60" s="562"/>
      <c r="D60" s="562"/>
      <c r="E60" s="594"/>
      <c r="F60" s="594"/>
      <c r="G60" s="594"/>
      <c r="H60" s="562"/>
      <c r="I60" s="594"/>
      <c r="J60" s="594"/>
      <c r="K60" s="594"/>
      <c r="L60" s="594"/>
      <c r="M60" s="562"/>
      <c r="N60" s="594"/>
      <c r="O60" s="562"/>
      <c r="P60" s="551"/>
      <c r="Q60" s="551"/>
      <c r="R60" s="551"/>
      <c r="S60" s="525"/>
      <c r="T60" s="551"/>
      <c r="U60" s="551"/>
      <c r="V60" s="551"/>
      <c r="W60" s="526"/>
      <c r="X60" s="526"/>
    </row>
    <row r="61" spans="1:24" ht="15" x14ac:dyDescent="0.25">
      <c r="A61" s="552"/>
      <c r="B61" s="598"/>
      <c r="C61" s="562"/>
      <c r="D61" s="562"/>
      <c r="E61" s="594"/>
      <c r="F61" s="594"/>
      <c r="G61" s="594"/>
      <c r="H61" s="562"/>
      <c r="I61" s="594"/>
      <c r="J61" s="594"/>
      <c r="K61" s="594"/>
      <c r="L61" s="594"/>
      <c r="M61" s="562"/>
      <c r="N61" s="594"/>
      <c r="O61" s="562"/>
      <c r="P61" s="551"/>
      <c r="Q61" s="551"/>
      <c r="R61" s="551"/>
      <c r="S61" s="525"/>
      <c r="T61" s="551"/>
      <c r="U61" s="551"/>
      <c r="V61" s="551"/>
      <c r="W61" s="526"/>
      <c r="X61" s="526"/>
    </row>
    <row r="62" spans="1:24" ht="18" customHeight="1" x14ac:dyDescent="0.2">
      <c r="A62" s="832" t="s">
        <v>334</v>
      </c>
      <c r="B62" s="1109" t="s">
        <v>1072</v>
      </c>
      <c r="C62" s="1110"/>
      <c r="D62" s="1110"/>
      <c r="E62" s="1110"/>
      <c r="F62" s="1110"/>
      <c r="G62" s="1110"/>
      <c r="H62" s="1110"/>
      <c r="I62" s="1111"/>
    </row>
    <row r="63" spans="1:24" x14ac:dyDescent="0.2">
      <c r="A63" s="468"/>
      <c r="B63" s="469"/>
      <c r="C63" s="469"/>
      <c r="D63" s="469"/>
      <c r="E63" s="469"/>
      <c r="F63" s="469"/>
      <c r="G63" s="469"/>
      <c r="H63" s="469"/>
      <c r="I63" s="469"/>
    </row>
    <row r="64" spans="1:24" s="478" customFormat="1" ht="18" customHeight="1" x14ac:dyDescent="0.2">
      <c r="A64" s="468"/>
      <c r="B64" s="1112" t="s">
        <v>1111</v>
      </c>
      <c r="C64" s="1113"/>
      <c r="D64" s="1113"/>
      <c r="E64" s="1114"/>
      <c r="F64" s="469"/>
      <c r="G64" s="469"/>
      <c r="H64" s="469"/>
      <c r="I64" s="469"/>
    </row>
    <row r="65" spans="1:9" x14ac:dyDescent="0.2">
      <c r="A65" s="468"/>
      <c r="B65" s="489" t="s">
        <v>1082</v>
      </c>
      <c r="C65" s="486">
        <f>'H. Other Liabilities &amp; Expenses'!L186</f>
        <v>0.8</v>
      </c>
      <c r="D65" s="469"/>
      <c r="E65" s="490"/>
      <c r="F65" s="469"/>
      <c r="G65" s="469"/>
      <c r="H65" s="469"/>
      <c r="I65" s="469"/>
    </row>
    <row r="66" spans="1:9" s="478" customFormat="1" x14ac:dyDescent="0.2">
      <c r="A66" s="468"/>
      <c r="B66" s="489" t="s">
        <v>1083</v>
      </c>
      <c r="C66" s="486">
        <f>'H. Other Liabilities &amp; Expenses'!L187</f>
        <v>0.2</v>
      </c>
      <c r="D66" s="469"/>
      <c r="E66" s="490"/>
      <c r="F66" s="469"/>
      <c r="G66" s="469"/>
      <c r="H66" s="469"/>
      <c r="I66" s="469"/>
    </row>
    <row r="67" spans="1:9" s="478" customFormat="1" x14ac:dyDescent="0.2">
      <c r="A67" s="468"/>
      <c r="B67" s="491" t="s">
        <v>1084</v>
      </c>
      <c r="C67" s="486">
        <f>SUM(C65:C66)</f>
        <v>1</v>
      </c>
      <c r="D67" s="469" t="str">
        <f>IF(C67=1,"=100%","DOES NOT EQUAL 100%!!!")</f>
        <v>=100%</v>
      </c>
      <c r="E67" s="490"/>
      <c r="F67" s="469"/>
      <c r="G67" s="469"/>
      <c r="H67" s="469"/>
      <c r="I67" s="469"/>
    </row>
    <row r="68" spans="1:9" s="478" customFormat="1" x14ac:dyDescent="0.2">
      <c r="A68" s="468"/>
      <c r="B68" s="492"/>
      <c r="C68" s="486"/>
      <c r="D68" s="469"/>
      <c r="E68" s="490"/>
      <c r="F68" s="469"/>
      <c r="G68" s="469"/>
      <c r="H68" s="469"/>
      <c r="I68" s="469"/>
    </row>
    <row r="69" spans="1:9" s="478" customFormat="1" x14ac:dyDescent="0.2">
      <c r="A69" s="468"/>
      <c r="B69" s="836" t="s">
        <v>1085</v>
      </c>
      <c r="C69" s="486"/>
      <c r="D69" s="469"/>
      <c r="E69" s="490"/>
      <c r="F69" s="469"/>
      <c r="G69" s="469"/>
      <c r="H69" s="469"/>
      <c r="I69" s="469"/>
    </row>
    <row r="70" spans="1:9" s="478" customFormat="1" x14ac:dyDescent="0.2">
      <c r="A70" s="468"/>
      <c r="B70" s="493" t="s">
        <v>263</v>
      </c>
      <c r="C70" s="486">
        <f>'H. Other Liabilities &amp; Expenses'!L191</f>
        <v>0.4</v>
      </c>
      <c r="D70" s="469"/>
      <c r="E70" s="490"/>
      <c r="F70" s="469"/>
      <c r="G70" s="469"/>
      <c r="H70" s="469"/>
      <c r="I70" s="469"/>
    </row>
    <row r="71" spans="1:9" s="478" customFormat="1" x14ac:dyDescent="0.2">
      <c r="A71" s="468"/>
      <c r="B71" s="493" t="s">
        <v>264</v>
      </c>
      <c r="C71" s="486">
        <f>'H. Other Liabilities &amp; Expenses'!L192</f>
        <v>0</v>
      </c>
      <c r="D71" s="469"/>
      <c r="E71" s="490"/>
      <c r="F71" s="469"/>
      <c r="G71" s="469"/>
      <c r="H71" s="469"/>
      <c r="I71" s="469"/>
    </row>
    <row r="72" spans="1:9" s="478" customFormat="1" x14ac:dyDescent="0.2">
      <c r="A72" s="468"/>
      <c r="B72" s="493" t="s">
        <v>265</v>
      </c>
      <c r="C72" s="486">
        <f>'H. Other Liabilities &amp; Expenses'!L193</f>
        <v>0</v>
      </c>
      <c r="D72" s="469"/>
      <c r="E72" s="490"/>
      <c r="F72" s="469"/>
      <c r="G72" s="469"/>
      <c r="H72" s="469"/>
      <c r="I72" s="469"/>
    </row>
    <row r="73" spans="1:9" s="478" customFormat="1" x14ac:dyDescent="0.2">
      <c r="A73" s="468"/>
      <c r="B73" s="493" t="s">
        <v>266</v>
      </c>
      <c r="C73" s="486">
        <f>'H. Other Liabilities &amp; Expenses'!L194</f>
        <v>0</v>
      </c>
      <c r="D73" s="469"/>
      <c r="E73" s="490"/>
      <c r="F73" s="469"/>
      <c r="G73" s="469"/>
      <c r="H73" s="469"/>
      <c r="I73" s="469"/>
    </row>
    <row r="74" spans="1:9" s="478" customFormat="1" x14ac:dyDescent="0.2">
      <c r="A74" s="468"/>
      <c r="B74" s="493" t="s">
        <v>267</v>
      </c>
      <c r="C74" s="486">
        <f>'H. Other Liabilities &amp; Expenses'!L195</f>
        <v>0</v>
      </c>
      <c r="D74" s="469"/>
      <c r="E74" s="490"/>
      <c r="F74" s="469"/>
      <c r="G74" s="469"/>
      <c r="H74" s="469"/>
      <c r="I74" s="469"/>
    </row>
    <row r="75" spans="1:9" s="478" customFormat="1" x14ac:dyDescent="0.2">
      <c r="A75" s="468"/>
      <c r="B75" s="493" t="s">
        <v>268</v>
      </c>
      <c r="C75" s="486">
        <f>'H. Other Liabilities &amp; Expenses'!L196</f>
        <v>0</v>
      </c>
      <c r="D75" s="469"/>
      <c r="E75" s="490"/>
      <c r="F75" s="469"/>
      <c r="G75" s="469"/>
      <c r="H75" s="469"/>
      <c r="I75" s="469"/>
    </row>
    <row r="76" spans="1:9" s="478" customFormat="1" x14ac:dyDescent="0.2">
      <c r="A76" s="468"/>
      <c r="B76" s="493" t="s">
        <v>269</v>
      </c>
      <c r="C76" s="486">
        <f>'H. Other Liabilities &amp; Expenses'!L197</f>
        <v>0.4</v>
      </c>
      <c r="D76" s="469"/>
      <c r="E76" s="490"/>
      <c r="F76" s="469"/>
      <c r="G76" s="469"/>
      <c r="H76" s="469"/>
      <c r="I76" s="469"/>
    </row>
    <row r="77" spans="1:9" s="478" customFormat="1" x14ac:dyDescent="0.2">
      <c r="A77" s="468"/>
      <c r="B77" s="493" t="s">
        <v>379</v>
      </c>
      <c r="C77" s="486">
        <f>'H. Other Liabilities &amp; Expenses'!L198</f>
        <v>0</v>
      </c>
      <c r="D77" s="469"/>
      <c r="E77" s="490"/>
      <c r="F77" s="469"/>
      <c r="G77" s="469"/>
      <c r="H77" s="469"/>
      <c r="I77" s="469"/>
    </row>
    <row r="78" spans="1:9" s="478" customFormat="1" x14ac:dyDescent="0.2">
      <c r="A78" s="468"/>
      <c r="B78" s="493" t="s">
        <v>380</v>
      </c>
      <c r="C78" s="486">
        <f>'H. Other Liabilities &amp; Expenses'!L199</f>
        <v>0</v>
      </c>
      <c r="D78" s="469"/>
      <c r="E78" s="490"/>
      <c r="F78" s="469"/>
      <c r="G78" s="469"/>
      <c r="H78" s="469"/>
      <c r="I78" s="469"/>
    </row>
    <row r="79" spans="1:9" s="478" customFormat="1" x14ac:dyDescent="0.2">
      <c r="A79" s="468"/>
      <c r="B79" s="493" t="s">
        <v>237</v>
      </c>
      <c r="C79" s="486">
        <f>'H. Other Liabilities &amp; Expenses'!L200</f>
        <v>0</v>
      </c>
      <c r="D79" s="469"/>
      <c r="E79" s="490"/>
      <c r="F79" s="469"/>
      <c r="G79" s="469"/>
      <c r="H79" s="469"/>
      <c r="I79" s="469"/>
    </row>
    <row r="80" spans="1:9" s="478" customFormat="1" x14ac:dyDescent="0.2">
      <c r="A80" s="468"/>
      <c r="B80" s="493" t="s">
        <v>238</v>
      </c>
      <c r="C80" s="486">
        <f>'H. Other Liabilities &amp; Expenses'!L201</f>
        <v>0</v>
      </c>
      <c r="D80" s="469"/>
      <c r="E80" s="490"/>
      <c r="F80" s="469"/>
      <c r="G80" s="469"/>
      <c r="H80" s="469"/>
      <c r="I80" s="469"/>
    </row>
    <row r="81" spans="1:9" s="478" customFormat="1" x14ac:dyDescent="0.2">
      <c r="A81" s="468"/>
      <c r="B81" s="493" t="s">
        <v>271</v>
      </c>
      <c r="C81" s="486">
        <f>'H. Other Liabilities &amp; Expenses'!L202</f>
        <v>0</v>
      </c>
      <c r="D81" s="469"/>
      <c r="E81" s="490"/>
      <c r="F81" s="469"/>
      <c r="G81" s="469"/>
      <c r="H81" s="469"/>
      <c r="I81" s="469"/>
    </row>
    <row r="82" spans="1:9" s="478" customFormat="1" x14ac:dyDescent="0.2">
      <c r="A82" s="468"/>
      <c r="B82" s="493" t="s">
        <v>273</v>
      </c>
      <c r="C82" s="486">
        <f>'H. Other Liabilities &amp; Expenses'!L203</f>
        <v>0</v>
      </c>
      <c r="D82" s="469"/>
      <c r="E82" s="490"/>
      <c r="F82" s="469"/>
      <c r="G82" s="469"/>
      <c r="H82" s="469"/>
      <c r="I82" s="469"/>
    </row>
    <row r="83" spans="1:9" s="478" customFormat="1" x14ac:dyDescent="0.2">
      <c r="A83" s="468"/>
      <c r="B83" s="493" t="s">
        <v>274</v>
      </c>
      <c r="C83" s="486">
        <f>'H. Other Liabilities &amp; Expenses'!L204</f>
        <v>0</v>
      </c>
      <c r="D83" s="469"/>
      <c r="E83" s="490"/>
      <c r="F83" s="469"/>
      <c r="G83" s="469"/>
      <c r="H83" s="469"/>
      <c r="I83" s="469"/>
    </row>
    <row r="84" spans="1:9" s="478" customFormat="1" x14ac:dyDescent="0.2">
      <c r="A84" s="468"/>
      <c r="B84" s="493" t="s">
        <v>381</v>
      </c>
      <c r="C84" s="486">
        <f>'H. Other Liabilities &amp; Expenses'!L205</f>
        <v>0</v>
      </c>
      <c r="D84" s="469"/>
      <c r="E84" s="490"/>
      <c r="F84" s="469"/>
      <c r="G84" s="469"/>
      <c r="H84" s="469"/>
      <c r="I84" s="469"/>
    </row>
    <row r="85" spans="1:9" s="478" customFormat="1" x14ac:dyDescent="0.2">
      <c r="A85" s="468"/>
      <c r="B85" s="493" t="s">
        <v>257</v>
      </c>
      <c r="C85" s="486">
        <f>'H. Other Liabilities &amp; Expenses'!L206</f>
        <v>0</v>
      </c>
      <c r="D85" s="469"/>
      <c r="E85" s="490"/>
      <c r="F85" s="469"/>
      <c r="G85" s="469"/>
      <c r="H85" s="469"/>
      <c r="I85" s="469"/>
    </row>
    <row r="86" spans="1:9" s="478" customFormat="1" x14ac:dyDescent="0.2">
      <c r="A86" s="468"/>
      <c r="B86" s="493" t="s">
        <v>55</v>
      </c>
      <c r="C86" s="486">
        <f>'H. Other Liabilities &amp; Expenses'!L207</f>
        <v>0</v>
      </c>
      <c r="D86" s="469"/>
      <c r="E86" s="490"/>
      <c r="F86" s="469"/>
      <c r="G86" s="469"/>
      <c r="H86" s="469"/>
      <c r="I86" s="469"/>
    </row>
    <row r="87" spans="1:9" s="478" customFormat="1" x14ac:dyDescent="0.2">
      <c r="A87" s="468"/>
      <c r="B87" s="494" t="s">
        <v>1086</v>
      </c>
      <c r="C87" s="495">
        <f>SUM(C70:C86)</f>
        <v>0.8</v>
      </c>
      <c r="D87" s="523" t="str">
        <f>IF(C87=C65,"Equals Governmental Fund","DOES NOT EQUAL Governmental Fund!!!")</f>
        <v>Equals Governmental Fund</v>
      </c>
      <c r="E87" s="496"/>
      <c r="F87" s="469"/>
      <c r="G87" s="469"/>
      <c r="H87" s="469"/>
      <c r="I87" s="469"/>
    </row>
    <row r="88" spans="1:9" s="478" customFormat="1" x14ac:dyDescent="0.2">
      <c r="A88" s="468"/>
      <c r="B88" s="469"/>
      <c r="C88" s="486"/>
      <c r="D88" s="469"/>
      <c r="E88" s="469"/>
      <c r="F88" s="469"/>
      <c r="G88" s="469"/>
      <c r="H88" s="469"/>
      <c r="I88" s="469"/>
    </row>
    <row r="89" spans="1:9" x14ac:dyDescent="0.2">
      <c r="A89" s="160"/>
      <c r="B89" s="41"/>
      <c r="C89" s="32"/>
      <c r="D89" s="32"/>
      <c r="E89" s="32"/>
      <c r="F89" s="32"/>
      <c r="G89" s="32"/>
      <c r="H89" s="32"/>
      <c r="I89" s="32"/>
    </row>
    <row r="90" spans="1:9" x14ac:dyDescent="0.2">
      <c r="A90" s="160"/>
      <c r="B90" s="34"/>
      <c r="C90" s="470" t="s">
        <v>1069</v>
      </c>
      <c r="D90" s="470" t="s">
        <v>1070</v>
      </c>
    </row>
    <row r="91" spans="1:9" x14ac:dyDescent="0.2">
      <c r="A91" s="160"/>
      <c r="B91" s="453" t="s">
        <v>726</v>
      </c>
      <c r="C91" s="471">
        <f t="shared" ref="C91:C118" si="0">G128</f>
        <v>0</v>
      </c>
      <c r="D91" s="471">
        <f t="shared" ref="D91:D118" si="1">H128</f>
        <v>0</v>
      </c>
    </row>
    <row r="92" spans="1:9" x14ac:dyDescent="0.2">
      <c r="A92" s="160"/>
      <c r="B92" s="453" t="s">
        <v>1068</v>
      </c>
      <c r="C92" s="471">
        <f t="shared" si="0"/>
        <v>0</v>
      </c>
      <c r="D92" s="471">
        <f t="shared" si="1"/>
        <v>0</v>
      </c>
      <c r="E92" s="464"/>
    </row>
    <row r="93" spans="1:9" x14ac:dyDescent="0.2">
      <c r="A93" s="160"/>
      <c r="B93" s="497" t="s">
        <v>1088</v>
      </c>
      <c r="C93" s="471">
        <f t="shared" si="0"/>
        <v>0</v>
      </c>
      <c r="D93" s="471">
        <f t="shared" si="1"/>
        <v>0</v>
      </c>
      <c r="E93" s="464"/>
    </row>
    <row r="94" spans="1:9" s="478" customFormat="1" x14ac:dyDescent="0.2">
      <c r="A94" s="160"/>
      <c r="B94" s="497" t="s">
        <v>1089</v>
      </c>
      <c r="C94" s="471">
        <f t="shared" si="0"/>
        <v>0</v>
      </c>
      <c r="D94" s="471">
        <f t="shared" si="1"/>
        <v>0</v>
      </c>
      <c r="E94" s="464"/>
    </row>
    <row r="95" spans="1:9" s="478" customFormat="1" x14ac:dyDescent="0.2">
      <c r="A95" s="160"/>
      <c r="B95" s="497" t="s">
        <v>1090</v>
      </c>
      <c r="C95" s="471">
        <f t="shared" si="0"/>
        <v>0</v>
      </c>
      <c r="D95" s="471">
        <f t="shared" si="1"/>
        <v>0</v>
      </c>
      <c r="E95" s="464"/>
    </row>
    <row r="96" spans="1:9" s="478" customFormat="1" x14ac:dyDescent="0.2">
      <c r="A96" s="160"/>
      <c r="B96" s="497" t="s">
        <v>1091</v>
      </c>
      <c r="C96" s="471">
        <f t="shared" si="0"/>
        <v>0</v>
      </c>
      <c r="D96" s="471">
        <f t="shared" si="1"/>
        <v>0</v>
      </c>
      <c r="E96" s="464"/>
    </row>
    <row r="97" spans="1:5" s="478" customFormat="1" x14ac:dyDescent="0.2">
      <c r="A97" s="160"/>
      <c r="B97" s="497" t="s">
        <v>1092</v>
      </c>
      <c r="C97" s="471">
        <f t="shared" si="0"/>
        <v>0</v>
      </c>
      <c r="D97" s="471">
        <f t="shared" si="1"/>
        <v>0</v>
      </c>
      <c r="E97" s="464"/>
    </row>
    <row r="98" spans="1:5" s="478" customFormat="1" x14ac:dyDescent="0.2">
      <c r="A98" s="160"/>
      <c r="B98" s="497" t="s">
        <v>1093</v>
      </c>
      <c r="C98" s="471">
        <f t="shared" si="0"/>
        <v>0</v>
      </c>
      <c r="D98" s="471">
        <f t="shared" si="1"/>
        <v>0</v>
      </c>
      <c r="E98" s="464"/>
    </row>
    <row r="99" spans="1:5" s="478" customFormat="1" ht="12" customHeight="1" x14ac:dyDescent="0.2">
      <c r="A99" s="160"/>
      <c r="B99" s="497" t="s">
        <v>1094</v>
      </c>
      <c r="C99" s="471">
        <f t="shared" si="0"/>
        <v>0</v>
      </c>
      <c r="D99" s="471">
        <f t="shared" si="1"/>
        <v>0</v>
      </c>
      <c r="E99" s="464"/>
    </row>
    <row r="100" spans="1:5" s="478" customFormat="1" x14ac:dyDescent="0.2">
      <c r="A100" s="160"/>
      <c r="B100" s="497" t="s">
        <v>1095</v>
      </c>
      <c r="C100" s="471">
        <f t="shared" si="0"/>
        <v>0</v>
      </c>
      <c r="D100" s="471">
        <f t="shared" si="1"/>
        <v>0</v>
      </c>
      <c r="E100" s="464"/>
    </row>
    <row r="101" spans="1:5" s="478" customFormat="1" x14ac:dyDescent="0.2">
      <c r="A101" s="160"/>
      <c r="B101" s="497" t="s">
        <v>1096</v>
      </c>
      <c r="C101" s="471">
        <f t="shared" si="0"/>
        <v>0</v>
      </c>
      <c r="D101" s="471">
        <f t="shared" si="1"/>
        <v>0</v>
      </c>
      <c r="E101" s="464"/>
    </row>
    <row r="102" spans="1:5" s="478" customFormat="1" x14ac:dyDescent="0.2">
      <c r="A102" s="160"/>
      <c r="B102" s="497" t="s">
        <v>1097</v>
      </c>
      <c r="C102" s="471">
        <f t="shared" si="0"/>
        <v>0</v>
      </c>
      <c r="D102" s="471">
        <f t="shared" si="1"/>
        <v>0</v>
      </c>
      <c r="E102" s="464"/>
    </row>
    <row r="103" spans="1:5" s="478" customFormat="1" x14ac:dyDescent="0.2">
      <c r="A103" s="160"/>
      <c r="B103" s="497" t="s">
        <v>1098</v>
      </c>
      <c r="C103" s="471">
        <f t="shared" si="0"/>
        <v>0</v>
      </c>
      <c r="D103" s="471">
        <f t="shared" si="1"/>
        <v>0</v>
      </c>
      <c r="E103" s="464"/>
    </row>
    <row r="104" spans="1:5" s="478" customFormat="1" x14ac:dyDescent="0.2">
      <c r="A104" s="160"/>
      <c r="B104" s="497" t="s">
        <v>1099</v>
      </c>
      <c r="C104" s="471">
        <f t="shared" si="0"/>
        <v>0</v>
      </c>
      <c r="D104" s="471">
        <f t="shared" si="1"/>
        <v>0</v>
      </c>
      <c r="E104" s="464"/>
    </row>
    <row r="105" spans="1:5" s="478" customFormat="1" x14ac:dyDescent="0.2">
      <c r="A105" s="160"/>
      <c r="B105" s="497" t="s">
        <v>1100</v>
      </c>
      <c r="C105" s="471">
        <f t="shared" si="0"/>
        <v>0</v>
      </c>
      <c r="D105" s="471">
        <f t="shared" si="1"/>
        <v>0</v>
      </c>
      <c r="E105" s="464"/>
    </row>
    <row r="106" spans="1:5" s="478" customFormat="1" x14ac:dyDescent="0.2">
      <c r="A106" s="160"/>
      <c r="B106" s="497" t="s">
        <v>1101</v>
      </c>
      <c r="C106" s="471">
        <f t="shared" si="0"/>
        <v>0</v>
      </c>
      <c r="D106" s="471">
        <f t="shared" si="1"/>
        <v>0</v>
      </c>
      <c r="E106" s="464"/>
    </row>
    <row r="107" spans="1:5" s="478" customFormat="1" x14ac:dyDescent="0.2">
      <c r="A107" s="160"/>
      <c r="B107" s="497" t="s">
        <v>1102</v>
      </c>
      <c r="C107" s="471">
        <f t="shared" si="0"/>
        <v>0</v>
      </c>
      <c r="D107" s="471">
        <f t="shared" si="1"/>
        <v>0</v>
      </c>
      <c r="E107" s="464"/>
    </row>
    <row r="108" spans="1:5" s="478" customFormat="1" x14ac:dyDescent="0.2">
      <c r="A108" s="160"/>
      <c r="B108" s="497" t="s">
        <v>1103</v>
      </c>
      <c r="C108" s="471">
        <f t="shared" si="0"/>
        <v>0</v>
      </c>
      <c r="D108" s="471">
        <f t="shared" si="1"/>
        <v>0</v>
      </c>
      <c r="E108" s="464"/>
    </row>
    <row r="109" spans="1:5" s="478" customFormat="1" x14ac:dyDescent="0.2">
      <c r="A109" s="160"/>
      <c r="B109" s="497" t="s">
        <v>1104</v>
      </c>
      <c r="C109" s="471">
        <f t="shared" si="0"/>
        <v>0</v>
      </c>
      <c r="D109" s="471">
        <f t="shared" si="1"/>
        <v>0</v>
      </c>
      <c r="E109" s="464"/>
    </row>
    <row r="110" spans="1:5" ht="25.5" x14ac:dyDescent="0.2">
      <c r="A110" s="160"/>
      <c r="B110" s="561" t="s">
        <v>1178</v>
      </c>
      <c r="C110" s="471">
        <f t="shared" si="0"/>
        <v>0</v>
      </c>
      <c r="D110" s="471">
        <f t="shared" si="1"/>
        <v>0</v>
      </c>
    </row>
    <row r="111" spans="1:5" ht="25.5" x14ac:dyDescent="0.2">
      <c r="A111" s="160"/>
      <c r="B111" s="561" t="s">
        <v>1142</v>
      </c>
      <c r="C111" s="471">
        <f t="shared" si="0"/>
        <v>0</v>
      </c>
      <c r="D111" s="471">
        <f t="shared" si="1"/>
        <v>0</v>
      </c>
    </row>
    <row r="112" spans="1:5" x14ac:dyDescent="0.2">
      <c r="A112" s="160"/>
      <c r="B112" s="561" t="s">
        <v>1179</v>
      </c>
      <c r="C112" s="471">
        <f t="shared" si="0"/>
        <v>0</v>
      </c>
      <c r="D112" s="471">
        <f t="shared" si="1"/>
        <v>0</v>
      </c>
    </row>
    <row r="113" spans="1:9" ht="38.25" x14ac:dyDescent="0.2">
      <c r="A113" s="160"/>
      <c r="B113" s="561" t="s">
        <v>1180</v>
      </c>
      <c r="C113" s="471">
        <f t="shared" si="0"/>
        <v>0</v>
      </c>
      <c r="D113" s="471">
        <f t="shared" si="1"/>
        <v>0</v>
      </c>
    </row>
    <row r="114" spans="1:9" s="525" customFormat="1" ht="25.5" x14ac:dyDescent="0.2">
      <c r="A114" s="160"/>
      <c r="B114" s="561" t="s">
        <v>1181</v>
      </c>
      <c r="C114" s="471">
        <f t="shared" si="0"/>
        <v>0</v>
      </c>
      <c r="D114" s="471">
        <f t="shared" si="1"/>
        <v>0</v>
      </c>
    </row>
    <row r="115" spans="1:9" s="525" customFormat="1" ht="25.5" x14ac:dyDescent="0.2">
      <c r="A115" s="160"/>
      <c r="B115" s="561" t="s">
        <v>1182</v>
      </c>
      <c r="C115" s="471">
        <f t="shared" si="0"/>
        <v>0</v>
      </c>
      <c r="D115" s="471">
        <f t="shared" si="1"/>
        <v>0</v>
      </c>
    </row>
    <row r="116" spans="1:9" s="525" customFormat="1" x14ac:dyDescent="0.2">
      <c r="A116" s="160"/>
      <c r="B116" s="561" t="s">
        <v>1183</v>
      </c>
      <c r="C116" s="471">
        <f t="shared" si="0"/>
        <v>0</v>
      </c>
      <c r="D116" s="471">
        <f t="shared" si="1"/>
        <v>0</v>
      </c>
    </row>
    <row r="117" spans="1:9" s="525" customFormat="1" ht="38.25" x14ac:dyDescent="0.2">
      <c r="A117" s="160"/>
      <c r="B117" s="561" t="s">
        <v>1184</v>
      </c>
      <c r="C117" s="471">
        <f t="shared" si="0"/>
        <v>0</v>
      </c>
      <c r="D117" s="471">
        <f t="shared" si="1"/>
        <v>0</v>
      </c>
    </row>
    <row r="118" spans="1:9" s="525" customFormat="1" x14ac:dyDescent="0.2">
      <c r="A118" s="160"/>
      <c r="B118" s="561" t="s">
        <v>1071</v>
      </c>
      <c r="C118" s="471">
        <f t="shared" si="0"/>
        <v>0</v>
      </c>
      <c r="D118" s="471">
        <f t="shared" si="1"/>
        <v>0</v>
      </c>
    </row>
    <row r="119" spans="1:9" x14ac:dyDescent="0.2">
      <c r="A119" s="160"/>
      <c r="B119" s="34"/>
      <c r="C119" s="466"/>
      <c r="D119" s="466"/>
      <c r="G119" s="447"/>
      <c r="H119" s="447"/>
      <c r="I119" s="447"/>
    </row>
    <row r="120" spans="1:9" ht="13.5" thickBot="1" x14ac:dyDescent="0.25">
      <c r="A120" s="160"/>
      <c r="B120" s="34"/>
      <c r="C120" s="472">
        <f>SUM(C91:C119)</f>
        <v>0</v>
      </c>
      <c r="D120" s="472">
        <f>SUM(D91:D119)</f>
        <v>0</v>
      </c>
      <c r="G120" s="447"/>
      <c r="H120" s="447"/>
      <c r="I120" s="447"/>
    </row>
    <row r="121" spans="1:9" ht="13.5" thickTop="1" x14ac:dyDescent="0.2">
      <c r="A121" s="160"/>
      <c r="B121" s="34"/>
      <c r="C121" s="466"/>
      <c r="D121" s="466"/>
    </row>
    <row r="122" spans="1:9" x14ac:dyDescent="0.2">
      <c r="A122" s="160"/>
      <c r="B122" s="34"/>
      <c r="C122" s="466"/>
      <c r="D122" s="466"/>
    </row>
    <row r="123" spans="1:9" x14ac:dyDescent="0.2">
      <c r="A123" s="160"/>
      <c r="B123" s="1104" t="s">
        <v>1105</v>
      </c>
      <c r="C123" s="1104"/>
      <c r="D123" s="1104"/>
      <c r="E123" s="1104"/>
      <c r="F123" s="1104"/>
      <c r="G123" s="1104"/>
      <c r="H123" s="1104"/>
    </row>
    <row r="124" spans="1:9" x14ac:dyDescent="0.2">
      <c r="A124" s="160"/>
      <c r="B124" s="1104"/>
      <c r="C124" s="1104"/>
      <c r="D124" s="1104"/>
      <c r="E124" s="1104"/>
      <c r="F124" s="1104"/>
      <c r="G124" s="1104"/>
      <c r="H124" s="1104"/>
    </row>
    <row r="125" spans="1:9" ht="18" x14ac:dyDescent="0.2">
      <c r="C125" s="498"/>
      <c r="D125" s="499"/>
      <c r="E125" s="500"/>
      <c r="F125" s="501"/>
      <c r="G125" s="1072" t="s">
        <v>457</v>
      </c>
      <c r="H125" s="1073"/>
    </row>
    <row r="126" spans="1:9" x14ac:dyDescent="0.2">
      <c r="C126" s="502"/>
      <c r="D126" s="503"/>
      <c r="E126" s="504"/>
      <c r="F126" s="481"/>
      <c r="G126" s="482"/>
      <c r="H126" s="127"/>
    </row>
    <row r="127" spans="1:9" x14ac:dyDescent="0.2">
      <c r="B127" s="82"/>
      <c r="C127" s="505" t="s">
        <v>645</v>
      </c>
      <c r="D127" s="110" t="s">
        <v>646</v>
      </c>
      <c r="E127" s="506" t="s">
        <v>1106</v>
      </c>
      <c r="F127" s="481"/>
      <c r="G127" s="59" t="s">
        <v>645</v>
      </c>
      <c r="H127" s="60" t="s">
        <v>646</v>
      </c>
    </row>
    <row r="128" spans="1:9" x14ac:dyDescent="0.2">
      <c r="B128" s="453" t="s">
        <v>726</v>
      </c>
      <c r="C128" s="509"/>
      <c r="D128" s="510"/>
      <c r="E128" s="507">
        <f>C128-D128</f>
        <v>0</v>
      </c>
      <c r="G128" s="94">
        <f>IF(E128&lt;0,0,E128)</f>
        <v>0</v>
      </c>
      <c r="H128" s="515">
        <f>IF(E128&gt;0,0,E128*-1)</f>
        <v>0</v>
      </c>
    </row>
    <row r="129" spans="2:8" x14ac:dyDescent="0.2">
      <c r="B129" s="453" t="s">
        <v>1068</v>
      </c>
      <c r="C129" s="511">
        <f>C65*(D35+D36)</f>
        <v>0</v>
      </c>
      <c r="D129" s="512">
        <f>C65*(E35+E36)</f>
        <v>0</v>
      </c>
      <c r="E129" s="507">
        <f>C129-D129</f>
        <v>0</v>
      </c>
      <c r="G129" s="247">
        <f>IF(E129&lt;0,0,E129)</f>
        <v>0</v>
      </c>
      <c r="H129" s="516">
        <f>IF(E129&gt;0,0,E129*-1)</f>
        <v>0</v>
      </c>
    </row>
    <row r="130" spans="2:8" x14ac:dyDescent="0.2">
      <c r="B130" s="497" t="s">
        <v>1088</v>
      </c>
      <c r="C130" s="511">
        <f>C70*(D37+D55+D56)</f>
        <v>0</v>
      </c>
      <c r="D130" s="512">
        <f>C70*(E37+E55+E56)</f>
        <v>0</v>
      </c>
      <c r="E130" s="507">
        <f t="shared" ref="E130:E156" si="2">C130-D130</f>
        <v>0</v>
      </c>
      <c r="G130" s="247">
        <f>IF(E130&lt;0,0,E130-E157)</f>
        <v>0</v>
      </c>
      <c r="H130" s="516">
        <f>IF(E130&gt;0,0,-E130+E157)</f>
        <v>0</v>
      </c>
    </row>
    <row r="131" spans="2:8" x14ac:dyDescent="0.2">
      <c r="B131" s="497" t="s">
        <v>1089</v>
      </c>
      <c r="C131" s="511">
        <f t="shared" ref="C131:C146" si="3">C71*($D$38+$D$56+$D$57)</f>
        <v>0</v>
      </c>
      <c r="D131" s="512">
        <f t="shared" ref="D131:D146" si="4">C71*($E$38+$E$56+$E$57)</f>
        <v>0</v>
      </c>
      <c r="E131" s="507">
        <f t="shared" si="2"/>
        <v>0</v>
      </c>
      <c r="G131" s="247">
        <f t="shared" ref="G131:G148" si="5">IF(E131&lt;0,0,E131)</f>
        <v>0</v>
      </c>
      <c r="H131" s="516">
        <f t="shared" ref="H131:H148" si="6">IF(E131&gt;0,0,E131*-1)</f>
        <v>0</v>
      </c>
    </row>
    <row r="132" spans="2:8" x14ac:dyDescent="0.2">
      <c r="B132" s="497" t="s">
        <v>1090</v>
      </c>
      <c r="C132" s="511">
        <f t="shared" si="3"/>
        <v>0</v>
      </c>
      <c r="D132" s="512">
        <f t="shared" si="4"/>
        <v>0</v>
      </c>
      <c r="E132" s="507">
        <f t="shared" si="2"/>
        <v>0</v>
      </c>
      <c r="G132" s="247">
        <f t="shared" si="5"/>
        <v>0</v>
      </c>
      <c r="H132" s="516">
        <f t="shared" si="6"/>
        <v>0</v>
      </c>
    </row>
    <row r="133" spans="2:8" x14ac:dyDescent="0.2">
      <c r="B133" s="497" t="s">
        <v>1091</v>
      </c>
      <c r="C133" s="511">
        <f t="shared" si="3"/>
        <v>0</v>
      </c>
      <c r="D133" s="512">
        <f t="shared" si="4"/>
        <v>0</v>
      </c>
      <c r="E133" s="507">
        <f t="shared" si="2"/>
        <v>0</v>
      </c>
      <c r="G133" s="247">
        <f t="shared" si="5"/>
        <v>0</v>
      </c>
      <c r="H133" s="516">
        <f t="shared" si="6"/>
        <v>0</v>
      </c>
    </row>
    <row r="134" spans="2:8" x14ac:dyDescent="0.2">
      <c r="B134" s="497" t="s">
        <v>1092</v>
      </c>
      <c r="C134" s="511">
        <f t="shared" si="3"/>
        <v>0</v>
      </c>
      <c r="D134" s="512">
        <f t="shared" si="4"/>
        <v>0</v>
      </c>
      <c r="E134" s="507">
        <f t="shared" si="2"/>
        <v>0</v>
      </c>
      <c r="G134" s="247">
        <f t="shared" si="5"/>
        <v>0</v>
      </c>
      <c r="H134" s="516">
        <f t="shared" si="6"/>
        <v>0</v>
      </c>
    </row>
    <row r="135" spans="2:8" x14ac:dyDescent="0.2">
      <c r="B135" s="497" t="s">
        <v>1093</v>
      </c>
      <c r="C135" s="511">
        <f t="shared" si="3"/>
        <v>0</v>
      </c>
      <c r="D135" s="512">
        <f t="shared" si="4"/>
        <v>0</v>
      </c>
      <c r="E135" s="507">
        <f t="shared" si="2"/>
        <v>0</v>
      </c>
      <c r="G135" s="247">
        <f t="shared" si="5"/>
        <v>0</v>
      </c>
      <c r="H135" s="516">
        <f t="shared" si="6"/>
        <v>0</v>
      </c>
    </row>
    <row r="136" spans="2:8" x14ac:dyDescent="0.2">
      <c r="B136" s="497" t="s">
        <v>1094</v>
      </c>
      <c r="C136" s="511">
        <f>C76*($D$37+$D$56+$D$55)</f>
        <v>0</v>
      </c>
      <c r="D136" s="512">
        <f>C76*($E$37+$E$56+$E$55)</f>
        <v>0</v>
      </c>
      <c r="E136" s="507">
        <f t="shared" si="2"/>
        <v>0</v>
      </c>
      <c r="G136" s="247">
        <f t="shared" si="5"/>
        <v>0</v>
      </c>
      <c r="H136" s="516">
        <f t="shared" si="6"/>
        <v>0</v>
      </c>
    </row>
    <row r="137" spans="2:8" x14ac:dyDescent="0.2">
      <c r="B137" s="497" t="s">
        <v>1095</v>
      </c>
      <c r="C137" s="511">
        <f t="shared" si="3"/>
        <v>0</v>
      </c>
      <c r="D137" s="512">
        <f t="shared" si="4"/>
        <v>0</v>
      </c>
      <c r="E137" s="507">
        <f t="shared" si="2"/>
        <v>0</v>
      </c>
      <c r="G137" s="247">
        <f t="shared" si="5"/>
        <v>0</v>
      </c>
      <c r="H137" s="516">
        <f t="shared" si="6"/>
        <v>0</v>
      </c>
    </row>
    <row r="138" spans="2:8" x14ac:dyDescent="0.2">
      <c r="B138" s="497" t="s">
        <v>1096</v>
      </c>
      <c r="C138" s="511">
        <f t="shared" si="3"/>
        <v>0</v>
      </c>
      <c r="D138" s="512">
        <f t="shared" si="4"/>
        <v>0</v>
      </c>
      <c r="E138" s="507">
        <f t="shared" si="2"/>
        <v>0</v>
      </c>
      <c r="G138" s="247">
        <f t="shared" si="5"/>
        <v>0</v>
      </c>
      <c r="H138" s="516">
        <f t="shared" si="6"/>
        <v>0</v>
      </c>
    </row>
    <row r="139" spans="2:8" x14ac:dyDescent="0.2">
      <c r="B139" s="497" t="s">
        <v>1097</v>
      </c>
      <c r="C139" s="511">
        <f t="shared" si="3"/>
        <v>0</v>
      </c>
      <c r="D139" s="512">
        <f t="shared" si="4"/>
        <v>0</v>
      </c>
      <c r="E139" s="507">
        <f t="shared" si="2"/>
        <v>0</v>
      </c>
      <c r="G139" s="247">
        <f t="shared" si="5"/>
        <v>0</v>
      </c>
      <c r="H139" s="516">
        <f t="shared" si="6"/>
        <v>0</v>
      </c>
    </row>
    <row r="140" spans="2:8" x14ac:dyDescent="0.2">
      <c r="B140" s="497" t="s">
        <v>1098</v>
      </c>
      <c r="C140" s="511">
        <f t="shared" si="3"/>
        <v>0</v>
      </c>
      <c r="D140" s="512">
        <f t="shared" si="4"/>
        <v>0</v>
      </c>
      <c r="E140" s="507">
        <f t="shared" si="2"/>
        <v>0</v>
      </c>
      <c r="G140" s="247">
        <f t="shared" si="5"/>
        <v>0</v>
      </c>
      <c r="H140" s="516">
        <f t="shared" si="6"/>
        <v>0</v>
      </c>
    </row>
    <row r="141" spans="2:8" x14ac:dyDescent="0.2">
      <c r="B141" s="497" t="s">
        <v>1099</v>
      </c>
      <c r="C141" s="511">
        <f t="shared" si="3"/>
        <v>0</v>
      </c>
      <c r="D141" s="512">
        <f t="shared" si="4"/>
        <v>0</v>
      </c>
      <c r="E141" s="507">
        <f t="shared" si="2"/>
        <v>0</v>
      </c>
      <c r="G141" s="247">
        <f t="shared" si="5"/>
        <v>0</v>
      </c>
      <c r="H141" s="516">
        <f t="shared" si="6"/>
        <v>0</v>
      </c>
    </row>
    <row r="142" spans="2:8" x14ac:dyDescent="0.2">
      <c r="B142" s="497" t="s">
        <v>1100</v>
      </c>
      <c r="C142" s="511">
        <f t="shared" si="3"/>
        <v>0</v>
      </c>
      <c r="D142" s="512">
        <f t="shared" si="4"/>
        <v>0</v>
      </c>
      <c r="E142" s="507">
        <f t="shared" si="2"/>
        <v>0</v>
      </c>
      <c r="G142" s="247">
        <f t="shared" si="5"/>
        <v>0</v>
      </c>
      <c r="H142" s="516">
        <f t="shared" si="6"/>
        <v>0</v>
      </c>
    </row>
    <row r="143" spans="2:8" x14ac:dyDescent="0.2">
      <c r="B143" s="497" t="s">
        <v>1101</v>
      </c>
      <c r="C143" s="511">
        <f t="shared" si="3"/>
        <v>0</v>
      </c>
      <c r="D143" s="512">
        <f t="shared" si="4"/>
        <v>0</v>
      </c>
      <c r="E143" s="507">
        <f t="shared" si="2"/>
        <v>0</v>
      </c>
      <c r="G143" s="247">
        <f t="shared" si="5"/>
        <v>0</v>
      </c>
      <c r="H143" s="516">
        <f t="shared" si="6"/>
        <v>0</v>
      </c>
    </row>
    <row r="144" spans="2:8" x14ac:dyDescent="0.2">
      <c r="B144" s="497" t="s">
        <v>1102</v>
      </c>
      <c r="C144" s="511">
        <f t="shared" si="3"/>
        <v>0</v>
      </c>
      <c r="D144" s="512">
        <f t="shared" si="4"/>
        <v>0</v>
      </c>
      <c r="E144" s="507">
        <f t="shared" si="2"/>
        <v>0</v>
      </c>
      <c r="G144" s="247">
        <f t="shared" si="5"/>
        <v>0</v>
      </c>
      <c r="H144" s="516">
        <f t="shared" si="6"/>
        <v>0</v>
      </c>
    </row>
    <row r="145" spans="2:8" x14ac:dyDescent="0.2">
      <c r="B145" s="497" t="s">
        <v>1103</v>
      </c>
      <c r="C145" s="511">
        <f t="shared" si="3"/>
        <v>0</v>
      </c>
      <c r="D145" s="512">
        <f t="shared" si="4"/>
        <v>0</v>
      </c>
      <c r="E145" s="507">
        <f t="shared" si="2"/>
        <v>0</v>
      </c>
      <c r="G145" s="247">
        <f t="shared" si="5"/>
        <v>0</v>
      </c>
      <c r="H145" s="516">
        <f t="shared" si="6"/>
        <v>0</v>
      </c>
    </row>
    <row r="146" spans="2:8" x14ac:dyDescent="0.2">
      <c r="B146" s="497" t="s">
        <v>1104</v>
      </c>
      <c r="C146" s="511">
        <f t="shared" si="3"/>
        <v>0</v>
      </c>
      <c r="D146" s="512">
        <f t="shared" si="4"/>
        <v>0</v>
      </c>
      <c r="E146" s="507">
        <f t="shared" si="2"/>
        <v>0</v>
      </c>
      <c r="G146" s="247">
        <f t="shared" si="5"/>
        <v>0</v>
      </c>
      <c r="H146" s="516">
        <f t="shared" si="6"/>
        <v>0</v>
      </c>
    </row>
    <row r="147" spans="2:8" ht="25.5" x14ac:dyDescent="0.2">
      <c r="B147" s="561" t="s">
        <v>1178</v>
      </c>
      <c r="C147" s="511">
        <f t="shared" ref="C147:D154" si="7">$C$65*(D38+D46)</f>
        <v>0</v>
      </c>
      <c r="D147" s="512">
        <f t="shared" si="7"/>
        <v>0</v>
      </c>
      <c r="E147" s="604">
        <f t="shared" si="2"/>
        <v>0</v>
      </c>
      <c r="G147" s="247">
        <f t="shared" si="5"/>
        <v>0</v>
      </c>
      <c r="H147" s="516">
        <f t="shared" si="6"/>
        <v>0</v>
      </c>
    </row>
    <row r="148" spans="2:8" ht="25.5" x14ac:dyDescent="0.2">
      <c r="B148" s="561" t="s">
        <v>1142</v>
      </c>
      <c r="C148" s="511">
        <f t="shared" si="7"/>
        <v>0</v>
      </c>
      <c r="D148" s="512">
        <f t="shared" si="7"/>
        <v>0</v>
      </c>
      <c r="E148" s="604">
        <f t="shared" si="2"/>
        <v>0</v>
      </c>
      <c r="G148" s="247">
        <f t="shared" si="5"/>
        <v>0</v>
      </c>
      <c r="H148" s="516">
        <f t="shared" si="6"/>
        <v>0</v>
      </c>
    </row>
    <row r="149" spans="2:8" s="525" customFormat="1" x14ac:dyDescent="0.2">
      <c r="B149" s="561" t="s">
        <v>1179</v>
      </c>
      <c r="C149" s="511">
        <f t="shared" si="7"/>
        <v>0</v>
      </c>
      <c r="D149" s="512">
        <f t="shared" si="7"/>
        <v>0</v>
      </c>
      <c r="E149" s="604">
        <f t="shared" si="2"/>
        <v>0</v>
      </c>
      <c r="G149" s="247">
        <f t="shared" ref="G149:G156" si="8">IF(E149&lt;0,0,E149)</f>
        <v>0</v>
      </c>
      <c r="H149" s="516">
        <f t="shared" ref="H149:H156" si="9">IF(E149&gt;0,0,E149*-1)</f>
        <v>0</v>
      </c>
    </row>
    <row r="150" spans="2:8" ht="38.25" x14ac:dyDescent="0.2">
      <c r="B150" s="561" t="s">
        <v>1180</v>
      </c>
      <c r="C150" s="511">
        <f t="shared" si="7"/>
        <v>0</v>
      </c>
      <c r="D150" s="512">
        <f t="shared" si="7"/>
        <v>0</v>
      </c>
      <c r="E150" s="604">
        <f t="shared" si="2"/>
        <v>0</v>
      </c>
      <c r="G150" s="247">
        <f t="shared" si="8"/>
        <v>0</v>
      </c>
      <c r="H150" s="516">
        <f t="shared" si="9"/>
        <v>0</v>
      </c>
    </row>
    <row r="151" spans="2:8" s="525" customFormat="1" ht="25.5" x14ac:dyDescent="0.2">
      <c r="B151" s="561" t="s">
        <v>1181</v>
      </c>
      <c r="C151" s="511">
        <f t="shared" si="7"/>
        <v>0</v>
      </c>
      <c r="D151" s="512">
        <f t="shared" si="7"/>
        <v>0</v>
      </c>
      <c r="E151" s="604">
        <f t="shared" si="2"/>
        <v>0</v>
      </c>
      <c r="G151" s="247">
        <f t="shared" si="8"/>
        <v>0</v>
      </c>
      <c r="H151" s="516">
        <f t="shared" si="9"/>
        <v>0</v>
      </c>
    </row>
    <row r="152" spans="2:8" ht="25.5" x14ac:dyDescent="0.2">
      <c r="B152" s="561" t="s">
        <v>1182</v>
      </c>
      <c r="C152" s="511">
        <f t="shared" si="7"/>
        <v>0</v>
      </c>
      <c r="D152" s="512">
        <f t="shared" si="7"/>
        <v>0</v>
      </c>
      <c r="E152" s="604">
        <f t="shared" si="2"/>
        <v>0</v>
      </c>
      <c r="G152" s="247">
        <f t="shared" si="8"/>
        <v>0</v>
      </c>
      <c r="H152" s="516">
        <f t="shared" si="9"/>
        <v>0</v>
      </c>
    </row>
    <row r="153" spans="2:8" s="525" customFormat="1" x14ac:dyDescent="0.2">
      <c r="B153" s="561" t="s">
        <v>1183</v>
      </c>
      <c r="C153" s="511">
        <f t="shared" si="7"/>
        <v>0</v>
      </c>
      <c r="D153" s="512">
        <f t="shared" si="7"/>
        <v>0</v>
      </c>
      <c r="E153" s="604">
        <f t="shared" si="2"/>
        <v>0</v>
      </c>
      <c r="G153" s="247">
        <f t="shared" si="8"/>
        <v>0</v>
      </c>
      <c r="H153" s="516">
        <f t="shared" si="9"/>
        <v>0</v>
      </c>
    </row>
    <row r="154" spans="2:8" s="525" customFormat="1" ht="38.25" x14ac:dyDescent="0.2">
      <c r="B154" s="561" t="s">
        <v>1184</v>
      </c>
      <c r="C154" s="511">
        <f t="shared" si="7"/>
        <v>0</v>
      </c>
      <c r="D154" s="512">
        <f t="shared" si="7"/>
        <v>0</v>
      </c>
      <c r="E154" s="604">
        <f t="shared" si="2"/>
        <v>0</v>
      </c>
      <c r="G154" s="247">
        <f t="shared" si="8"/>
        <v>0</v>
      </c>
      <c r="H154" s="516">
        <f t="shared" si="9"/>
        <v>0</v>
      </c>
    </row>
    <row r="155" spans="2:8" s="525" customFormat="1" x14ac:dyDescent="0.2">
      <c r="B155" s="561" t="s">
        <v>1071</v>
      </c>
      <c r="C155" s="511">
        <f>C65*D54</f>
        <v>0</v>
      </c>
      <c r="D155" s="512">
        <f>C65*E54</f>
        <v>0</v>
      </c>
      <c r="E155" s="604">
        <f t="shared" si="2"/>
        <v>0</v>
      </c>
      <c r="G155" s="247">
        <f t="shared" si="8"/>
        <v>0</v>
      </c>
      <c r="H155" s="516">
        <f t="shared" si="9"/>
        <v>0</v>
      </c>
    </row>
    <row r="156" spans="2:8" x14ac:dyDescent="0.2">
      <c r="B156" s="453"/>
      <c r="C156" s="511"/>
      <c r="D156" s="512"/>
      <c r="E156" s="507">
        <f t="shared" si="2"/>
        <v>0</v>
      </c>
      <c r="G156" s="247">
        <f t="shared" si="8"/>
        <v>0</v>
      </c>
      <c r="H156" s="516">
        <f t="shared" si="9"/>
        <v>0</v>
      </c>
    </row>
    <row r="157" spans="2:8" x14ac:dyDescent="0.2">
      <c r="C157" s="513">
        <f>SUM(C128:C156)</f>
        <v>0</v>
      </c>
      <c r="D157" s="514">
        <f>SUM(D128:D156)</f>
        <v>0</v>
      </c>
      <c r="E157" s="508">
        <f>SUM(E128:E156)</f>
        <v>0</v>
      </c>
      <c r="G157" s="513">
        <f>SUM(G128:G156)</f>
        <v>0</v>
      </c>
      <c r="H157" s="514">
        <f>SUM(H128:H156)</f>
        <v>0</v>
      </c>
    </row>
  </sheetData>
  <sheetProtection algorithmName="SHA-512" hashValue="Gb0/ToXlvaHcXHbM2hIc94ReeNvE59lYIm2kH6VR1iJ9bK9/mJBNusvKeuJMETyIFzNC0tesw5IINTtBJjLznA==" saltValue="reo4V6i+++On54Y44UhHlg==" spinCount="100000" sheet="1" objects="1" scenarios="1"/>
  <mergeCells count="6">
    <mergeCell ref="B123:H124"/>
    <mergeCell ref="G125:H125"/>
    <mergeCell ref="A2:C2"/>
    <mergeCell ref="A5:C5"/>
    <mergeCell ref="B62:I62"/>
    <mergeCell ref="B64:E64"/>
  </mergeCells>
  <conditionalFormatting sqref="B36:E43 C51:E53 B54:E54 B56:E57 B55:C55">
    <cfRule type="expression" dxfId="35" priority="12">
      <formula>#REF!=2</formula>
    </cfRule>
  </conditionalFormatting>
  <conditionalFormatting sqref="B44">
    <cfRule type="expression" dxfId="34" priority="11">
      <formula>#REF!=2</formula>
    </cfRule>
  </conditionalFormatting>
  <conditionalFormatting sqref="E48:E50">
    <cfRule type="expression" dxfId="33" priority="10">
      <formula>#REF!=2</formula>
    </cfRule>
  </conditionalFormatting>
  <conditionalFormatting sqref="C44:E44">
    <cfRule type="expression" dxfId="32" priority="9">
      <formula>#REF!=2</formula>
    </cfRule>
  </conditionalFormatting>
  <conditionalFormatting sqref="B45">
    <cfRule type="expression" dxfId="31" priority="8">
      <formula>#REF!=2</formula>
    </cfRule>
  </conditionalFormatting>
  <conditionalFormatting sqref="C45:C50">
    <cfRule type="expression" dxfId="30" priority="7">
      <formula>#REF!=2</formula>
    </cfRule>
  </conditionalFormatting>
  <conditionalFormatting sqref="D45:D50">
    <cfRule type="expression" dxfId="29" priority="6">
      <formula>#REF!=2</formula>
    </cfRule>
  </conditionalFormatting>
  <conditionalFormatting sqref="E45:E47">
    <cfRule type="expression" dxfId="28" priority="5">
      <formula>#REF!=2</formula>
    </cfRule>
  </conditionalFormatting>
  <conditionalFormatting sqref="B46:B51">
    <cfRule type="expression" dxfId="27" priority="4">
      <formula>#REF!=2</formula>
    </cfRule>
  </conditionalFormatting>
  <conditionalFormatting sqref="B52">
    <cfRule type="expression" dxfId="26" priority="3">
      <formula>#REF!=2</formula>
    </cfRule>
  </conditionalFormatting>
  <conditionalFormatting sqref="B53">
    <cfRule type="expression" dxfId="25" priority="2">
      <formula>#REF!=2</formula>
    </cfRule>
  </conditionalFormatting>
  <conditionalFormatting sqref="D55:E55">
    <cfRule type="expression" dxfId="24" priority="1">
      <formula>#REF!=2</formula>
    </cfRule>
  </conditionalFormatting>
  <pageMargins left="0.7" right="0.7" top="0.75" bottom="0.75" header="0.3" footer="0.3"/>
  <pageSetup scale="24" fitToWidth="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'Ja. TSERS 2018 Summary'!$B$310:$B$611</xm:f>
          </x14:formula1>
          <xm:sqref>C14</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611"/>
  <sheetViews>
    <sheetView topLeftCell="A579" zoomScaleNormal="100" workbookViewId="0">
      <selection activeCell="B546" sqref="B546"/>
    </sheetView>
  </sheetViews>
  <sheetFormatPr defaultRowHeight="15" x14ac:dyDescent="0.25"/>
  <cols>
    <col min="1" max="1" width="15.28515625" style="723" customWidth="1"/>
    <col min="2" max="2" width="69.7109375" style="723" customWidth="1"/>
    <col min="3" max="4" width="13.85546875" style="723" customWidth="1"/>
    <col min="5" max="5" width="15.7109375" style="723" bestFit="1" customWidth="1"/>
    <col min="6" max="7" width="18.28515625" style="723" customWidth="1"/>
    <col min="8" max="8" width="3.85546875" style="723" customWidth="1"/>
    <col min="9" max="9" width="18.28515625" style="723" customWidth="1"/>
    <col min="10" max="10" width="20" style="723" customWidth="1"/>
    <col min="11" max="11" width="15.5703125" style="723" customWidth="1"/>
    <col min="12" max="12" width="19.42578125" style="723" customWidth="1"/>
    <col min="13" max="13" width="3.85546875" style="723" customWidth="1"/>
    <col min="14" max="14" width="18.28515625" style="723" customWidth="1"/>
    <col min="15" max="15" width="20" style="723" customWidth="1"/>
    <col min="16" max="16" width="14.42578125" style="723" customWidth="1"/>
    <col min="17" max="17" width="19.42578125" style="723" customWidth="1"/>
    <col min="18" max="18" width="3.85546875" style="723" customWidth="1"/>
    <col min="19" max="19" width="15" style="723" customWidth="1"/>
    <col min="20" max="20" width="22.42578125" style="723" customWidth="1"/>
    <col min="21" max="21" width="14.85546875" style="723" bestFit="1" customWidth="1"/>
    <col min="22" max="16384" width="9.140625" style="723"/>
  </cols>
  <sheetData>
    <row r="1" spans="1:21" x14ac:dyDescent="0.25">
      <c r="A1" s="723" t="s">
        <v>1626</v>
      </c>
    </row>
    <row r="2" spans="1:21" x14ac:dyDescent="0.25">
      <c r="A2" s="723" t="s">
        <v>1627</v>
      </c>
      <c r="I2" s="724" t="s">
        <v>762</v>
      </c>
      <c r="J2" s="724"/>
      <c r="K2" s="724"/>
      <c r="L2" s="724"/>
      <c r="N2" s="724" t="s">
        <v>763</v>
      </c>
      <c r="O2" s="724"/>
      <c r="P2" s="724"/>
      <c r="Q2" s="724"/>
      <c r="S2" s="724" t="s">
        <v>764</v>
      </c>
      <c r="T2" s="724"/>
      <c r="U2" s="724"/>
    </row>
    <row r="3" spans="1:21" ht="120" x14ac:dyDescent="0.25">
      <c r="A3" s="725" t="s">
        <v>765</v>
      </c>
      <c r="B3" s="725" t="s">
        <v>766</v>
      </c>
      <c r="C3" s="725" t="s">
        <v>1112</v>
      </c>
      <c r="D3" s="725" t="s">
        <v>1113</v>
      </c>
      <c r="E3" s="725" t="s">
        <v>1628</v>
      </c>
      <c r="F3" s="725" t="s">
        <v>1629</v>
      </c>
      <c r="G3" s="725" t="s">
        <v>1631</v>
      </c>
      <c r="H3" s="725"/>
      <c r="I3" s="725" t="s">
        <v>768</v>
      </c>
      <c r="J3" s="725" t="s">
        <v>769</v>
      </c>
      <c r="K3" s="725" t="s">
        <v>770</v>
      </c>
      <c r="L3" s="725" t="s">
        <v>771</v>
      </c>
      <c r="M3" s="725"/>
      <c r="N3" s="725" t="s">
        <v>768</v>
      </c>
      <c r="O3" s="725" t="s">
        <v>769</v>
      </c>
      <c r="P3" s="725" t="s">
        <v>770</v>
      </c>
      <c r="Q3" s="725" t="s">
        <v>771</v>
      </c>
      <c r="R3" s="725"/>
      <c r="S3" s="725" t="s">
        <v>772</v>
      </c>
      <c r="T3" s="725" t="s">
        <v>773</v>
      </c>
      <c r="U3" s="725" t="s">
        <v>774</v>
      </c>
    </row>
    <row r="4" spans="1:21" x14ac:dyDescent="0.25">
      <c r="A4" s="726" t="s">
        <v>521</v>
      </c>
      <c r="B4" s="727" t="s">
        <v>1527</v>
      </c>
      <c r="C4" s="728">
        <v>0</v>
      </c>
      <c r="D4" s="728">
        <v>0</v>
      </c>
      <c r="E4" s="728">
        <v>0</v>
      </c>
      <c r="F4" s="728">
        <v>0</v>
      </c>
      <c r="G4" s="728">
        <f>VLOOKUP(A4,'[3]TSERS Contributions FY 2017'!$A$2:$C$290,3,FALSE)</f>
        <v>0</v>
      </c>
      <c r="H4" s="725"/>
      <c r="I4" s="728">
        <v>0</v>
      </c>
      <c r="J4" s="728">
        <v>0</v>
      </c>
      <c r="K4" s="728">
        <v>0</v>
      </c>
      <c r="L4" s="728">
        <v>0</v>
      </c>
      <c r="M4" s="725"/>
      <c r="N4" s="728">
        <v>0</v>
      </c>
      <c r="O4" s="728">
        <v>0</v>
      </c>
      <c r="P4" s="728">
        <v>0</v>
      </c>
      <c r="Q4" s="728">
        <v>0</v>
      </c>
      <c r="R4" s="725"/>
      <c r="S4" s="728">
        <v>0</v>
      </c>
      <c r="T4" s="728">
        <v>0</v>
      </c>
      <c r="U4" s="728">
        <v>0</v>
      </c>
    </row>
    <row r="5" spans="1:21" x14ac:dyDescent="0.25">
      <c r="A5" s="729">
        <v>10200</v>
      </c>
      <c r="B5" s="727" t="s">
        <v>775</v>
      </c>
      <c r="C5" s="730">
        <v>1.0897999999999999E-3</v>
      </c>
      <c r="D5" s="730">
        <v>1.1054000000000001E-3</v>
      </c>
      <c r="E5" s="728">
        <v>10159768</v>
      </c>
      <c r="F5" s="731">
        <v>8646954</v>
      </c>
      <c r="G5" s="728">
        <f>VLOOKUP(A5,'[3]TSERS Contributions FY 2017'!$A$2:$C$290,3,FALSE)</f>
        <v>1443743</v>
      </c>
      <c r="H5" s="731"/>
      <c r="I5" s="728">
        <v>187450</v>
      </c>
      <c r="J5" s="728">
        <v>4122797</v>
      </c>
      <c r="K5" s="728">
        <v>1366088</v>
      </c>
      <c r="L5" s="731">
        <v>38738</v>
      </c>
      <c r="M5" s="731"/>
      <c r="N5" s="728">
        <v>282887</v>
      </c>
      <c r="O5" s="728">
        <v>2952571</v>
      </c>
      <c r="P5" s="728">
        <v>0</v>
      </c>
      <c r="Q5" s="731">
        <v>235752</v>
      </c>
      <c r="R5" s="731"/>
      <c r="S5" s="728">
        <v>2330267</v>
      </c>
      <c r="T5" s="732">
        <v>-41057</v>
      </c>
      <c r="U5" s="732">
        <v>2289210</v>
      </c>
    </row>
    <row r="6" spans="1:21" x14ac:dyDescent="0.25">
      <c r="A6" s="729">
        <v>10400</v>
      </c>
      <c r="B6" s="727" t="s">
        <v>776</v>
      </c>
      <c r="C6" s="730">
        <v>3.2104999999999998E-3</v>
      </c>
      <c r="D6" s="730">
        <v>3.2499999999999999E-3</v>
      </c>
      <c r="E6" s="728">
        <v>29870857</v>
      </c>
      <c r="F6" s="731">
        <v>25473523</v>
      </c>
      <c r="G6" s="728">
        <f>VLOOKUP(A6,'[3]TSERS Contributions FY 2017'!$A$2:$C$290,3,FALSE)</f>
        <v>4948936</v>
      </c>
      <c r="H6" s="731"/>
      <c r="I6" s="728">
        <v>552219</v>
      </c>
      <c r="J6" s="728">
        <v>12145569</v>
      </c>
      <c r="K6" s="728">
        <v>4024432</v>
      </c>
      <c r="L6" s="731">
        <v>337544</v>
      </c>
      <c r="M6" s="731"/>
      <c r="N6" s="728">
        <v>833372</v>
      </c>
      <c r="O6" s="728">
        <v>8698137</v>
      </c>
      <c r="P6" s="728">
        <v>0</v>
      </c>
      <c r="Q6" s="731">
        <v>2792700</v>
      </c>
      <c r="R6" s="731"/>
      <c r="S6" s="728">
        <v>6864858</v>
      </c>
      <c r="T6" s="732">
        <v>-1606643</v>
      </c>
      <c r="U6" s="732">
        <v>5258215</v>
      </c>
    </row>
    <row r="7" spans="1:21" x14ac:dyDescent="0.25">
      <c r="A7" s="729">
        <v>10500</v>
      </c>
      <c r="B7" s="727" t="s">
        <v>777</v>
      </c>
      <c r="C7" s="730">
        <v>7.7539999999999998E-4</v>
      </c>
      <c r="D7" s="730">
        <v>7.2939999999999995E-4</v>
      </c>
      <c r="E7" s="728">
        <v>6703939</v>
      </c>
      <c r="F7" s="731">
        <v>6152366</v>
      </c>
      <c r="G7" s="728">
        <f>VLOOKUP(A7,'[3]TSERS Contributions FY 2017'!$A$2:$C$290,3,FALSE)</f>
        <v>1061676</v>
      </c>
      <c r="H7" s="731"/>
      <c r="I7" s="728">
        <v>133372</v>
      </c>
      <c r="J7" s="728">
        <v>2933398</v>
      </c>
      <c r="K7" s="728">
        <v>971981</v>
      </c>
      <c r="L7" s="731">
        <v>164308</v>
      </c>
      <c r="M7" s="731"/>
      <c r="N7" s="728">
        <v>201276</v>
      </c>
      <c r="O7" s="728">
        <v>2100774</v>
      </c>
      <c r="P7" s="728">
        <v>0</v>
      </c>
      <c r="Q7" s="731">
        <v>25122</v>
      </c>
      <c r="R7" s="731"/>
      <c r="S7" s="728">
        <v>1658001</v>
      </c>
      <c r="T7" s="732">
        <v>26150</v>
      </c>
      <c r="U7" s="732">
        <v>1684150</v>
      </c>
    </row>
    <row r="8" spans="1:21" x14ac:dyDescent="0.25">
      <c r="A8" s="729">
        <v>10700</v>
      </c>
      <c r="B8" s="727" t="s">
        <v>778</v>
      </c>
      <c r="C8" s="730">
        <v>4.6511E-3</v>
      </c>
      <c r="D8" s="730">
        <v>4.5304999999999998E-3</v>
      </c>
      <c r="E8" s="728">
        <v>41639975</v>
      </c>
      <c r="F8" s="731">
        <v>36903879</v>
      </c>
      <c r="G8" s="728">
        <f>VLOOKUP(A8,'[3]TSERS Contributions FY 2017'!$A$2:$C$290,3,FALSE)</f>
        <v>7339207</v>
      </c>
      <c r="H8" s="731"/>
      <c r="I8" s="728">
        <v>800008</v>
      </c>
      <c r="J8" s="728">
        <v>17595469</v>
      </c>
      <c r="K8" s="728">
        <v>5830256</v>
      </c>
      <c r="L8" s="731">
        <v>7546095</v>
      </c>
      <c r="M8" s="731"/>
      <c r="N8" s="728">
        <v>1207319</v>
      </c>
      <c r="O8" s="728">
        <v>12601123</v>
      </c>
      <c r="P8" s="728">
        <v>0</v>
      </c>
      <c r="Q8" s="731">
        <v>0</v>
      </c>
      <c r="R8" s="731"/>
      <c r="S8" s="728">
        <v>9945224</v>
      </c>
      <c r="T8" s="732">
        <v>3008854</v>
      </c>
      <c r="U8" s="732">
        <v>12954078</v>
      </c>
    </row>
    <row r="9" spans="1:21" x14ac:dyDescent="0.25">
      <c r="A9" s="729">
        <v>10800</v>
      </c>
      <c r="B9" s="727" t="s">
        <v>779</v>
      </c>
      <c r="C9" s="730">
        <v>1.98189E-2</v>
      </c>
      <c r="D9" s="730">
        <v>1.9146300000000002E-2</v>
      </c>
      <c r="E9" s="728">
        <v>175974275</v>
      </c>
      <c r="F9" s="731">
        <v>157251893</v>
      </c>
      <c r="G9" s="728">
        <f>VLOOKUP(A9,'[3]TSERS Contributions FY 2017'!$A$2:$C$290,3,FALSE)</f>
        <v>30753061</v>
      </c>
      <c r="H9" s="731"/>
      <c r="I9" s="728">
        <v>3408930</v>
      </c>
      <c r="J9" s="728">
        <v>74976425</v>
      </c>
      <c r="K9" s="728">
        <v>24843427</v>
      </c>
      <c r="L9" s="731">
        <v>4483344</v>
      </c>
      <c r="M9" s="731"/>
      <c r="N9" s="728">
        <v>5144531</v>
      </c>
      <c r="O9" s="728">
        <v>53694910</v>
      </c>
      <c r="P9" s="728">
        <v>0</v>
      </c>
      <c r="Q9" s="731">
        <v>244967</v>
      </c>
      <c r="R9" s="731"/>
      <c r="S9" s="728">
        <v>42377803</v>
      </c>
      <c r="T9" s="732">
        <v>1405802</v>
      </c>
      <c r="U9" s="732">
        <v>43783604</v>
      </c>
    </row>
    <row r="10" spans="1:21" x14ac:dyDescent="0.25">
      <c r="A10" s="729">
        <v>10850</v>
      </c>
      <c r="B10" s="727" t="s">
        <v>780</v>
      </c>
      <c r="C10" s="730">
        <v>1.507E-4</v>
      </c>
      <c r="D10" s="730">
        <v>1.383E-4</v>
      </c>
      <c r="E10" s="728">
        <v>1271120</v>
      </c>
      <c r="F10" s="731">
        <v>1195720</v>
      </c>
      <c r="G10" s="728">
        <f>VLOOKUP(A10,'[3]TSERS Contributions FY 2017'!$A$2:$C$290,3,FALSE)</f>
        <v>311655</v>
      </c>
      <c r="H10" s="731"/>
      <c r="I10" s="728">
        <v>25921</v>
      </c>
      <c r="J10" s="728">
        <v>570110</v>
      </c>
      <c r="K10" s="728">
        <v>188906</v>
      </c>
      <c r="L10" s="731">
        <v>278461</v>
      </c>
      <c r="M10" s="731"/>
      <c r="N10" s="728">
        <v>39118</v>
      </c>
      <c r="O10" s="728">
        <v>408288</v>
      </c>
      <c r="P10" s="728">
        <v>0</v>
      </c>
      <c r="Q10" s="731">
        <v>0</v>
      </c>
      <c r="R10" s="731"/>
      <c r="S10" s="728">
        <v>322235</v>
      </c>
      <c r="T10" s="732">
        <v>142783</v>
      </c>
      <c r="U10" s="732">
        <v>465018</v>
      </c>
    </row>
    <row r="11" spans="1:21" x14ac:dyDescent="0.25">
      <c r="A11" s="729">
        <v>10900</v>
      </c>
      <c r="B11" s="727" t="s">
        <v>781</v>
      </c>
      <c r="C11" s="730">
        <v>1.7773999999999999E-3</v>
      </c>
      <c r="D11" s="730">
        <v>1.9082000000000001E-3</v>
      </c>
      <c r="E11" s="728">
        <v>17538329</v>
      </c>
      <c r="F11" s="731">
        <v>14102675</v>
      </c>
      <c r="G11" s="728">
        <f>VLOOKUP(A11,'[3]TSERS Contributions FY 2017'!$A$2:$C$290,3,FALSE)</f>
        <v>3210853</v>
      </c>
      <c r="H11" s="731"/>
      <c r="I11" s="728">
        <v>305720</v>
      </c>
      <c r="J11" s="728">
        <v>6724041</v>
      </c>
      <c r="K11" s="728">
        <v>2228010</v>
      </c>
      <c r="L11" s="731">
        <v>804731</v>
      </c>
      <c r="M11" s="731"/>
      <c r="N11" s="728">
        <v>461372</v>
      </c>
      <c r="O11" s="728">
        <v>4815471</v>
      </c>
      <c r="P11" s="728">
        <v>0</v>
      </c>
      <c r="Q11" s="731">
        <v>0</v>
      </c>
      <c r="R11" s="731"/>
      <c r="S11" s="728">
        <v>3800529</v>
      </c>
      <c r="T11" s="732">
        <v>557238</v>
      </c>
      <c r="U11" s="732">
        <v>4357767</v>
      </c>
    </row>
    <row r="12" spans="1:21" x14ac:dyDescent="0.25">
      <c r="A12" s="729">
        <v>10910</v>
      </c>
      <c r="B12" s="727" t="s">
        <v>782</v>
      </c>
      <c r="C12" s="730">
        <v>2.9599999999999998E-4</v>
      </c>
      <c r="D12" s="730">
        <v>2.6919999999999998E-4</v>
      </c>
      <c r="E12" s="728">
        <v>2474226</v>
      </c>
      <c r="F12" s="731">
        <v>2348595</v>
      </c>
      <c r="G12" s="728">
        <f>VLOOKUP(A12,'[3]TSERS Contributions FY 2017'!$A$2:$C$290,3,FALSE)</f>
        <v>412896</v>
      </c>
      <c r="H12" s="731"/>
      <c r="I12" s="728">
        <v>50913</v>
      </c>
      <c r="J12" s="728">
        <v>1119791</v>
      </c>
      <c r="K12" s="728">
        <v>371043</v>
      </c>
      <c r="L12" s="731">
        <v>179168</v>
      </c>
      <c r="M12" s="731"/>
      <c r="N12" s="728">
        <v>76835</v>
      </c>
      <c r="O12" s="728">
        <v>801946</v>
      </c>
      <c r="P12" s="728">
        <v>0</v>
      </c>
      <c r="Q12" s="731">
        <v>168745</v>
      </c>
      <c r="R12" s="731"/>
      <c r="S12" s="728">
        <v>632923</v>
      </c>
      <c r="T12" s="732">
        <v>5366</v>
      </c>
      <c r="U12" s="732">
        <v>638288</v>
      </c>
    </row>
    <row r="13" spans="1:21" x14ac:dyDescent="0.25">
      <c r="A13" s="729">
        <v>10930</v>
      </c>
      <c r="B13" s="727" t="s">
        <v>783</v>
      </c>
      <c r="C13" s="730">
        <v>2.7759999999999998E-3</v>
      </c>
      <c r="D13" s="730">
        <v>2.5428E-3</v>
      </c>
      <c r="E13" s="728">
        <v>23370959</v>
      </c>
      <c r="F13" s="731">
        <v>22026008</v>
      </c>
      <c r="G13" s="728">
        <f>VLOOKUP(A13,'[3]TSERS Contributions FY 2017'!$A$2:$C$290,3,FALSE)</f>
        <v>4598709</v>
      </c>
      <c r="H13" s="731"/>
      <c r="I13" s="728">
        <v>477483</v>
      </c>
      <c r="J13" s="728">
        <v>10501822</v>
      </c>
      <c r="K13" s="728">
        <v>3479777</v>
      </c>
      <c r="L13" s="731">
        <v>2019201</v>
      </c>
      <c r="M13" s="731"/>
      <c r="N13" s="728">
        <v>720586</v>
      </c>
      <c r="O13" s="728">
        <v>7520956</v>
      </c>
      <c r="P13" s="728">
        <v>0</v>
      </c>
      <c r="Q13" s="731">
        <v>61678</v>
      </c>
      <c r="R13" s="731"/>
      <c r="S13" s="728">
        <v>5935788</v>
      </c>
      <c r="T13" s="732">
        <v>766511</v>
      </c>
      <c r="U13" s="732">
        <v>6702299</v>
      </c>
    </row>
    <row r="14" spans="1:21" x14ac:dyDescent="0.25">
      <c r="A14" s="729">
        <v>10940</v>
      </c>
      <c r="B14" s="727" t="s">
        <v>784</v>
      </c>
      <c r="C14" s="730">
        <v>6.9059999999999998E-4</v>
      </c>
      <c r="D14" s="730">
        <v>6.9930000000000003E-4</v>
      </c>
      <c r="E14" s="728">
        <v>6427289</v>
      </c>
      <c r="F14" s="731">
        <v>5479525</v>
      </c>
      <c r="G14" s="728">
        <f>VLOOKUP(A14,'[3]TSERS Contributions FY 2017'!$A$2:$C$290,3,FALSE)</f>
        <v>1160612</v>
      </c>
      <c r="H14" s="731"/>
      <c r="I14" s="728">
        <v>118786</v>
      </c>
      <c r="J14" s="728">
        <v>2612593</v>
      </c>
      <c r="K14" s="728">
        <v>865682</v>
      </c>
      <c r="L14" s="731">
        <v>122737</v>
      </c>
      <c r="M14" s="731"/>
      <c r="N14" s="728">
        <v>179264</v>
      </c>
      <c r="O14" s="728">
        <v>1871027</v>
      </c>
      <c r="P14" s="728">
        <v>0</v>
      </c>
      <c r="Q14" s="731">
        <v>216275</v>
      </c>
      <c r="R14" s="731"/>
      <c r="S14" s="728">
        <v>1476677</v>
      </c>
      <c r="T14" s="732">
        <v>-99529</v>
      </c>
      <c r="U14" s="732">
        <v>1377148</v>
      </c>
    </row>
    <row r="15" spans="1:21" x14ac:dyDescent="0.25">
      <c r="A15" s="729">
        <v>10950</v>
      </c>
      <c r="B15" s="727" t="s">
        <v>785</v>
      </c>
      <c r="C15" s="730">
        <v>6.625E-4</v>
      </c>
      <c r="D15" s="730">
        <v>6.8150000000000003E-4</v>
      </c>
      <c r="E15" s="728">
        <v>6263689</v>
      </c>
      <c r="F15" s="731">
        <v>5256567</v>
      </c>
      <c r="G15" s="728">
        <f>VLOOKUP(A15,'[3]TSERS Contributions FY 2017'!$A$2:$C$290,3,FALSE)</f>
        <v>1035714</v>
      </c>
      <c r="H15" s="731"/>
      <c r="I15" s="728">
        <v>113952.65</v>
      </c>
      <c r="J15" s="728">
        <v>2506289</v>
      </c>
      <c r="K15" s="728">
        <v>830458</v>
      </c>
      <c r="L15" s="731">
        <v>147069</v>
      </c>
      <c r="M15" s="731"/>
      <c r="N15" s="728">
        <v>171970</v>
      </c>
      <c r="O15" s="728">
        <v>1794897</v>
      </c>
      <c r="P15" s="728">
        <v>0</v>
      </c>
      <c r="Q15" s="731">
        <v>7717</v>
      </c>
      <c r="R15" s="731"/>
      <c r="S15" s="728">
        <v>1416591.95</v>
      </c>
      <c r="T15" s="732">
        <v>107540</v>
      </c>
      <c r="U15" s="732">
        <v>1524132</v>
      </c>
    </row>
    <row r="16" spans="1:21" x14ac:dyDescent="0.25">
      <c r="A16" s="729">
        <v>11300</v>
      </c>
      <c r="B16" s="727" t="s">
        <v>786</v>
      </c>
      <c r="C16" s="730">
        <v>4.8168999999999998E-3</v>
      </c>
      <c r="D16" s="730">
        <v>5.2521E-3</v>
      </c>
      <c r="E16" s="728">
        <v>48272224</v>
      </c>
      <c r="F16" s="731">
        <v>38219409</v>
      </c>
      <c r="G16" s="728">
        <f>VLOOKUP(A16,'[3]TSERS Contributions FY 2017'!$A$2:$C$290,3,FALSE)</f>
        <v>8092145</v>
      </c>
      <c r="H16" s="731"/>
      <c r="I16" s="728">
        <v>828526</v>
      </c>
      <c r="J16" s="728">
        <v>18222704</v>
      </c>
      <c r="K16" s="728">
        <v>6038090</v>
      </c>
      <c r="L16" s="731">
        <v>0</v>
      </c>
      <c r="M16" s="731"/>
      <c r="N16" s="728">
        <v>1250356</v>
      </c>
      <c r="O16" s="728">
        <v>13050321</v>
      </c>
      <c r="P16" s="728">
        <v>0</v>
      </c>
      <c r="Q16" s="731">
        <v>7414045</v>
      </c>
      <c r="R16" s="731"/>
      <c r="S16" s="728">
        <v>10299746</v>
      </c>
      <c r="T16" s="732">
        <v>-3074977</v>
      </c>
      <c r="U16" s="732">
        <v>7224769</v>
      </c>
    </row>
    <row r="17" spans="1:21" x14ac:dyDescent="0.25">
      <c r="A17" s="729">
        <v>11310</v>
      </c>
      <c r="B17" s="727" t="s">
        <v>787</v>
      </c>
      <c r="C17" s="730">
        <v>5.2360000000000004E-4</v>
      </c>
      <c r="D17" s="730">
        <v>5.0109999999999998E-4</v>
      </c>
      <c r="E17" s="728">
        <v>4605627</v>
      </c>
      <c r="F17" s="731">
        <v>4154473</v>
      </c>
      <c r="G17" s="728">
        <f>VLOOKUP(A17,'[3]TSERS Contributions FY 2017'!$A$2:$C$290,3,FALSE)</f>
        <v>861312</v>
      </c>
      <c r="H17" s="731"/>
      <c r="I17" s="728">
        <v>90061</v>
      </c>
      <c r="J17" s="728">
        <v>1980819</v>
      </c>
      <c r="K17" s="728">
        <v>656344</v>
      </c>
      <c r="L17" s="731">
        <v>199440</v>
      </c>
      <c r="M17" s="731"/>
      <c r="N17" s="728">
        <v>135915</v>
      </c>
      <c r="O17" s="728">
        <v>1418578</v>
      </c>
      <c r="P17" s="728">
        <v>0</v>
      </c>
      <c r="Q17" s="731">
        <v>0</v>
      </c>
      <c r="R17" s="731"/>
      <c r="S17" s="728">
        <v>1119589</v>
      </c>
      <c r="T17" s="732">
        <v>78530</v>
      </c>
      <c r="U17" s="732">
        <v>1198119</v>
      </c>
    </row>
    <row r="18" spans="1:21" x14ac:dyDescent="0.25">
      <c r="A18" s="729">
        <v>11600</v>
      </c>
      <c r="B18" s="727" t="s">
        <v>788</v>
      </c>
      <c r="C18" s="730">
        <v>2.1459000000000001E-3</v>
      </c>
      <c r="D18" s="730">
        <v>2.1102E-3</v>
      </c>
      <c r="E18" s="728">
        <v>19394918</v>
      </c>
      <c r="F18" s="731">
        <v>17026517</v>
      </c>
      <c r="G18" s="728">
        <f>VLOOKUP(A18,'[3]TSERS Contributions FY 2017'!$A$2:$C$290,3,FALSE)</f>
        <v>3102467</v>
      </c>
      <c r="H18" s="731"/>
      <c r="I18" s="728">
        <v>369103</v>
      </c>
      <c r="J18" s="728">
        <v>8118105</v>
      </c>
      <c r="K18" s="728">
        <v>2689933</v>
      </c>
      <c r="L18" s="731">
        <v>193358</v>
      </c>
      <c r="M18" s="731"/>
      <c r="N18" s="728">
        <v>557026</v>
      </c>
      <c r="O18" s="728">
        <v>5813840</v>
      </c>
      <c r="P18" s="728">
        <v>0</v>
      </c>
      <c r="Q18" s="731">
        <v>271189</v>
      </c>
      <c r="R18" s="731"/>
      <c r="S18" s="728">
        <v>4588475</v>
      </c>
      <c r="T18" s="732">
        <v>-32013</v>
      </c>
      <c r="U18" s="732">
        <v>4556462</v>
      </c>
    </row>
    <row r="19" spans="1:21" x14ac:dyDescent="0.25">
      <c r="A19" s="729">
        <v>11900</v>
      </c>
      <c r="B19" s="727" t="s">
        <v>789</v>
      </c>
      <c r="C19" s="730">
        <v>2.1550000000000001E-4</v>
      </c>
      <c r="D19" s="730">
        <v>2.4699999999999999E-4</v>
      </c>
      <c r="E19" s="728">
        <v>2270185</v>
      </c>
      <c r="F19" s="731">
        <v>1709872</v>
      </c>
      <c r="G19" s="728">
        <f>VLOOKUP(A19,'[3]TSERS Contributions FY 2017'!$A$2:$C$290,3,FALSE)</f>
        <v>310608</v>
      </c>
      <c r="H19" s="731"/>
      <c r="I19" s="728">
        <v>37067</v>
      </c>
      <c r="J19" s="728">
        <v>815253</v>
      </c>
      <c r="K19" s="728">
        <v>270134</v>
      </c>
      <c r="L19" s="731">
        <v>43196</v>
      </c>
      <c r="M19" s="731"/>
      <c r="N19" s="728">
        <v>55939</v>
      </c>
      <c r="O19" s="728">
        <v>583849</v>
      </c>
      <c r="P19" s="728">
        <v>0</v>
      </c>
      <c r="Q19" s="731">
        <v>139531</v>
      </c>
      <c r="R19" s="731"/>
      <c r="S19" s="728">
        <v>460793</v>
      </c>
      <c r="T19" s="732">
        <v>-32002</v>
      </c>
      <c r="U19" s="732">
        <v>428791</v>
      </c>
    </row>
    <row r="20" spans="1:21" x14ac:dyDescent="0.25">
      <c r="A20" s="729">
        <v>12100</v>
      </c>
      <c r="B20" s="727" t="s">
        <v>790</v>
      </c>
      <c r="C20" s="730">
        <v>2.677E-4</v>
      </c>
      <c r="D20" s="730">
        <v>2.6439999999999998E-4</v>
      </c>
      <c r="E20" s="728">
        <v>2430109</v>
      </c>
      <c r="F20" s="731">
        <v>2124050</v>
      </c>
      <c r="G20" s="728">
        <f>VLOOKUP(A20,'[3]TSERS Contributions FY 2017'!$A$2:$C$290,3,FALSE)</f>
        <v>402067</v>
      </c>
      <c r="H20" s="731"/>
      <c r="I20" s="728">
        <v>46045</v>
      </c>
      <c r="J20" s="728">
        <v>1012730</v>
      </c>
      <c r="K20" s="728">
        <v>335568</v>
      </c>
      <c r="L20" s="731">
        <v>136300</v>
      </c>
      <c r="M20" s="731"/>
      <c r="N20" s="728">
        <v>69489</v>
      </c>
      <c r="O20" s="728">
        <v>725274</v>
      </c>
      <c r="P20" s="728">
        <v>0</v>
      </c>
      <c r="Q20" s="731">
        <v>0</v>
      </c>
      <c r="R20" s="731"/>
      <c r="S20" s="728">
        <v>572410</v>
      </c>
      <c r="T20" s="732">
        <v>109304</v>
      </c>
      <c r="U20" s="732">
        <v>681714</v>
      </c>
    </row>
    <row r="21" spans="1:21" x14ac:dyDescent="0.25">
      <c r="A21" s="729">
        <v>12150</v>
      </c>
      <c r="B21" s="727" t="s">
        <v>791</v>
      </c>
      <c r="C21" s="730">
        <v>4.07E-5</v>
      </c>
      <c r="D21" s="730">
        <v>4.0200000000000001E-5</v>
      </c>
      <c r="E21" s="728">
        <v>369480</v>
      </c>
      <c r="F21" s="731">
        <v>322932</v>
      </c>
      <c r="G21" s="728">
        <f>VLOOKUP(A21,'[3]TSERS Contributions FY 2017'!$A$2:$C$290,3,FALSE)</f>
        <v>48546</v>
      </c>
      <c r="H21" s="731"/>
      <c r="I21" s="728">
        <v>7001</v>
      </c>
      <c r="J21" s="728">
        <v>153971</v>
      </c>
      <c r="K21" s="728">
        <v>51018</v>
      </c>
      <c r="L21" s="731">
        <v>16358</v>
      </c>
      <c r="M21" s="731"/>
      <c r="N21" s="728">
        <v>10565</v>
      </c>
      <c r="O21" s="728">
        <v>110268</v>
      </c>
      <c r="P21" s="728">
        <v>0</v>
      </c>
      <c r="Q21" s="731">
        <v>16462</v>
      </c>
      <c r="R21" s="731"/>
      <c r="S21" s="728">
        <v>87027</v>
      </c>
      <c r="T21" s="732">
        <v>5477</v>
      </c>
      <c r="U21" s="732">
        <v>92503</v>
      </c>
    </row>
    <row r="22" spans="1:21" x14ac:dyDescent="0.25">
      <c r="A22" s="729">
        <v>12160</v>
      </c>
      <c r="B22" s="727" t="s">
        <v>792</v>
      </c>
      <c r="C22" s="730">
        <v>1.8461E-3</v>
      </c>
      <c r="D22" s="730">
        <v>1.8841000000000001E-3</v>
      </c>
      <c r="E22" s="728">
        <v>17316825</v>
      </c>
      <c r="F22" s="731">
        <v>14647772</v>
      </c>
      <c r="G22" s="728">
        <f>VLOOKUP(A22,'[3]TSERS Contributions FY 2017'!$A$2:$C$290,3,FALSE)</f>
        <v>3074313</v>
      </c>
      <c r="H22" s="731"/>
      <c r="I22" s="728">
        <v>317537</v>
      </c>
      <c r="J22" s="728">
        <v>6983938</v>
      </c>
      <c r="K22" s="728">
        <v>2314127</v>
      </c>
      <c r="L22" s="731">
        <v>725720</v>
      </c>
      <c r="M22" s="731"/>
      <c r="N22" s="728">
        <v>479205</v>
      </c>
      <c r="O22" s="728">
        <v>5001598</v>
      </c>
      <c r="P22" s="728">
        <v>0</v>
      </c>
      <c r="Q22" s="731">
        <v>0</v>
      </c>
      <c r="R22" s="731"/>
      <c r="S22" s="728">
        <v>3947427</v>
      </c>
      <c r="T22" s="732">
        <v>443823</v>
      </c>
      <c r="U22" s="732">
        <v>4391250</v>
      </c>
    </row>
    <row r="23" spans="1:21" x14ac:dyDescent="0.25">
      <c r="A23" s="733">
        <v>12200</v>
      </c>
      <c r="B23" s="727" t="s">
        <v>1529</v>
      </c>
      <c r="C23" s="730">
        <v>3.8E-6</v>
      </c>
      <c r="D23" s="730">
        <v>0</v>
      </c>
      <c r="E23" s="728">
        <v>0</v>
      </c>
      <c r="F23" s="731">
        <v>30151</v>
      </c>
      <c r="G23" s="728">
        <v>0</v>
      </c>
      <c r="H23" s="731"/>
      <c r="I23" s="728">
        <v>654</v>
      </c>
      <c r="J23" s="728">
        <v>14376</v>
      </c>
      <c r="K23" s="728">
        <v>4763</v>
      </c>
      <c r="L23" s="731">
        <v>10136</v>
      </c>
      <c r="M23" s="731"/>
      <c r="N23" s="728">
        <v>986</v>
      </c>
      <c r="O23" s="728">
        <v>10295</v>
      </c>
      <c r="P23" s="728">
        <v>0</v>
      </c>
      <c r="Q23" s="731">
        <v>0</v>
      </c>
      <c r="R23" s="731"/>
      <c r="S23" s="728">
        <v>8125</v>
      </c>
      <c r="T23" s="732">
        <v>3379</v>
      </c>
      <c r="U23" s="732">
        <v>11504</v>
      </c>
    </row>
    <row r="24" spans="1:21" x14ac:dyDescent="0.25">
      <c r="A24" s="729">
        <v>12220</v>
      </c>
      <c r="B24" s="727" t="s">
        <v>793</v>
      </c>
      <c r="C24" s="730">
        <v>4.7928199999999997E-2</v>
      </c>
      <c r="D24" s="730">
        <v>4.7691699999999997E-2</v>
      </c>
      <c r="E24" s="728">
        <v>438335989</v>
      </c>
      <c r="F24" s="731">
        <v>380283475</v>
      </c>
      <c r="G24" s="728">
        <f>VLOOKUP(A24,'[3]TSERS Contributions FY 2017'!$A$2:$C$290,3,FALSE)</f>
        <v>76495429</v>
      </c>
      <c r="H24" s="731"/>
      <c r="I24" s="728">
        <v>8243842</v>
      </c>
      <c r="J24" s="728">
        <v>181316071</v>
      </c>
      <c r="K24" s="728">
        <v>60079053</v>
      </c>
      <c r="L24" s="731">
        <v>9037265</v>
      </c>
      <c r="M24" s="731"/>
      <c r="N24" s="728">
        <v>12441058</v>
      </c>
      <c r="O24" s="728">
        <v>129850818</v>
      </c>
      <c r="P24" s="728">
        <v>0</v>
      </c>
      <c r="Q24" s="731">
        <v>157091</v>
      </c>
      <c r="R24" s="731"/>
      <c r="S24" s="728">
        <v>102482570</v>
      </c>
      <c r="T24" s="732">
        <v>3932097</v>
      </c>
      <c r="U24" s="732">
        <v>106414666</v>
      </c>
    </row>
    <row r="25" spans="1:21" x14ac:dyDescent="0.25">
      <c r="A25" s="729">
        <v>12510</v>
      </c>
      <c r="B25" s="727" t="s">
        <v>794</v>
      </c>
      <c r="C25" s="730">
        <v>5.3429000000000003E-3</v>
      </c>
      <c r="D25" s="730">
        <v>5.4278E-3</v>
      </c>
      <c r="E25" s="728">
        <v>49887089</v>
      </c>
      <c r="F25" s="731">
        <v>42392925</v>
      </c>
      <c r="G25" s="728">
        <f>VLOOKUP(A25,'[3]TSERS Contributions FY 2017'!$A$2:$C$290,3,FALSE)</f>
        <v>9239274</v>
      </c>
      <c r="H25" s="731"/>
      <c r="I25" s="728">
        <v>919000</v>
      </c>
      <c r="J25" s="728">
        <v>20212602</v>
      </c>
      <c r="K25" s="728">
        <v>6697443</v>
      </c>
      <c r="L25" s="731">
        <v>1004682</v>
      </c>
      <c r="M25" s="731"/>
      <c r="N25" s="728">
        <v>1386894</v>
      </c>
      <c r="O25" s="728">
        <v>14475401</v>
      </c>
      <c r="P25" s="728">
        <v>0</v>
      </c>
      <c r="Q25" s="731">
        <v>636403</v>
      </c>
      <c r="R25" s="731"/>
      <c r="S25" s="728">
        <v>11424467</v>
      </c>
      <c r="T25" s="732">
        <v>11141</v>
      </c>
      <c r="U25" s="732">
        <v>11435608</v>
      </c>
    </row>
    <row r="26" spans="1:21" x14ac:dyDescent="0.25">
      <c r="A26" s="729">
        <v>12600</v>
      </c>
      <c r="B26" s="727" t="s">
        <v>795</v>
      </c>
      <c r="C26" s="730">
        <v>1.4484000000000001E-3</v>
      </c>
      <c r="D26" s="730">
        <v>1.4882000000000001E-3</v>
      </c>
      <c r="E26" s="728">
        <v>13678095</v>
      </c>
      <c r="F26" s="731">
        <v>11492244</v>
      </c>
      <c r="G26" s="728">
        <f>VLOOKUP(A26,'[3]TSERS Contributions FY 2017'!$A$2:$C$290,3,FALSE)</f>
        <v>2508412</v>
      </c>
      <c r="H26" s="731"/>
      <c r="I26" s="728">
        <v>249131</v>
      </c>
      <c r="J26" s="728">
        <v>5479409</v>
      </c>
      <c r="K26" s="728">
        <v>1815601</v>
      </c>
      <c r="L26" s="731">
        <v>296583</v>
      </c>
      <c r="M26" s="731"/>
      <c r="N26" s="728">
        <v>375971</v>
      </c>
      <c r="O26" s="728">
        <v>3924118</v>
      </c>
      <c r="P26" s="728">
        <v>0</v>
      </c>
      <c r="Q26" s="731">
        <v>14229</v>
      </c>
      <c r="R26" s="731"/>
      <c r="S26" s="728">
        <v>3097044</v>
      </c>
      <c r="T26" s="732">
        <v>94161</v>
      </c>
      <c r="U26" s="732">
        <v>3191205</v>
      </c>
    </row>
    <row r="27" spans="1:21" x14ac:dyDescent="0.25">
      <c r="A27" s="729">
        <v>12700</v>
      </c>
      <c r="B27" s="727" t="s">
        <v>796</v>
      </c>
      <c r="C27" s="730">
        <v>1.1355E-3</v>
      </c>
      <c r="D27" s="730">
        <v>1.1444999999999999E-3</v>
      </c>
      <c r="E27" s="728">
        <v>10519137</v>
      </c>
      <c r="F27" s="731">
        <v>9009558</v>
      </c>
      <c r="G27" s="728">
        <f>VLOOKUP(A27,'[3]TSERS Contributions FY 2017'!$A$2:$C$290,3,FALSE)</f>
        <v>1927194</v>
      </c>
      <c r="H27" s="731"/>
      <c r="I27" s="728">
        <v>195311</v>
      </c>
      <c r="J27" s="728">
        <v>4295684</v>
      </c>
      <c r="K27" s="728">
        <v>1423374</v>
      </c>
      <c r="L27" s="731">
        <v>244235</v>
      </c>
      <c r="M27" s="731"/>
      <c r="N27" s="728">
        <v>294750</v>
      </c>
      <c r="O27" s="728">
        <v>3076385</v>
      </c>
      <c r="P27" s="728">
        <v>0</v>
      </c>
      <c r="Q27" s="731">
        <v>27080</v>
      </c>
      <c r="R27" s="731"/>
      <c r="S27" s="728">
        <v>2427985</v>
      </c>
      <c r="T27" s="732">
        <v>66407</v>
      </c>
      <c r="U27" s="732">
        <v>2494392</v>
      </c>
    </row>
    <row r="28" spans="1:21" x14ac:dyDescent="0.25">
      <c r="A28" s="729">
        <v>13500</v>
      </c>
      <c r="B28" s="727" t="s">
        <v>797</v>
      </c>
      <c r="C28" s="730">
        <v>4.4362000000000004E-3</v>
      </c>
      <c r="D28" s="730">
        <v>4.3654999999999996E-3</v>
      </c>
      <c r="E28" s="728">
        <v>40123455</v>
      </c>
      <c r="F28" s="731">
        <v>35198767</v>
      </c>
      <c r="G28" s="728">
        <f>VLOOKUP(A28,'[3]TSERS Contributions FY 2017'!$A$2:$C$290,3,FALSE)</f>
        <v>6953792</v>
      </c>
      <c r="H28" s="731"/>
      <c r="I28" s="728">
        <v>763044</v>
      </c>
      <c r="J28" s="728">
        <v>16782486</v>
      </c>
      <c r="K28" s="728">
        <v>5560874</v>
      </c>
      <c r="L28" s="731">
        <v>1480174</v>
      </c>
      <c r="M28" s="731"/>
      <c r="N28" s="728">
        <v>1151535</v>
      </c>
      <c r="O28" s="728">
        <v>12018899</v>
      </c>
      <c r="P28" s="728">
        <v>0</v>
      </c>
      <c r="Q28" s="731">
        <v>0</v>
      </c>
      <c r="R28" s="731"/>
      <c r="S28" s="728">
        <v>9485714</v>
      </c>
      <c r="T28" s="732">
        <v>604676</v>
      </c>
      <c r="U28" s="732">
        <v>10090389</v>
      </c>
    </row>
    <row r="29" spans="1:21" x14ac:dyDescent="0.25">
      <c r="A29" s="729">
        <v>13700</v>
      </c>
      <c r="B29" s="727" t="s">
        <v>798</v>
      </c>
      <c r="C29" s="730">
        <v>4.7780000000000001E-4</v>
      </c>
      <c r="D29" s="730">
        <v>5.1610000000000002E-4</v>
      </c>
      <c r="E29" s="728">
        <v>4743492</v>
      </c>
      <c r="F29" s="731">
        <v>3791076</v>
      </c>
      <c r="G29" s="728">
        <f>VLOOKUP(A29,'[3]TSERS Contributions FY 2017'!$A$2:$C$290,3,FALSE)</f>
        <v>819024</v>
      </c>
      <c r="H29" s="731"/>
      <c r="I29" s="728">
        <v>82184</v>
      </c>
      <c r="J29" s="728">
        <v>1807554</v>
      </c>
      <c r="K29" s="728">
        <v>598933</v>
      </c>
      <c r="L29" s="731">
        <v>16232</v>
      </c>
      <c r="M29" s="731"/>
      <c r="N29" s="728">
        <v>124026</v>
      </c>
      <c r="O29" s="728">
        <v>1294493</v>
      </c>
      <c r="P29" s="728">
        <v>0</v>
      </c>
      <c r="Q29" s="731">
        <v>89385</v>
      </c>
      <c r="R29" s="731"/>
      <c r="S29" s="728">
        <v>1021657</v>
      </c>
      <c r="T29" s="732">
        <v>-29529</v>
      </c>
      <c r="U29" s="732">
        <v>992128</v>
      </c>
    </row>
    <row r="30" spans="1:21" x14ac:dyDescent="0.25">
      <c r="A30" s="729">
        <v>14200</v>
      </c>
      <c r="B30" s="727" t="s">
        <v>799</v>
      </c>
      <c r="C30" s="730">
        <v>0</v>
      </c>
      <c r="D30" s="730">
        <v>0</v>
      </c>
      <c r="E30" s="728">
        <v>0</v>
      </c>
      <c r="F30" s="731">
        <v>0</v>
      </c>
      <c r="G30" s="728">
        <v>0</v>
      </c>
      <c r="H30" s="731"/>
      <c r="I30" s="728">
        <v>0</v>
      </c>
      <c r="J30" s="728">
        <v>0</v>
      </c>
      <c r="K30" s="728">
        <v>0</v>
      </c>
      <c r="L30" s="731">
        <v>0</v>
      </c>
      <c r="M30" s="731"/>
      <c r="N30" s="728">
        <v>0</v>
      </c>
      <c r="O30" s="728">
        <v>0</v>
      </c>
      <c r="P30" s="728">
        <v>0</v>
      </c>
      <c r="Q30" s="731">
        <v>2003</v>
      </c>
      <c r="R30" s="731"/>
      <c r="S30" s="728">
        <v>0</v>
      </c>
      <c r="T30" s="732">
        <v>-2535</v>
      </c>
      <c r="U30" s="732">
        <v>-2535</v>
      </c>
    </row>
    <row r="31" spans="1:21" x14ac:dyDescent="0.25">
      <c r="A31" s="729">
        <v>14300</v>
      </c>
      <c r="B31" s="727" t="s">
        <v>1146</v>
      </c>
      <c r="C31" s="730">
        <v>1.6612E-3</v>
      </c>
      <c r="D31" s="730">
        <v>1.4986999999999999E-3</v>
      </c>
      <c r="E31" s="728">
        <v>13774601</v>
      </c>
      <c r="F31" s="731">
        <v>13180693</v>
      </c>
      <c r="G31" s="728">
        <f>VLOOKUP(A31,'[3]TSERS Contributions FY 2017'!$A$2:$C$290,3,FALSE)</f>
        <v>2740607</v>
      </c>
      <c r="H31" s="731"/>
      <c r="I31" s="728">
        <v>285733</v>
      </c>
      <c r="J31" s="728">
        <v>6284448</v>
      </c>
      <c r="K31" s="728">
        <v>2082351</v>
      </c>
      <c r="L31" s="731">
        <v>1024384</v>
      </c>
      <c r="M31" s="731"/>
      <c r="N31" s="728">
        <v>431209</v>
      </c>
      <c r="O31" s="728">
        <v>4500653</v>
      </c>
      <c r="P31" s="728">
        <v>0</v>
      </c>
      <c r="Q31" s="731">
        <v>14005</v>
      </c>
      <c r="R31" s="731"/>
      <c r="S31" s="728">
        <v>3552064</v>
      </c>
      <c r="T31" s="732">
        <v>359109</v>
      </c>
      <c r="U31" s="732">
        <v>3911173</v>
      </c>
    </row>
    <row r="32" spans="1:21" x14ac:dyDescent="0.25">
      <c r="A32" s="729">
        <v>14300.2</v>
      </c>
      <c r="B32" s="727" t="s">
        <v>1147</v>
      </c>
      <c r="C32" s="730">
        <v>1.9479999999999999E-4</v>
      </c>
      <c r="D32" s="730">
        <v>1.694E-4</v>
      </c>
      <c r="E32" s="728">
        <v>1556961</v>
      </c>
      <c r="F32" s="731">
        <v>1545629</v>
      </c>
      <c r="G32" s="728">
        <v>0</v>
      </c>
      <c r="H32" s="731"/>
      <c r="I32" s="728">
        <v>33506</v>
      </c>
      <c r="J32" s="728">
        <v>736943</v>
      </c>
      <c r="K32" s="728">
        <v>244186</v>
      </c>
      <c r="L32" s="731">
        <v>135336</v>
      </c>
      <c r="M32" s="731"/>
      <c r="N32" s="728">
        <v>50566</v>
      </c>
      <c r="O32" s="728">
        <v>527767</v>
      </c>
      <c r="P32" s="728">
        <v>0</v>
      </c>
      <c r="Q32" s="731">
        <v>24341</v>
      </c>
      <c r="R32" s="731"/>
      <c r="S32" s="728">
        <v>416531</v>
      </c>
      <c r="T32" s="732">
        <v>35202</v>
      </c>
      <c r="U32" s="732">
        <v>451734</v>
      </c>
    </row>
    <row r="33" spans="1:21" x14ac:dyDescent="0.25">
      <c r="A33" s="729">
        <v>18400</v>
      </c>
      <c r="B33" s="727" t="s">
        <v>801</v>
      </c>
      <c r="C33" s="730">
        <v>5.5510999999999998E-3</v>
      </c>
      <c r="D33" s="730">
        <v>5.6007000000000001E-3</v>
      </c>
      <c r="E33" s="728">
        <v>51476219</v>
      </c>
      <c r="F33" s="731">
        <v>44044875</v>
      </c>
      <c r="G33" s="728">
        <f>VLOOKUP(A33,'[3]TSERS Contributions FY 2017'!$A$2:$C$290,3,FALSE)</f>
        <v>8978292</v>
      </c>
      <c r="H33" s="731"/>
      <c r="I33" s="728">
        <v>954811</v>
      </c>
      <c r="J33" s="728">
        <v>21000239</v>
      </c>
      <c r="K33" s="728">
        <v>6958426</v>
      </c>
      <c r="L33" s="731">
        <v>1070047</v>
      </c>
      <c r="M33" s="731"/>
      <c r="N33" s="728">
        <v>1440938</v>
      </c>
      <c r="O33" s="728">
        <v>15039473</v>
      </c>
      <c r="P33" s="728">
        <v>0</v>
      </c>
      <c r="Q33" s="731">
        <v>0</v>
      </c>
      <c r="R33" s="731"/>
      <c r="S33" s="728">
        <v>11869651</v>
      </c>
      <c r="T33" s="732">
        <v>577002</v>
      </c>
      <c r="U33" s="732">
        <v>12446653</v>
      </c>
    </row>
    <row r="34" spans="1:21" x14ac:dyDescent="0.25">
      <c r="A34" s="729">
        <v>18600</v>
      </c>
      <c r="B34" s="727" t="s">
        <v>802</v>
      </c>
      <c r="C34" s="730">
        <v>1.56E-5</v>
      </c>
      <c r="D34" s="730">
        <v>2.19E-5</v>
      </c>
      <c r="E34" s="728">
        <v>201284</v>
      </c>
      <c r="F34" s="731">
        <v>123777</v>
      </c>
      <c r="G34" s="728">
        <f>VLOOKUP(A34,'[3]TSERS Contributions FY 2017'!$A$2:$C$290,3,FALSE)</f>
        <v>25220</v>
      </c>
      <c r="H34" s="731"/>
      <c r="I34" s="728">
        <v>2683</v>
      </c>
      <c r="J34" s="728">
        <v>59016</v>
      </c>
      <c r="K34" s="728">
        <v>19555</v>
      </c>
      <c r="L34" s="731">
        <v>11347</v>
      </c>
      <c r="M34" s="731"/>
      <c r="N34" s="728">
        <v>4049</v>
      </c>
      <c r="O34" s="728">
        <v>42265</v>
      </c>
      <c r="P34" s="728">
        <v>0</v>
      </c>
      <c r="Q34" s="731">
        <v>28117</v>
      </c>
      <c r="R34" s="731"/>
      <c r="S34" s="728">
        <v>33357</v>
      </c>
      <c r="T34" s="732">
        <v>-5636</v>
      </c>
      <c r="U34" s="732">
        <v>27721</v>
      </c>
    </row>
    <row r="35" spans="1:21" x14ac:dyDescent="0.25">
      <c r="A35" s="729">
        <v>18640</v>
      </c>
      <c r="B35" s="727" t="s">
        <v>803</v>
      </c>
      <c r="C35" s="730">
        <v>0</v>
      </c>
      <c r="D35" s="730">
        <v>0</v>
      </c>
      <c r="E35" s="728">
        <v>0</v>
      </c>
      <c r="F35" s="731">
        <v>0</v>
      </c>
      <c r="G35" s="728">
        <f>VLOOKUP(A35,'[3]TSERS Contributions FY 2017'!$A$2:$C$290,3,FALSE)</f>
        <v>499</v>
      </c>
      <c r="H35" s="731"/>
      <c r="I35" s="728">
        <v>0</v>
      </c>
      <c r="J35" s="728">
        <v>0</v>
      </c>
      <c r="K35" s="728">
        <v>0</v>
      </c>
      <c r="L35" s="731">
        <v>373.875</v>
      </c>
      <c r="M35" s="731"/>
      <c r="N35" s="728">
        <v>0</v>
      </c>
      <c r="O35" s="728">
        <v>0</v>
      </c>
      <c r="P35" s="728">
        <v>0</v>
      </c>
      <c r="Q35" s="731">
        <v>5490</v>
      </c>
      <c r="R35" s="731"/>
      <c r="S35" s="728">
        <v>0</v>
      </c>
      <c r="T35" s="732">
        <v>-4634</v>
      </c>
      <c r="U35" s="732">
        <v>-4634</v>
      </c>
    </row>
    <row r="36" spans="1:21" x14ac:dyDescent="0.25">
      <c r="A36" s="729">
        <v>18670</v>
      </c>
      <c r="B36" s="727" t="s">
        <v>804</v>
      </c>
      <c r="C36" s="730">
        <v>0</v>
      </c>
      <c r="D36" s="730">
        <v>0</v>
      </c>
      <c r="E36" s="728">
        <v>0</v>
      </c>
      <c r="F36" s="731">
        <v>0</v>
      </c>
      <c r="G36" s="728">
        <v>0</v>
      </c>
      <c r="H36" s="731"/>
      <c r="I36" s="728">
        <v>0</v>
      </c>
      <c r="J36" s="728">
        <v>0</v>
      </c>
      <c r="K36" s="728">
        <v>0</v>
      </c>
      <c r="L36" s="731">
        <v>0</v>
      </c>
      <c r="M36" s="731"/>
      <c r="N36" s="728">
        <v>0</v>
      </c>
      <c r="O36" s="728">
        <v>0</v>
      </c>
      <c r="P36" s="728">
        <v>0</v>
      </c>
      <c r="Q36" s="731">
        <v>7783</v>
      </c>
      <c r="R36" s="731"/>
      <c r="S36" s="728">
        <v>0</v>
      </c>
      <c r="T36" s="732">
        <v>-5591</v>
      </c>
      <c r="U36" s="732">
        <v>-5591</v>
      </c>
    </row>
    <row r="37" spans="1:21" x14ac:dyDescent="0.25">
      <c r="A37" s="729">
        <v>18690</v>
      </c>
      <c r="B37" s="727" t="s">
        <v>805</v>
      </c>
      <c r="C37" s="730">
        <v>0</v>
      </c>
      <c r="D37" s="730">
        <v>5.2000000000000002E-6</v>
      </c>
      <c r="E37" s="728">
        <v>47793</v>
      </c>
      <c r="F37" s="731">
        <v>0</v>
      </c>
      <c r="G37" s="728">
        <f>VLOOKUP(A37,'[3]TSERS Contributions FY 2017'!$A$2:$C$290,3,FALSE)</f>
        <v>6267</v>
      </c>
      <c r="H37" s="731"/>
      <c r="I37" s="728">
        <v>0</v>
      </c>
      <c r="J37" s="728">
        <v>0</v>
      </c>
      <c r="K37" s="728">
        <v>0</v>
      </c>
      <c r="L37" s="731">
        <v>4918</v>
      </c>
      <c r="M37" s="731"/>
      <c r="N37" s="728">
        <v>0</v>
      </c>
      <c r="O37" s="728">
        <v>0</v>
      </c>
      <c r="P37" s="728">
        <v>0</v>
      </c>
      <c r="Q37" s="731">
        <v>18739</v>
      </c>
      <c r="R37" s="731"/>
      <c r="S37" s="728">
        <v>0</v>
      </c>
      <c r="T37" s="732">
        <v>-572</v>
      </c>
      <c r="U37" s="732">
        <v>-572</v>
      </c>
    </row>
    <row r="38" spans="1:21" x14ac:dyDescent="0.25">
      <c r="A38" s="729">
        <v>18740</v>
      </c>
      <c r="B38" s="727" t="s">
        <v>806</v>
      </c>
      <c r="C38" s="730">
        <v>8.3000000000000002E-6</v>
      </c>
      <c r="D38" s="730">
        <v>7.7999999999999999E-6</v>
      </c>
      <c r="E38" s="728">
        <v>71690</v>
      </c>
      <c r="F38" s="731">
        <v>65856</v>
      </c>
      <c r="G38" s="728">
        <f>VLOOKUP(A38,'[3]TSERS Contributions FY 2017'!$A$2:$C$290,3,FALSE)</f>
        <v>12973</v>
      </c>
      <c r="H38" s="731"/>
      <c r="I38" s="728">
        <v>1428</v>
      </c>
      <c r="J38" s="728">
        <v>31400</v>
      </c>
      <c r="K38" s="728">
        <v>10404</v>
      </c>
      <c r="L38" s="731">
        <v>6297</v>
      </c>
      <c r="M38" s="731"/>
      <c r="N38" s="728">
        <v>2154</v>
      </c>
      <c r="O38" s="728">
        <v>22487</v>
      </c>
      <c r="P38" s="728">
        <v>0</v>
      </c>
      <c r="Q38" s="731">
        <v>575</v>
      </c>
      <c r="R38" s="731"/>
      <c r="S38" s="728">
        <v>17747</v>
      </c>
      <c r="T38" s="732">
        <v>2095</v>
      </c>
      <c r="U38" s="732">
        <v>19842</v>
      </c>
    </row>
    <row r="39" spans="1:21" x14ac:dyDescent="0.25">
      <c r="A39" s="729">
        <v>18780</v>
      </c>
      <c r="B39" s="727" t="s">
        <v>807</v>
      </c>
      <c r="C39" s="730">
        <v>1.3200000000000001E-5</v>
      </c>
      <c r="D39" s="730">
        <v>1.5500000000000001E-5</v>
      </c>
      <c r="E39" s="728">
        <v>142461</v>
      </c>
      <c r="F39" s="731">
        <v>104735</v>
      </c>
      <c r="G39" s="728">
        <f>VLOOKUP(A39,'[3]TSERS Contributions FY 2017'!$A$2:$C$290,3,FALSE)</f>
        <v>24764</v>
      </c>
      <c r="H39" s="731"/>
      <c r="I39" s="728">
        <v>2270</v>
      </c>
      <c r="J39" s="728">
        <v>49937</v>
      </c>
      <c r="K39" s="728">
        <v>16546</v>
      </c>
      <c r="L39" s="731">
        <v>12776</v>
      </c>
      <c r="M39" s="731"/>
      <c r="N39" s="728">
        <v>3426</v>
      </c>
      <c r="O39" s="728">
        <v>35762</v>
      </c>
      <c r="P39" s="728">
        <v>0</v>
      </c>
      <c r="Q39" s="731">
        <v>4252</v>
      </c>
      <c r="R39" s="731"/>
      <c r="S39" s="728">
        <v>28225</v>
      </c>
      <c r="T39" s="732">
        <v>6810</v>
      </c>
      <c r="U39" s="732">
        <v>35035</v>
      </c>
    </row>
    <row r="40" spans="1:21" x14ac:dyDescent="0.25">
      <c r="A40" s="729">
        <v>19005</v>
      </c>
      <c r="B40" s="727" t="s">
        <v>808</v>
      </c>
      <c r="C40" s="730">
        <v>7.7510000000000003E-4</v>
      </c>
      <c r="D40" s="730">
        <v>7.7099999999999998E-4</v>
      </c>
      <c r="E40" s="728">
        <v>7086286</v>
      </c>
      <c r="F40" s="731">
        <v>6149985</v>
      </c>
      <c r="G40" s="728">
        <f>VLOOKUP(A40,'[3]TSERS Contributions FY 2017'!$A$2:$C$290,3,FALSE)</f>
        <v>1362086</v>
      </c>
      <c r="H40" s="731"/>
      <c r="I40" s="728">
        <v>133320</v>
      </c>
      <c r="J40" s="728">
        <v>2932263</v>
      </c>
      <c r="K40" s="728">
        <v>971605</v>
      </c>
      <c r="L40" s="731">
        <v>299753</v>
      </c>
      <c r="M40" s="731"/>
      <c r="N40" s="728">
        <v>201198</v>
      </c>
      <c r="O40" s="728">
        <v>2099961</v>
      </c>
      <c r="P40" s="728">
        <v>0</v>
      </c>
      <c r="Q40" s="731">
        <v>0</v>
      </c>
      <c r="R40" s="731"/>
      <c r="S40" s="728">
        <v>1657359</v>
      </c>
      <c r="T40" s="732">
        <v>129253</v>
      </c>
      <c r="U40" s="732">
        <v>1786612</v>
      </c>
    </row>
    <row r="41" spans="1:21" x14ac:dyDescent="0.25">
      <c r="A41" s="729">
        <v>19100</v>
      </c>
      <c r="B41" s="727" t="s">
        <v>809</v>
      </c>
      <c r="C41" s="730">
        <v>6.9808099999999998E-2</v>
      </c>
      <c r="D41" s="730">
        <v>6.9063399999999997E-2</v>
      </c>
      <c r="E41" s="728">
        <v>634763988</v>
      </c>
      <c r="F41" s="731">
        <v>553888251</v>
      </c>
      <c r="G41" s="728">
        <f>VLOOKUP(A41,'[3]TSERS Contributions FY 2017'!$A$2:$C$290,3,FALSE)</f>
        <v>103912459</v>
      </c>
      <c r="H41" s="731"/>
      <c r="I41" s="728">
        <v>12007272</v>
      </c>
      <c r="J41" s="728">
        <v>264089418</v>
      </c>
      <c r="K41" s="728">
        <v>87505989</v>
      </c>
      <c r="L41" s="731">
        <v>7370521</v>
      </c>
      <c r="M41" s="731"/>
      <c r="N41" s="728">
        <v>18120577</v>
      </c>
      <c r="O41" s="728">
        <v>189129550</v>
      </c>
      <c r="P41" s="728">
        <v>0</v>
      </c>
      <c r="Q41" s="731">
        <v>2525557</v>
      </c>
      <c r="R41" s="731"/>
      <c r="S41" s="728">
        <v>149267309</v>
      </c>
      <c r="T41" s="732">
        <v>903585</v>
      </c>
      <c r="U41" s="732">
        <v>150170895</v>
      </c>
    </row>
    <row r="42" spans="1:21" x14ac:dyDescent="0.25">
      <c r="A42" s="729">
        <v>20100</v>
      </c>
      <c r="B42" s="727" t="s">
        <v>810</v>
      </c>
      <c r="C42" s="730">
        <v>6.2049000000000002E-3</v>
      </c>
      <c r="D42" s="730">
        <v>5.9985000000000004E-3</v>
      </c>
      <c r="E42" s="728">
        <v>55132411</v>
      </c>
      <c r="F42" s="731">
        <v>49232413</v>
      </c>
      <c r="G42" s="728">
        <f>VLOOKUP(A42,'[3]TSERS Contributions FY 2017'!$A$2:$C$290,3,FALSE)</f>
        <v>8943397</v>
      </c>
      <c r="H42" s="731"/>
      <c r="I42" s="728">
        <v>1067268</v>
      </c>
      <c r="J42" s="728">
        <v>23473614</v>
      </c>
      <c r="K42" s="728">
        <v>7777979</v>
      </c>
      <c r="L42" s="731">
        <v>1916790</v>
      </c>
      <c r="M42" s="731"/>
      <c r="N42" s="728">
        <v>1610649</v>
      </c>
      <c r="O42" s="728">
        <v>16810799</v>
      </c>
      <c r="P42" s="728">
        <v>0</v>
      </c>
      <c r="Q42" s="731">
        <v>0</v>
      </c>
      <c r="R42" s="731"/>
      <c r="S42" s="728">
        <v>13267640</v>
      </c>
      <c r="T42" s="732">
        <v>908440</v>
      </c>
      <c r="U42" s="732">
        <v>14176080</v>
      </c>
    </row>
    <row r="43" spans="1:21" x14ac:dyDescent="0.25">
      <c r="A43" s="729">
        <v>20200</v>
      </c>
      <c r="B43" s="727" t="s">
        <v>811</v>
      </c>
      <c r="C43" s="730">
        <v>8.229E-4</v>
      </c>
      <c r="D43" s="730">
        <v>8.2930000000000005E-4</v>
      </c>
      <c r="E43" s="728">
        <v>7622124</v>
      </c>
      <c r="F43" s="731">
        <v>6529251</v>
      </c>
      <c r="G43" s="728">
        <f>VLOOKUP(A43,'[3]TSERS Contributions FY 2017'!$A$2:$C$290,3,FALSE)</f>
        <v>1359983</v>
      </c>
      <c r="H43" s="731"/>
      <c r="I43" s="728">
        <v>141542</v>
      </c>
      <c r="J43" s="728">
        <v>3113094</v>
      </c>
      <c r="K43" s="728">
        <v>1031523</v>
      </c>
      <c r="L43" s="731">
        <v>315798</v>
      </c>
      <c r="M43" s="731"/>
      <c r="N43" s="728">
        <v>213606</v>
      </c>
      <c r="O43" s="728">
        <v>2229465</v>
      </c>
      <c r="P43" s="728">
        <v>0</v>
      </c>
      <c r="Q43" s="731">
        <v>0</v>
      </c>
      <c r="R43" s="731"/>
      <c r="S43" s="728">
        <v>1759568</v>
      </c>
      <c r="T43" s="732">
        <v>145624</v>
      </c>
      <c r="U43" s="732">
        <v>1905192</v>
      </c>
    </row>
    <row r="44" spans="1:21" x14ac:dyDescent="0.25">
      <c r="A44" s="729">
        <v>20300</v>
      </c>
      <c r="B44" s="727" t="s">
        <v>812</v>
      </c>
      <c r="C44" s="730">
        <v>1.38227E-2</v>
      </c>
      <c r="D44" s="730">
        <v>1.3350000000000001E-2</v>
      </c>
      <c r="E44" s="728">
        <v>122700291</v>
      </c>
      <c r="F44" s="731">
        <v>109675398</v>
      </c>
      <c r="G44" s="728">
        <f>VLOOKUP(A44,'[3]TSERS Contributions FY 2017'!$A$2:$C$290,3,FALSE)</f>
        <v>19890081</v>
      </c>
      <c r="H44" s="731"/>
      <c r="I44" s="728">
        <v>2377560</v>
      </c>
      <c r="J44" s="728">
        <v>52292338</v>
      </c>
      <c r="K44" s="728">
        <v>17327059</v>
      </c>
      <c r="L44" s="731">
        <v>2479259</v>
      </c>
      <c r="M44" s="731"/>
      <c r="N44" s="728">
        <v>3588055</v>
      </c>
      <c r="O44" s="728">
        <v>37449537</v>
      </c>
      <c r="P44" s="728">
        <v>0</v>
      </c>
      <c r="Q44" s="731">
        <v>359337</v>
      </c>
      <c r="R44" s="731"/>
      <c r="S44" s="728">
        <v>29556416</v>
      </c>
      <c r="T44" s="732">
        <v>1148616</v>
      </c>
      <c r="U44" s="732">
        <v>30705032</v>
      </c>
    </row>
    <row r="45" spans="1:21" x14ac:dyDescent="0.25">
      <c r="A45" s="729">
        <v>20400</v>
      </c>
      <c r="B45" s="727" t="s">
        <v>813</v>
      </c>
      <c r="C45" s="730">
        <v>9.9360000000000008E-4</v>
      </c>
      <c r="D45" s="730">
        <v>1.0759999999999999E-3</v>
      </c>
      <c r="E45" s="728">
        <v>9889552</v>
      </c>
      <c r="F45" s="731">
        <v>7883661</v>
      </c>
      <c r="G45" s="728">
        <f>VLOOKUP(A45,'[3]TSERS Contributions FY 2017'!$A$2:$C$290,3,FALSE)</f>
        <v>1638502</v>
      </c>
      <c r="H45" s="731"/>
      <c r="I45" s="728">
        <v>170903</v>
      </c>
      <c r="J45" s="728">
        <v>3758865</v>
      </c>
      <c r="K45" s="728">
        <v>1245499</v>
      </c>
      <c r="L45" s="731">
        <v>0</v>
      </c>
      <c r="M45" s="731"/>
      <c r="N45" s="728">
        <v>257916</v>
      </c>
      <c r="O45" s="728">
        <v>2691939</v>
      </c>
      <c r="P45" s="728">
        <v>0</v>
      </c>
      <c r="Q45" s="731">
        <v>981343</v>
      </c>
      <c r="R45" s="731"/>
      <c r="S45" s="728">
        <v>2124567</v>
      </c>
      <c r="T45" s="732">
        <v>-665958</v>
      </c>
      <c r="U45" s="732">
        <v>1458609</v>
      </c>
    </row>
    <row r="46" spans="1:21" x14ac:dyDescent="0.25">
      <c r="A46" s="729">
        <v>20600</v>
      </c>
      <c r="B46" s="727" t="s">
        <v>814</v>
      </c>
      <c r="C46" s="730">
        <v>2.0533000000000001E-3</v>
      </c>
      <c r="D46" s="730">
        <v>1.9053E-3</v>
      </c>
      <c r="E46" s="728">
        <v>17511675</v>
      </c>
      <c r="F46" s="731">
        <v>16291788</v>
      </c>
      <c r="G46" s="728">
        <f>VLOOKUP(A46,'[3]TSERS Contributions FY 2017'!$A$2:$C$290,3,FALSE)</f>
        <v>3188019</v>
      </c>
      <c r="H46" s="731"/>
      <c r="I46" s="728">
        <v>353176</v>
      </c>
      <c r="J46" s="728">
        <v>7767792</v>
      </c>
      <c r="K46" s="728">
        <v>2573857</v>
      </c>
      <c r="L46" s="731">
        <v>736714</v>
      </c>
      <c r="M46" s="731"/>
      <c r="N46" s="728">
        <v>532989</v>
      </c>
      <c r="O46" s="728">
        <v>5562961</v>
      </c>
      <c r="P46" s="728">
        <v>0</v>
      </c>
      <c r="Q46" s="731">
        <v>190989</v>
      </c>
      <c r="R46" s="731"/>
      <c r="S46" s="728">
        <v>4390473</v>
      </c>
      <c r="T46" s="732">
        <v>141935</v>
      </c>
      <c r="U46" s="732">
        <v>4532408</v>
      </c>
    </row>
    <row r="47" spans="1:21" x14ac:dyDescent="0.25">
      <c r="A47" s="729">
        <v>20700</v>
      </c>
      <c r="B47" s="727" t="s">
        <v>815</v>
      </c>
      <c r="C47" s="730">
        <v>4.0467999999999997E-3</v>
      </c>
      <c r="D47" s="730">
        <v>4.0360999999999999E-3</v>
      </c>
      <c r="E47" s="728">
        <v>37095928</v>
      </c>
      <c r="F47" s="731">
        <v>32109096</v>
      </c>
      <c r="G47" s="728">
        <f>VLOOKUP(A47,'[3]TSERS Contributions FY 2017'!$A$2:$C$290,3,FALSE)</f>
        <v>6632723</v>
      </c>
      <c r="H47" s="731"/>
      <c r="I47" s="728">
        <v>696066</v>
      </c>
      <c r="J47" s="728">
        <v>15309356</v>
      </c>
      <c r="K47" s="728">
        <v>5072753</v>
      </c>
      <c r="L47" s="731">
        <v>1230007</v>
      </c>
      <c r="M47" s="731"/>
      <c r="N47" s="728">
        <v>1050456</v>
      </c>
      <c r="O47" s="728">
        <v>10963906</v>
      </c>
      <c r="P47" s="728">
        <v>0</v>
      </c>
      <c r="Q47" s="731">
        <v>0</v>
      </c>
      <c r="R47" s="731"/>
      <c r="S47" s="728">
        <v>8653078</v>
      </c>
      <c r="T47" s="732">
        <v>491539</v>
      </c>
      <c r="U47" s="732">
        <v>9144617</v>
      </c>
    </row>
    <row r="48" spans="1:21" x14ac:dyDescent="0.25">
      <c r="A48" s="729">
        <v>20800</v>
      </c>
      <c r="B48" s="727" t="s">
        <v>816</v>
      </c>
      <c r="C48" s="730">
        <v>3.5522000000000001E-3</v>
      </c>
      <c r="D48" s="730">
        <v>3.6143E-3</v>
      </c>
      <c r="E48" s="728">
        <v>33219151</v>
      </c>
      <c r="F48" s="731">
        <v>28184721</v>
      </c>
      <c r="G48" s="728">
        <f>VLOOKUP(A48,'[3]TSERS Contributions FY 2017'!$A$2:$C$290,3,FALSE)</f>
        <v>5506646</v>
      </c>
      <c r="H48" s="731"/>
      <c r="I48" s="728">
        <v>610993</v>
      </c>
      <c r="J48" s="728">
        <v>13438246</v>
      </c>
      <c r="K48" s="728">
        <v>4452761</v>
      </c>
      <c r="L48" s="731">
        <v>277095</v>
      </c>
      <c r="M48" s="731"/>
      <c r="N48" s="728">
        <v>922069</v>
      </c>
      <c r="O48" s="728">
        <v>9623897</v>
      </c>
      <c r="P48" s="728">
        <v>0</v>
      </c>
      <c r="Q48" s="731">
        <v>369123</v>
      </c>
      <c r="R48" s="731"/>
      <c r="S48" s="728">
        <v>7595499</v>
      </c>
      <c r="T48" s="732">
        <v>-87893</v>
      </c>
      <c r="U48" s="732">
        <v>7507606</v>
      </c>
    </row>
    <row r="49" spans="1:21" x14ac:dyDescent="0.25">
      <c r="A49" s="729">
        <v>20900</v>
      </c>
      <c r="B49" s="727" t="s">
        <v>817</v>
      </c>
      <c r="C49" s="730">
        <v>4.8830000000000002E-3</v>
      </c>
      <c r="D49" s="730">
        <v>4.7756999999999999E-3</v>
      </c>
      <c r="E49" s="728">
        <v>43893616</v>
      </c>
      <c r="F49" s="731">
        <v>38743875</v>
      </c>
      <c r="G49" s="728">
        <f>VLOOKUP(A49,'[3]TSERS Contributions FY 2017'!$A$2:$C$290,3,FALSE)</f>
        <v>7752114</v>
      </c>
      <c r="H49" s="731"/>
      <c r="I49" s="728">
        <v>839896</v>
      </c>
      <c r="J49" s="728">
        <v>18472765</v>
      </c>
      <c r="K49" s="728">
        <v>6120948</v>
      </c>
      <c r="L49" s="731">
        <v>957928</v>
      </c>
      <c r="M49" s="731"/>
      <c r="N49" s="728">
        <v>1267514</v>
      </c>
      <c r="O49" s="728">
        <v>13229404</v>
      </c>
      <c r="P49" s="728">
        <v>0</v>
      </c>
      <c r="Q49" s="731">
        <v>716976</v>
      </c>
      <c r="R49" s="731"/>
      <c r="S49" s="728">
        <v>10441085</v>
      </c>
      <c r="T49" s="732">
        <v>-200716</v>
      </c>
      <c r="U49" s="732">
        <v>10240368</v>
      </c>
    </row>
    <row r="50" spans="1:21" x14ac:dyDescent="0.25">
      <c r="A50" s="729">
        <v>21200</v>
      </c>
      <c r="B50" s="727" t="s">
        <v>818</v>
      </c>
      <c r="C50" s="730">
        <v>1.8521E-3</v>
      </c>
      <c r="D50" s="730">
        <v>1.7662000000000001E-3</v>
      </c>
      <c r="E50" s="728">
        <v>16233202</v>
      </c>
      <c r="F50" s="731">
        <v>14695378</v>
      </c>
      <c r="G50" s="728">
        <f>VLOOKUP(A50,'[3]TSERS Contributions FY 2017'!$A$2:$C$290,3,FALSE)</f>
        <v>2724493</v>
      </c>
      <c r="H50" s="731"/>
      <c r="I50" s="728">
        <v>318569</v>
      </c>
      <c r="J50" s="728">
        <v>7006637</v>
      </c>
      <c r="K50" s="728">
        <v>2321648</v>
      </c>
      <c r="L50" s="731">
        <v>742035</v>
      </c>
      <c r="M50" s="731"/>
      <c r="N50" s="728">
        <v>480763</v>
      </c>
      <c r="O50" s="728">
        <v>5017854</v>
      </c>
      <c r="P50" s="728">
        <v>0</v>
      </c>
      <c r="Q50" s="731">
        <v>36757</v>
      </c>
      <c r="R50" s="731"/>
      <c r="S50" s="728">
        <v>3960257</v>
      </c>
      <c r="T50" s="732">
        <v>237494</v>
      </c>
      <c r="U50" s="732">
        <v>4197750</v>
      </c>
    </row>
    <row r="51" spans="1:21" x14ac:dyDescent="0.25">
      <c r="A51" s="729">
        <v>21300</v>
      </c>
      <c r="B51" s="727" t="s">
        <v>819</v>
      </c>
      <c r="C51" s="730">
        <v>2.2259600000000001E-2</v>
      </c>
      <c r="D51" s="730">
        <v>2.20202E-2</v>
      </c>
      <c r="E51" s="728">
        <v>202388385</v>
      </c>
      <c r="F51" s="731">
        <v>176617483</v>
      </c>
      <c r="G51" s="728">
        <f>VLOOKUP(A51,'[3]TSERS Contributions FY 2017'!$A$2:$C$290,3,FALSE)</f>
        <v>32673853</v>
      </c>
      <c r="H51" s="731"/>
      <c r="I51" s="728">
        <v>3828740</v>
      </c>
      <c r="J51" s="728">
        <v>84209781</v>
      </c>
      <c r="K51" s="728">
        <v>27902898</v>
      </c>
      <c r="L51" s="731">
        <v>4336529</v>
      </c>
      <c r="M51" s="731"/>
      <c r="N51" s="728">
        <v>5778080</v>
      </c>
      <c r="O51" s="728">
        <v>60307445</v>
      </c>
      <c r="P51" s="728">
        <v>0</v>
      </c>
      <c r="Q51" s="731">
        <v>0</v>
      </c>
      <c r="R51" s="731"/>
      <c r="S51" s="728">
        <v>47596634</v>
      </c>
      <c r="T51" s="732">
        <v>2186724</v>
      </c>
      <c r="U51" s="732">
        <v>49783358</v>
      </c>
    </row>
    <row r="52" spans="1:21" x14ac:dyDescent="0.25">
      <c r="A52" s="729">
        <v>21520</v>
      </c>
      <c r="B52" s="727" t="s">
        <v>820</v>
      </c>
      <c r="C52" s="730">
        <v>3.1198099999999999E-2</v>
      </c>
      <c r="D52" s="730">
        <v>3.0936100000000001E-2</v>
      </c>
      <c r="E52" s="728">
        <v>284334716</v>
      </c>
      <c r="F52" s="731">
        <v>247539484</v>
      </c>
      <c r="G52" s="728">
        <f>VLOOKUP(A52,'[3]TSERS Contributions FY 2017'!$A$2:$C$290,3,FALSE)</f>
        <v>47279812</v>
      </c>
      <c r="H52" s="731"/>
      <c r="I52" s="728">
        <v>5366198</v>
      </c>
      <c r="J52" s="728">
        <v>118024815</v>
      </c>
      <c r="K52" s="728">
        <v>39107505</v>
      </c>
      <c r="L52" s="731">
        <v>4170116</v>
      </c>
      <c r="M52" s="731"/>
      <c r="N52" s="728">
        <v>8098309</v>
      </c>
      <c r="O52" s="728">
        <v>84524326</v>
      </c>
      <c r="P52" s="728">
        <v>0</v>
      </c>
      <c r="Q52" s="731">
        <v>1253234</v>
      </c>
      <c r="R52" s="731"/>
      <c r="S52" s="728">
        <v>66709400</v>
      </c>
      <c r="T52" s="732">
        <v>1202186</v>
      </c>
      <c r="U52" s="732">
        <v>67911586</v>
      </c>
    </row>
    <row r="53" spans="1:21" x14ac:dyDescent="0.25">
      <c r="A53" s="729">
        <v>21525</v>
      </c>
      <c r="B53" s="727" t="s">
        <v>1148</v>
      </c>
      <c r="C53" s="730">
        <v>1.1898E-3</v>
      </c>
      <c r="D53" s="730">
        <v>1.2384E-3</v>
      </c>
      <c r="E53" s="728">
        <v>11382175</v>
      </c>
      <c r="F53" s="731">
        <v>9440398</v>
      </c>
      <c r="G53" s="728">
        <f>VLOOKUP(A53,'[3]TSERS Contributions FY 2017'!$A$2:$C$290,3,FALSE)</f>
        <v>2122088</v>
      </c>
      <c r="H53" s="731"/>
      <c r="I53" s="728">
        <v>204650</v>
      </c>
      <c r="J53" s="728">
        <v>4501105</v>
      </c>
      <c r="K53" s="728">
        <v>1491440</v>
      </c>
      <c r="L53" s="731">
        <v>284269</v>
      </c>
      <c r="M53" s="731"/>
      <c r="N53" s="728">
        <v>308845</v>
      </c>
      <c r="O53" s="728">
        <v>3223499</v>
      </c>
      <c r="P53" s="728">
        <v>0</v>
      </c>
      <c r="Q53" s="731">
        <v>57925</v>
      </c>
      <c r="R53" s="731"/>
      <c r="S53" s="728">
        <v>2544092</v>
      </c>
      <c r="T53" s="732">
        <v>120961</v>
      </c>
      <c r="U53" s="732">
        <v>2665053</v>
      </c>
    </row>
    <row r="54" spans="1:21" x14ac:dyDescent="0.25">
      <c r="A54" s="729">
        <v>21525.200000000001</v>
      </c>
      <c r="B54" s="727" t="s">
        <v>1149</v>
      </c>
      <c r="C54" s="730">
        <v>1.3549999999999999E-4</v>
      </c>
      <c r="D54" s="730">
        <v>1.1459999999999999E-4</v>
      </c>
      <c r="E54" s="728">
        <v>1053292</v>
      </c>
      <c r="F54" s="731">
        <v>1075117</v>
      </c>
      <c r="G54" s="728">
        <v>0</v>
      </c>
      <c r="H54" s="731"/>
      <c r="I54" s="728">
        <v>23307</v>
      </c>
      <c r="J54" s="728">
        <v>512607</v>
      </c>
      <c r="K54" s="728">
        <v>169852</v>
      </c>
      <c r="L54" s="731">
        <v>108389</v>
      </c>
      <c r="M54" s="731"/>
      <c r="N54" s="728">
        <v>35173</v>
      </c>
      <c r="O54" s="728">
        <v>367107</v>
      </c>
      <c r="P54" s="728">
        <v>0</v>
      </c>
      <c r="Q54" s="731">
        <v>19257</v>
      </c>
      <c r="R54" s="731"/>
      <c r="S54" s="728">
        <v>289733</v>
      </c>
      <c r="T54" s="732">
        <v>31647</v>
      </c>
      <c r="U54" s="732">
        <v>321380</v>
      </c>
    </row>
    <row r="55" spans="1:21" x14ac:dyDescent="0.25">
      <c r="A55" s="729">
        <v>21550</v>
      </c>
      <c r="B55" s="727" t="s">
        <v>822</v>
      </c>
      <c r="C55" s="730">
        <v>3.6282500000000002E-2</v>
      </c>
      <c r="D55" s="730">
        <v>3.5286900000000003E-2</v>
      </c>
      <c r="E55" s="728">
        <v>324323062</v>
      </c>
      <c r="F55" s="731">
        <v>287881356</v>
      </c>
      <c r="G55" s="728">
        <f>VLOOKUP(A55,'[3]TSERS Contributions FY 2017'!$A$2:$C$290,3,FALSE)</f>
        <v>51431769</v>
      </c>
      <c r="H55" s="731"/>
      <c r="I55" s="728">
        <v>6240735</v>
      </c>
      <c r="J55" s="728">
        <v>137259491</v>
      </c>
      <c r="K55" s="728">
        <v>45480912</v>
      </c>
      <c r="L55" s="731">
        <v>5276797</v>
      </c>
      <c r="M55" s="731"/>
      <c r="N55" s="728">
        <v>9418103</v>
      </c>
      <c r="O55" s="728">
        <v>98299379</v>
      </c>
      <c r="P55" s="728">
        <v>0</v>
      </c>
      <c r="Q55" s="731">
        <v>2885713</v>
      </c>
      <c r="R55" s="731"/>
      <c r="S55" s="728">
        <v>77581128</v>
      </c>
      <c r="T55" s="732">
        <v>1948338</v>
      </c>
      <c r="U55" s="732">
        <v>79529466</v>
      </c>
    </row>
    <row r="56" spans="1:21" x14ac:dyDescent="0.25">
      <c r="A56" s="729">
        <v>21570</v>
      </c>
      <c r="B56" s="727" t="s">
        <v>823</v>
      </c>
      <c r="C56" s="730">
        <v>1.7980000000000001E-4</v>
      </c>
      <c r="D56" s="730">
        <v>1.895E-4</v>
      </c>
      <c r="E56" s="728">
        <v>1741701</v>
      </c>
      <c r="F56" s="731">
        <v>1426612</v>
      </c>
      <c r="G56" s="728">
        <f>VLOOKUP(A56,'[3]TSERS Contributions FY 2017'!$A$2:$C$290,3,FALSE)</f>
        <v>291769</v>
      </c>
      <c r="H56" s="731"/>
      <c r="I56" s="728">
        <v>30926</v>
      </c>
      <c r="J56" s="728">
        <v>680197</v>
      </c>
      <c r="K56" s="728">
        <v>225383</v>
      </c>
      <c r="L56" s="731">
        <v>62540</v>
      </c>
      <c r="M56" s="731"/>
      <c r="N56" s="728">
        <v>46672</v>
      </c>
      <c r="O56" s="728">
        <v>487128</v>
      </c>
      <c r="P56" s="728">
        <v>0</v>
      </c>
      <c r="Q56" s="731">
        <v>47606</v>
      </c>
      <c r="R56" s="731"/>
      <c r="S56" s="728">
        <v>384458</v>
      </c>
      <c r="T56" s="732">
        <v>-12010</v>
      </c>
      <c r="U56" s="732">
        <v>372448</v>
      </c>
    </row>
    <row r="57" spans="1:21" x14ac:dyDescent="0.25">
      <c r="A57" s="729">
        <v>21800</v>
      </c>
      <c r="B57" s="727" t="s">
        <v>824</v>
      </c>
      <c r="C57" s="730">
        <v>3.1243E-3</v>
      </c>
      <c r="D57" s="730">
        <v>3.0324000000000002E-3</v>
      </c>
      <c r="E57" s="728">
        <v>27870888</v>
      </c>
      <c r="F57" s="731">
        <v>24789574</v>
      </c>
      <c r="G57" s="728">
        <f>VLOOKUP(A57,'[3]TSERS Contributions FY 2017'!$A$2:$C$290,3,FALSE)</f>
        <v>4669809</v>
      </c>
      <c r="H57" s="731"/>
      <c r="I57" s="728">
        <v>537392</v>
      </c>
      <c r="J57" s="728">
        <v>11819467</v>
      </c>
      <c r="K57" s="728">
        <v>3916379</v>
      </c>
      <c r="L57" s="731">
        <v>1067322</v>
      </c>
      <c r="M57" s="731"/>
      <c r="N57" s="728">
        <v>810996</v>
      </c>
      <c r="O57" s="728">
        <v>8464597</v>
      </c>
      <c r="P57" s="728">
        <v>0</v>
      </c>
      <c r="Q57" s="731">
        <v>0</v>
      </c>
      <c r="R57" s="731"/>
      <c r="S57" s="728">
        <v>6680541</v>
      </c>
      <c r="T57" s="732">
        <v>569084</v>
      </c>
      <c r="U57" s="732">
        <v>7249624</v>
      </c>
    </row>
    <row r="58" spans="1:21" x14ac:dyDescent="0.25">
      <c r="A58" s="729">
        <v>21900</v>
      </c>
      <c r="B58" s="727" t="s">
        <v>825</v>
      </c>
      <c r="C58" s="730">
        <v>2.2258999999999998E-3</v>
      </c>
      <c r="D58" s="730">
        <v>2.3151999999999999E-3</v>
      </c>
      <c r="E58" s="728">
        <v>21279080</v>
      </c>
      <c r="F58" s="731">
        <v>17661272</v>
      </c>
      <c r="G58" s="728">
        <f>VLOOKUP(A58,'[3]TSERS Contributions FY 2017'!$A$2:$C$290,3,FALSE)</f>
        <v>3533766</v>
      </c>
      <c r="H58" s="731"/>
      <c r="I58" s="728">
        <v>382864</v>
      </c>
      <c r="J58" s="728">
        <v>8420751</v>
      </c>
      <c r="K58" s="728">
        <v>2790215</v>
      </c>
      <c r="L58" s="731">
        <v>85689</v>
      </c>
      <c r="M58" s="731"/>
      <c r="N58" s="728">
        <v>577792</v>
      </c>
      <c r="O58" s="728">
        <v>6030582</v>
      </c>
      <c r="P58" s="728">
        <v>0</v>
      </c>
      <c r="Q58" s="731">
        <v>173550</v>
      </c>
      <c r="R58" s="731"/>
      <c r="S58" s="728">
        <v>4759535</v>
      </c>
      <c r="T58" s="732">
        <v>36257</v>
      </c>
      <c r="U58" s="732">
        <v>4795792</v>
      </c>
    </row>
    <row r="59" spans="1:21" x14ac:dyDescent="0.25">
      <c r="A59" s="729">
        <v>22000</v>
      </c>
      <c r="B59" s="727" t="s">
        <v>826</v>
      </c>
      <c r="C59" s="730">
        <v>3.7869000000000002E-3</v>
      </c>
      <c r="D59" s="730">
        <v>3.8665000000000001E-3</v>
      </c>
      <c r="E59" s="728">
        <v>35537129</v>
      </c>
      <c r="F59" s="731">
        <v>30046935</v>
      </c>
      <c r="G59" s="728">
        <f>VLOOKUP(A59,'[3]TSERS Contributions FY 2017'!$A$2:$C$290,3,FALSE)</f>
        <v>6435415</v>
      </c>
      <c r="H59" s="731"/>
      <c r="I59" s="728">
        <v>651362</v>
      </c>
      <c r="J59" s="728">
        <v>14326134</v>
      </c>
      <c r="K59" s="728">
        <v>4746962</v>
      </c>
      <c r="L59" s="731">
        <v>682742</v>
      </c>
      <c r="M59" s="731"/>
      <c r="N59" s="728">
        <v>982992</v>
      </c>
      <c r="O59" s="728">
        <v>10259765</v>
      </c>
      <c r="P59" s="728">
        <v>0</v>
      </c>
      <c r="Q59" s="731">
        <v>463642</v>
      </c>
      <c r="R59" s="731"/>
      <c r="S59" s="728">
        <v>8097346</v>
      </c>
      <c r="T59" s="732">
        <v>196432</v>
      </c>
      <c r="U59" s="732">
        <v>8293778</v>
      </c>
    </row>
    <row r="60" spans="1:21" x14ac:dyDescent="0.25">
      <c r="A60" s="729">
        <v>23000</v>
      </c>
      <c r="B60" s="727" t="s">
        <v>827</v>
      </c>
      <c r="C60" s="730">
        <v>1.2597000000000001E-3</v>
      </c>
      <c r="D60" s="730">
        <v>1.1896000000000001E-3</v>
      </c>
      <c r="E60" s="728">
        <v>10933653</v>
      </c>
      <c r="F60" s="731">
        <v>9995015</v>
      </c>
      <c r="G60" s="728">
        <f>VLOOKUP(A60,'[3]TSERS Contributions FY 2017'!$A$2:$C$290,3,FALSE)</f>
        <v>1904991</v>
      </c>
      <c r="H60" s="731"/>
      <c r="I60" s="728">
        <v>216673</v>
      </c>
      <c r="J60" s="728">
        <v>4765542</v>
      </c>
      <c r="K60" s="728">
        <v>1579062</v>
      </c>
      <c r="L60" s="731">
        <v>624867</v>
      </c>
      <c r="M60" s="731"/>
      <c r="N60" s="728">
        <v>326989</v>
      </c>
      <c r="O60" s="728">
        <v>3412877</v>
      </c>
      <c r="P60" s="728">
        <v>0</v>
      </c>
      <c r="Q60" s="731">
        <v>0</v>
      </c>
      <c r="R60" s="731"/>
      <c r="S60" s="728">
        <v>2693556</v>
      </c>
      <c r="T60" s="732">
        <v>336160</v>
      </c>
      <c r="U60" s="732">
        <v>3029716</v>
      </c>
    </row>
    <row r="61" spans="1:21" x14ac:dyDescent="0.25">
      <c r="A61" s="729">
        <v>23100</v>
      </c>
      <c r="B61" s="727" t="s">
        <v>828</v>
      </c>
      <c r="C61" s="730">
        <v>7.0204000000000004E-3</v>
      </c>
      <c r="D61" s="730">
        <v>6.6102000000000001E-3</v>
      </c>
      <c r="E61" s="728">
        <v>60754566</v>
      </c>
      <c r="F61" s="731">
        <v>55702950</v>
      </c>
      <c r="G61" s="728">
        <f>VLOOKUP(A61,'[3]TSERS Contributions FY 2017'!$A$2:$C$290,3,FALSE)</f>
        <v>10922014</v>
      </c>
      <c r="H61" s="731"/>
      <c r="I61" s="728">
        <v>1207537</v>
      </c>
      <c r="J61" s="728">
        <v>26558714</v>
      </c>
      <c r="K61" s="728">
        <v>8800226</v>
      </c>
      <c r="L61" s="731">
        <v>2691002</v>
      </c>
      <c r="M61" s="731"/>
      <c r="N61" s="728">
        <v>1822334</v>
      </c>
      <c r="O61" s="728">
        <v>19020215</v>
      </c>
      <c r="P61" s="728">
        <v>0</v>
      </c>
      <c r="Q61" s="731">
        <v>0</v>
      </c>
      <c r="R61" s="731"/>
      <c r="S61" s="728">
        <v>15011384</v>
      </c>
      <c r="T61" s="732">
        <v>1149336</v>
      </c>
      <c r="U61" s="732">
        <v>16160721</v>
      </c>
    </row>
    <row r="62" spans="1:21" x14ac:dyDescent="0.25">
      <c r="A62" s="729">
        <v>23200</v>
      </c>
      <c r="B62" s="727" t="s">
        <v>829</v>
      </c>
      <c r="C62" s="730">
        <v>3.7309999999999999E-3</v>
      </c>
      <c r="D62" s="730">
        <v>3.5978E-3</v>
      </c>
      <c r="E62" s="728">
        <v>33067499</v>
      </c>
      <c r="F62" s="731">
        <v>29603399</v>
      </c>
      <c r="G62" s="728">
        <f>VLOOKUP(A62,'[3]TSERS Contributions FY 2017'!$A$2:$C$290,3,FALSE)</f>
        <v>5191170</v>
      </c>
      <c r="H62" s="731"/>
      <c r="I62" s="728">
        <v>641747</v>
      </c>
      <c r="J62" s="728">
        <v>14114660</v>
      </c>
      <c r="K62" s="728">
        <v>4676891</v>
      </c>
      <c r="L62" s="731">
        <v>615217</v>
      </c>
      <c r="M62" s="731"/>
      <c r="N62" s="728">
        <v>968482</v>
      </c>
      <c r="O62" s="728">
        <v>10108316</v>
      </c>
      <c r="P62" s="728">
        <v>0</v>
      </c>
      <c r="Q62" s="731">
        <v>136246</v>
      </c>
      <c r="R62" s="731"/>
      <c r="S62" s="728">
        <v>7977818</v>
      </c>
      <c r="T62" s="732">
        <v>52941</v>
      </c>
      <c r="U62" s="732">
        <v>8030760</v>
      </c>
    </row>
    <row r="63" spans="1:21" x14ac:dyDescent="0.25">
      <c r="A63" s="729">
        <v>30000</v>
      </c>
      <c r="B63" s="727" t="s">
        <v>830</v>
      </c>
      <c r="C63" s="730">
        <v>9.992E-4</v>
      </c>
      <c r="D63" s="730">
        <v>1.0038E-3</v>
      </c>
      <c r="E63" s="728">
        <v>9225959</v>
      </c>
      <c r="F63" s="731">
        <v>7928093</v>
      </c>
      <c r="G63" s="728">
        <f>VLOOKUP(A63,'[3]TSERS Contributions FY 2017'!$A$2:$C$290,3,FALSE)</f>
        <v>1383858</v>
      </c>
      <c r="H63" s="731"/>
      <c r="I63" s="728">
        <v>171866</v>
      </c>
      <c r="J63" s="728">
        <v>3780051</v>
      </c>
      <c r="K63" s="728">
        <v>1252519</v>
      </c>
      <c r="L63" s="731">
        <v>0</v>
      </c>
      <c r="M63" s="731"/>
      <c r="N63" s="728">
        <v>259369</v>
      </c>
      <c r="O63" s="728">
        <v>2707111</v>
      </c>
      <c r="P63" s="728">
        <v>0</v>
      </c>
      <c r="Q63" s="731">
        <v>178743</v>
      </c>
      <c r="R63" s="731"/>
      <c r="S63" s="728">
        <v>2136541</v>
      </c>
      <c r="T63" s="732">
        <v>-107933</v>
      </c>
      <c r="U63" s="732">
        <v>2028609</v>
      </c>
    </row>
    <row r="64" spans="1:21" x14ac:dyDescent="0.25">
      <c r="A64" s="729">
        <v>30100</v>
      </c>
      <c r="B64" s="727" t="s">
        <v>831</v>
      </c>
      <c r="C64" s="730">
        <v>8.5126999999999998E-3</v>
      </c>
      <c r="D64" s="730">
        <v>8.8232999999999992E-3</v>
      </c>
      <c r="E64" s="728">
        <v>81095241</v>
      </c>
      <c r="F64" s="731">
        <v>67543516</v>
      </c>
      <c r="G64" s="728">
        <f>VLOOKUP(A64,'[3]TSERS Contributions FY 2017'!$A$2:$C$290,3,FALSE)</f>
        <v>11430855</v>
      </c>
      <c r="H64" s="731"/>
      <c r="I64" s="728">
        <v>1464218</v>
      </c>
      <c r="J64" s="728">
        <v>32204200</v>
      </c>
      <c r="K64" s="728">
        <v>10670857</v>
      </c>
      <c r="L64" s="731">
        <v>253727</v>
      </c>
      <c r="M64" s="731"/>
      <c r="N64" s="728">
        <v>2209701</v>
      </c>
      <c r="O64" s="728">
        <v>23063271</v>
      </c>
      <c r="P64" s="728">
        <v>0</v>
      </c>
      <c r="Q64" s="731">
        <v>2046395</v>
      </c>
      <c r="R64" s="731"/>
      <c r="S64" s="728">
        <v>18202298</v>
      </c>
      <c r="T64" s="732">
        <v>-833558</v>
      </c>
      <c r="U64" s="732">
        <v>17368739</v>
      </c>
    </row>
    <row r="65" spans="1:21" x14ac:dyDescent="0.25">
      <c r="A65" s="729">
        <v>30102</v>
      </c>
      <c r="B65" s="727" t="s">
        <v>832</v>
      </c>
      <c r="C65" s="730">
        <v>1.6190000000000001E-4</v>
      </c>
      <c r="D65" s="730">
        <v>1.5970000000000001E-4</v>
      </c>
      <c r="E65" s="728">
        <v>1467808</v>
      </c>
      <c r="F65" s="731">
        <v>1284586</v>
      </c>
      <c r="G65" s="728">
        <f>VLOOKUP(A65,'[3]TSERS Contributions FY 2017'!$A$2:$C$290,3,FALSE)</f>
        <v>203529</v>
      </c>
      <c r="H65" s="731"/>
      <c r="I65" s="728">
        <v>27847</v>
      </c>
      <c r="J65" s="728">
        <v>612480</v>
      </c>
      <c r="K65" s="728">
        <v>202945</v>
      </c>
      <c r="L65" s="731">
        <v>66340</v>
      </c>
      <c r="M65" s="731"/>
      <c r="N65" s="728">
        <v>42026</v>
      </c>
      <c r="O65" s="728">
        <v>438632</v>
      </c>
      <c r="P65" s="728">
        <v>0</v>
      </c>
      <c r="Q65" s="731">
        <v>13446</v>
      </c>
      <c r="R65" s="731"/>
      <c r="S65" s="728">
        <v>346183</v>
      </c>
      <c r="T65" s="732">
        <v>32076</v>
      </c>
      <c r="U65" s="732">
        <v>378259</v>
      </c>
    </row>
    <row r="66" spans="1:21" x14ac:dyDescent="0.25">
      <c r="A66" s="729">
        <v>30103</v>
      </c>
      <c r="B66" s="727" t="s">
        <v>833</v>
      </c>
      <c r="C66" s="730">
        <v>2.0809999999999999E-4</v>
      </c>
      <c r="D66" s="730">
        <v>1.8699999999999999E-4</v>
      </c>
      <c r="E66" s="728">
        <v>1718723</v>
      </c>
      <c r="F66" s="731">
        <v>1651157</v>
      </c>
      <c r="G66" s="728">
        <f>VLOOKUP(A66,'[3]TSERS Contributions FY 2017'!$A$2:$C$290,3,FALSE)</f>
        <v>270128</v>
      </c>
      <c r="H66" s="731"/>
      <c r="I66" s="728">
        <v>35794</v>
      </c>
      <c r="J66" s="728">
        <v>787258</v>
      </c>
      <c r="K66" s="728">
        <v>260858</v>
      </c>
      <c r="L66" s="731">
        <v>88868</v>
      </c>
      <c r="M66" s="731"/>
      <c r="N66" s="728">
        <v>54018</v>
      </c>
      <c r="O66" s="728">
        <v>563801</v>
      </c>
      <c r="P66" s="728">
        <v>0</v>
      </c>
      <c r="Q66" s="731">
        <v>16090</v>
      </c>
      <c r="R66" s="731"/>
      <c r="S66" s="728">
        <v>444970</v>
      </c>
      <c r="T66" s="732">
        <v>41103</v>
      </c>
      <c r="U66" s="732">
        <v>486073</v>
      </c>
    </row>
    <row r="67" spans="1:21" x14ac:dyDescent="0.25">
      <c r="A67" s="729">
        <v>30104</v>
      </c>
      <c r="B67" s="727" t="s">
        <v>834</v>
      </c>
      <c r="C67" s="730">
        <v>1.2990000000000001E-4</v>
      </c>
      <c r="D67" s="730">
        <v>1.081E-4</v>
      </c>
      <c r="E67" s="728">
        <v>993551</v>
      </c>
      <c r="F67" s="731">
        <v>1030684</v>
      </c>
      <c r="G67" s="728">
        <f>VLOOKUP(A67,'[3]TSERS Contributions FY 2017'!$A$2:$C$290,3,FALSE)</f>
        <v>138542</v>
      </c>
      <c r="H67" s="731"/>
      <c r="I67" s="728">
        <v>22343</v>
      </c>
      <c r="J67" s="728">
        <v>491422</v>
      </c>
      <c r="K67" s="728">
        <v>162833</v>
      </c>
      <c r="L67" s="731">
        <v>130235</v>
      </c>
      <c r="M67" s="731"/>
      <c r="N67" s="728">
        <v>33719</v>
      </c>
      <c r="O67" s="728">
        <v>351935</v>
      </c>
      <c r="P67" s="728">
        <v>0</v>
      </c>
      <c r="Q67" s="731">
        <v>0</v>
      </c>
      <c r="R67" s="731"/>
      <c r="S67" s="728">
        <v>277759</v>
      </c>
      <c r="T67" s="732">
        <v>67964</v>
      </c>
      <c r="U67" s="732">
        <v>345723</v>
      </c>
    </row>
    <row r="68" spans="1:21" x14ac:dyDescent="0.25">
      <c r="A68" s="729">
        <v>30105</v>
      </c>
      <c r="B68" s="727" t="s">
        <v>835</v>
      </c>
      <c r="C68" s="730">
        <v>9.2610000000000001E-4</v>
      </c>
      <c r="D68" s="730">
        <v>8.5320000000000003E-4</v>
      </c>
      <c r="E68" s="728">
        <v>7841789</v>
      </c>
      <c r="F68" s="731">
        <v>7348086</v>
      </c>
      <c r="G68" s="728">
        <f>VLOOKUP(A68,'[3]TSERS Contributions FY 2017'!$A$2:$C$290,3,FALSE)</f>
        <v>1371051</v>
      </c>
      <c r="H68" s="731"/>
      <c r="I68" s="728">
        <v>159293</v>
      </c>
      <c r="J68" s="728">
        <v>3503508</v>
      </c>
      <c r="K68" s="728">
        <v>1160887</v>
      </c>
      <c r="L68" s="731">
        <v>470252</v>
      </c>
      <c r="M68" s="731"/>
      <c r="N68" s="728">
        <v>240394</v>
      </c>
      <c r="O68" s="728">
        <v>2509062</v>
      </c>
      <c r="P68" s="728">
        <v>0</v>
      </c>
      <c r="Q68" s="731">
        <v>0</v>
      </c>
      <c r="R68" s="731"/>
      <c r="S68" s="728">
        <v>1980235</v>
      </c>
      <c r="T68" s="732">
        <v>199866</v>
      </c>
      <c r="U68" s="732">
        <v>2180101</v>
      </c>
    </row>
    <row r="69" spans="1:21" x14ac:dyDescent="0.25">
      <c r="A69" s="729">
        <v>30200</v>
      </c>
      <c r="B69" s="727" t="s">
        <v>836</v>
      </c>
      <c r="C69" s="730">
        <v>1.9530999999999999E-3</v>
      </c>
      <c r="D69" s="730">
        <v>1.9545000000000001E-3</v>
      </c>
      <c r="E69" s="728">
        <v>17963874</v>
      </c>
      <c r="F69" s="731">
        <v>15496757</v>
      </c>
      <c r="G69" s="728">
        <f>VLOOKUP(A69,'[3]TSERS Contributions FY 2017'!$A$2:$C$290,3,FALSE)</f>
        <v>2736693</v>
      </c>
      <c r="H69" s="731"/>
      <c r="I69" s="728">
        <v>335941</v>
      </c>
      <c r="J69" s="728">
        <v>7388728</v>
      </c>
      <c r="K69" s="728">
        <v>2448254</v>
      </c>
      <c r="L69" s="731">
        <v>0</v>
      </c>
      <c r="M69" s="731"/>
      <c r="N69" s="728">
        <v>506980</v>
      </c>
      <c r="O69" s="728">
        <v>5291491</v>
      </c>
      <c r="P69" s="728">
        <v>0</v>
      </c>
      <c r="Q69" s="731">
        <v>379853</v>
      </c>
      <c r="R69" s="731"/>
      <c r="S69" s="728">
        <v>4176220</v>
      </c>
      <c r="T69" s="732">
        <v>-218084</v>
      </c>
      <c r="U69" s="732">
        <v>3958136</v>
      </c>
    </row>
    <row r="70" spans="1:21" x14ac:dyDescent="0.25">
      <c r="A70" s="729">
        <v>30300</v>
      </c>
      <c r="B70" s="727" t="s">
        <v>837</v>
      </c>
      <c r="C70" s="730">
        <v>6.3279999999999999E-4</v>
      </c>
      <c r="D70" s="730">
        <v>6.8050000000000001E-4</v>
      </c>
      <c r="E70" s="728">
        <v>6254498</v>
      </c>
      <c r="F70" s="731">
        <v>5020914</v>
      </c>
      <c r="G70" s="728">
        <f>VLOOKUP(A70,'[3]TSERS Contributions FY 2017'!$A$2:$C$290,3,FALSE)</f>
        <v>907816</v>
      </c>
      <c r="H70" s="731"/>
      <c r="I70" s="728">
        <v>108844</v>
      </c>
      <c r="J70" s="728">
        <v>2393931</v>
      </c>
      <c r="K70" s="728">
        <v>793229</v>
      </c>
      <c r="L70" s="731">
        <v>2969</v>
      </c>
      <c r="M70" s="731"/>
      <c r="N70" s="728">
        <v>164260</v>
      </c>
      <c r="O70" s="728">
        <v>1714431</v>
      </c>
      <c r="P70" s="728">
        <v>0</v>
      </c>
      <c r="Q70" s="731">
        <v>187550</v>
      </c>
      <c r="R70" s="731"/>
      <c r="S70" s="728">
        <v>1353086</v>
      </c>
      <c r="T70" s="732">
        <v>-68182</v>
      </c>
      <c r="U70" s="732">
        <v>1284904</v>
      </c>
    </row>
    <row r="71" spans="1:21" x14ac:dyDescent="0.25">
      <c r="A71" s="729">
        <v>30400</v>
      </c>
      <c r="B71" s="727" t="s">
        <v>838</v>
      </c>
      <c r="C71" s="730">
        <v>1.2143E-3</v>
      </c>
      <c r="D71" s="730">
        <v>1.2626E-3</v>
      </c>
      <c r="E71" s="728">
        <v>11604598</v>
      </c>
      <c r="F71" s="731">
        <v>9634792</v>
      </c>
      <c r="G71" s="728">
        <f>VLOOKUP(A71,'[3]TSERS Contributions FY 2017'!$A$2:$C$290,3,FALSE)</f>
        <v>1847314</v>
      </c>
      <c r="H71" s="731"/>
      <c r="I71" s="728">
        <v>208864</v>
      </c>
      <c r="J71" s="728">
        <v>4593790</v>
      </c>
      <c r="K71" s="728">
        <v>1522152</v>
      </c>
      <c r="L71" s="731">
        <v>115535</v>
      </c>
      <c r="M71" s="731"/>
      <c r="N71" s="728">
        <v>315204</v>
      </c>
      <c r="O71" s="728">
        <v>3289876</v>
      </c>
      <c r="P71" s="728">
        <v>0</v>
      </c>
      <c r="Q71" s="731">
        <v>260058</v>
      </c>
      <c r="R71" s="731"/>
      <c r="S71" s="728">
        <v>2596479</v>
      </c>
      <c r="T71" s="732">
        <v>-78934</v>
      </c>
      <c r="U71" s="732">
        <v>2517546</v>
      </c>
    </row>
    <row r="72" spans="1:21" x14ac:dyDescent="0.25">
      <c r="A72" s="729">
        <v>30405</v>
      </c>
      <c r="B72" s="727" t="s">
        <v>839</v>
      </c>
      <c r="C72" s="730">
        <v>8.4159999999999997E-4</v>
      </c>
      <c r="D72" s="730">
        <v>8.2660000000000003E-4</v>
      </c>
      <c r="E72" s="728">
        <v>7597308</v>
      </c>
      <c r="F72" s="731">
        <v>6677626</v>
      </c>
      <c r="G72" s="728">
        <f>VLOOKUP(A72,'[3]TSERS Contributions FY 2017'!$A$2:$C$290,3,FALSE)</f>
        <v>1158569</v>
      </c>
      <c r="H72" s="731"/>
      <c r="I72" s="728">
        <v>144759</v>
      </c>
      <c r="J72" s="728">
        <v>3183838</v>
      </c>
      <c r="K72" s="728">
        <v>1054964</v>
      </c>
      <c r="L72" s="731">
        <v>217575</v>
      </c>
      <c r="M72" s="731"/>
      <c r="N72" s="728">
        <v>218460</v>
      </c>
      <c r="O72" s="728">
        <v>2280128</v>
      </c>
      <c r="P72" s="728">
        <v>0</v>
      </c>
      <c r="Q72" s="731">
        <v>0</v>
      </c>
      <c r="R72" s="731"/>
      <c r="S72" s="728">
        <v>1799553</v>
      </c>
      <c r="T72" s="732">
        <v>161168</v>
      </c>
      <c r="U72" s="732">
        <v>1960721</v>
      </c>
    </row>
    <row r="73" spans="1:21" x14ac:dyDescent="0.25">
      <c r="A73" s="729">
        <v>30500</v>
      </c>
      <c r="B73" s="727" t="s">
        <v>840</v>
      </c>
      <c r="C73" s="730">
        <v>1.2786E-3</v>
      </c>
      <c r="D73" s="730">
        <v>1.3144000000000001E-3</v>
      </c>
      <c r="E73" s="728">
        <v>12080694</v>
      </c>
      <c r="F73" s="731">
        <v>10144976</v>
      </c>
      <c r="G73" s="728">
        <f>VLOOKUP(A73,'[3]TSERS Contributions FY 2017'!$A$2:$C$290,3,FALSE)</f>
        <v>1817557</v>
      </c>
      <c r="H73" s="731"/>
      <c r="I73" s="728">
        <v>219924</v>
      </c>
      <c r="J73" s="728">
        <v>4837042</v>
      </c>
      <c r="K73" s="728">
        <v>1602753</v>
      </c>
      <c r="L73" s="731">
        <v>24051</v>
      </c>
      <c r="M73" s="731"/>
      <c r="N73" s="728">
        <v>331895</v>
      </c>
      <c r="O73" s="728">
        <v>3464083</v>
      </c>
      <c r="P73" s="728">
        <v>0</v>
      </c>
      <c r="Q73" s="731">
        <v>230674</v>
      </c>
      <c r="R73" s="731"/>
      <c r="S73" s="728">
        <v>2733969</v>
      </c>
      <c r="T73" s="732">
        <v>-101564</v>
      </c>
      <c r="U73" s="732">
        <v>2632405</v>
      </c>
    </row>
    <row r="74" spans="1:21" x14ac:dyDescent="0.25">
      <c r="A74" s="729">
        <v>30600</v>
      </c>
      <c r="B74" s="727" t="s">
        <v>841</v>
      </c>
      <c r="C74" s="730">
        <v>9.8780000000000005E-4</v>
      </c>
      <c r="D74" s="730">
        <v>1.0258999999999999E-3</v>
      </c>
      <c r="E74" s="728">
        <v>9429081</v>
      </c>
      <c r="F74" s="731">
        <v>7837641</v>
      </c>
      <c r="G74" s="728">
        <f>VLOOKUP(A74,'[3]TSERS Contributions FY 2017'!$A$2:$C$290,3,FALSE)</f>
        <v>1423310</v>
      </c>
      <c r="H74" s="731"/>
      <c r="I74" s="728">
        <v>169906</v>
      </c>
      <c r="J74" s="728">
        <v>3736923</v>
      </c>
      <c r="K74" s="728">
        <v>1238229</v>
      </c>
      <c r="L74" s="731">
        <v>25260</v>
      </c>
      <c r="M74" s="731"/>
      <c r="N74" s="728">
        <v>256410</v>
      </c>
      <c r="O74" s="728">
        <v>2676225</v>
      </c>
      <c r="P74" s="728">
        <v>0</v>
      </c>
      <c r="Q74" s="731">
        <v>152807</v>
      </c>
      <c r="R74" s="731"/>
      <c r="S74" s="728">
        <v>2112165</v>
      </c>
      <c r="T74" s="732">
        <v>-34070</v>
      </c>
      <c r="U74" s="732">
        <v>2078095</v>
      </c>
    </row>
    <row r="75" spans="1:21" x14ac:dyDescent="0.25">
      <c r="A75" s="729">
        <v>30601</v>
      </c>
      <c r="B75" s="727" t="s">
        <v>842</v>
      </c>
      <c r="C75" s="730">
        <v>2.1800000000000001E-5</v>
      </c>
      <c r="D75" s="730">
        <v>2.3099999999999999E-5</v>
      </c>
      <c r="E75" s="728">
        <v>212313</v>
      </c>
      <c r="F75" s="731">
        <v>172971</v>
      </c>
      <c r="G75" s="728">
        <f>VLOOKUP(A75,'[3]TSERS Contributions FY 2017'!$A$2:$C$290,3,FALSE)</f>
        <v>30395</v>
      </c>
      <c r="H75" s="731"/>
      <c r="I75" s="728">
        <v>3750</v>
      </c>
      <c r="J75" s="728">
        <v>82471</v>
      </c>
      <c r="K75" s="728">
        <v>27327</v>
      </c>
      <c r="L75" s="731">
        <v>6029</v>
      </c>
      <c r="M75" s="731"/>
      <c r="N75" s="728">
        <v>5659</v>
      </c>
      <c r="O75" s="728">
        <v>59062</v>
      </c>
      <c r="P75" s="728">
        <v>0</v>
      </c>
      <c r="Q75" s="731">
        <v>11946</v>
      </c>
      <c r="R75" s="731"/>
      <c r="S75" s="728">
        <v>46614</v>
      </c>
      <c r="T75" s="732">
        <v>-901</v>
      </c>
      <c r="U75" s="732">
        <v>45713</v>
      </c>
    </row>
    <row r="76" spans="1:21" x14ac:dyDescent="0.25">
      <c r="A76" s="729">
        <v>30700</v>
      </c>
      <c r="B76" s="727" t="s">
        <v>843</v>
      </c>
      <c r="C76" s="730">
        <v>2.5628000000000001E-3</v>
      </c>
      <c r="D76" s="730">
        <v>2.6148999999999999E-3</v>
      </c>
      <c r="E76" s="728">
        <v>24033632</v>
      </c>
      <c r="F76" s="731">
        <v>20334385</v>
      </c>
      <c r="G76" s="728">
        <f>VLOOKUP(A76,'[3]TSERS Contributions FY 2017'!$A$2:$C$290,3,FALSE)</f>
        <v>3688042</v>
      </c>
      <c r="H76" s="731"/>
      <c r="I76" s="728">
        <v>440812</v>
      </c>
      <c r="J76" s="728">
        <v>9695270</v>
      </c>
      <c r="K76" s="728">
        <v>3212526</v>
      </c>
      <c r="L76" s="731">
        <v>100378</v>
      </c>
      <c r="M76" s="731"/>
      <c r="N76" s="728">
        <v>665244</v>
      </c>
      <c r="O76" s="728">
        <v>6943338</v>
      </c>
      <c r="P76" s="728">
        <v>0</v>
      </c>
      <c r="Q76" s="731">
        <v>194011</v>
      </c>
      <c r="R76" s="731"/>
      <c r="S76" s="728">
        <v>5479912</v>
      </c>
      <c r="T76" s="732">
        <v>5598</v>
      </c>
      <c r="U76" s="732">
        <v>5485510</v>
      </c>
    </row>
    <row r="77" spans="1:21" x14ac:dyDescent="0.25">
      <c r="A77" s="729">
        <v>30705</v>
      </c>
      <c r="B77" s="727" t="s">
        <v>844</v>
      </c>
      <c r="C77" s="730">
        <v>4.9339999999999996E-4</v>
      </c>
      <c r="D77" s="730">
        <v>5.3589999999999996E-4</v>
      </c>
      <c r="E77" s="728">
        <v>4925475</v>
      </c>
      <c r="F77" s="731">
        <v>3914853</v>
      </c>
      <c r="G77" s="728">
        <f>VLOOKUP(A77,'[3]TSERS Contributions FY 2017'!$A$2:$C$290,3,FALSE)</f>
        <v>723775</v>
      </c>
      <c r="H77" s="731"/>
      <c r="I77" s="728">
        <v>84867</v>
      </c>
      <c r="J77" s="728">
        <v>1866570</v>
      </c>
      <c r="K77" s="728">
        <v>618488</v>
      </c>
      <c r="L77" s="731">
        <v>138344</v>
      </c>
      <c r="M77" s="731"/>
      <c r="N77" s="728">
        <v>128075</v>
      </c>
      <c r="O77" s="728">
        <v>1336758</v>
      </c>
      <c r="P77" s="728">
        <v>0</v>
      </c>
      <c r="Q77" s="731">
        <v>150836</v>
      </c>
      <c r="R77" s="731"/>
      <c r="S77" s="728">
        <v>1055014</v>
      </c>
      <c r="T77" s="732">
        <v>30772</v>
      </c>
      <c r="U77" s="732">
        <v>1085786</v>
      </c>
    </row>
    <row r="78" spans="1:21" x14ac:dyDescent="0.25">
      <c r="A78" s="729">
        <v>30800</v>
      </c>
      <c r="B78" s="727" t="s">
        <v>845</v>
      </c>
      <c r="C78" s="730">
        <v>9.6900000000000003E-4</v>
      </c>
      <c r="D78" s="730">
        <v>1.0441999999999999E-3</v>
      </c>
      <c r="E78" s="728">
        <v>9597277</v>
      </c>
      <c r="F78" s="731">
        <v>7688473</v>
      </c>
      <c r="G78" s="728">
        <f>VLOOKUP(A78,'[3]TSERS Contributions FY 2017'!$A$2:$C$290,3,FALSE)</f>
        <v>1426227</v>
      </c>
      <c r="H78" s="731"/>
      <c r="I78" s="728">
        <v>166672</v>
      </c>
      <c r="J78" s="728">
        <v>3665802</v>
      </c>
      <c r="K78" s="728">
        <v>1214663</v>
      </c>
      <c r="L78" s="731">
        <v>57095</v>
      </c>
      <c r="M78" s="731"/>
      <c r="N78" s="728">
        <v>251530</v>
      </c>
      <c r="O78" s="728">
        <v>2625290</v>
      </c>
      <c r="P78" s="728">
        <v>0</v>
      </c>
      <c r="Q78" s="731">
        <v>467135</v>
      </c>
      <c r="R78" s="731"/>
      <c r="S78" s="728">
        <v>2071966</v>
      </c>
      <c r="T78" s="732">
        <v>-105449</v>
      </c>
      <c r="U78" s="732">
        <v>1966517</v>
      </c>
    </row>
    <row r="79" spans="1:21" x14ac:dyDescent="0.25">
      <c r="A79" s="729">
        <v>30900</v>
      </c>
      <c r="B79" s="727" t="s">
        <v>846</v>
      </c>
      <c r="C79" s="730">
        <v>1.6904999999999999E-3</v>
      </c>
      <c r="D79" s="730">
        <v>1.7328000000000001E-3</v>
      </c>
      <c r="E79" s="728">
        <v>15926222</v>
      </c>
      <c r="F79" s="731">
        <v>13413173</v>
      </c>
      <c r="G79" s="728">
        <f>VLOOKUP(A79,'[3]TSERS Contributions FY 2017'!$A$2:$C$290,3,FALSE)</f>
        <v>2515935</v>
      </c>
      <c r="H79" s="731"/>
      <c r="I79" s="728">
        <v>290773</v>
      </c>
      <c r="J79" s="728">
        <v>6395292</v>
      </c>
      <c r="K79" s="728">
        <v>2119079</v>
      </c>
      <c r="L79" s="731">
        <v>0</v>
      </c>
      <c r="M79" s="731"/>
      <c r="N79" s="728">
        <v>438815</v>
      </c>
      <c r="O79" s="728">
        <v>4580034</v>
      </c>
      <c r="P79" s="728">
        <v>0</v>
      </c>
      <c r="Q79" s="731">
        <v>280355</v>
      </c>
      <c r="R79" s="731"/>
      <c r="S79" s="728">
        <v>3614715</v>
      </c>
      <c r="T79" s="732">
        <v>-152583</v>
      </c>
      <c r="U79" s="732">
        <v>3462132</v>
      </c>
    </row>
    <row r="80" spans="1:21" x14ac:dyDescent="0.25">
      <c r="A80" s="729">
        <v>30905</v>
      </c>
      <c r="B80" s="727" t="s">
        <v>847</v>
      </c>
      <c r="C80" s="730">
        <v>3.3399999999999999E-4</v>
      </c>
      <c r="D80" s="730">
        <v>3.5169999999999998E-4</v>
      </c>
      <c r="E80" s="728">
        <v>3232486</v>
      </c>
      <c r="F80" s="731">
        <v>2650103</v>
      </c>
      <c r="G80" s="728">
        <f>VLOOKUP(A80,'[3]TSERS Contributions FY 2017'!$A$2:$C$290,3,FALSE)</f>
        <v>590747</v>
      </c>
      <c r="H80" s="731"/>
      <c r="I80" s="728">
        <v>57449</v>
      </c>
      <c r="J80" s="728">
        <v>1263548</v>
      </c>
      <c r="K80" s="728">
        <v>418676</v>
      </c>
      <c r="L80" s="731">
        <v>17530</v>
      </c>
      <c r="M80" s="731"/>
      <c r="N80" s="728">
        <v>86699</v>
      </c>
      <c r="O80" s="728">
        <v>904899</v>
      </c>
      <c r="P80" s="728">
        <v>0</v>
      </c>
      <c r="Q80" s="731">
        <v>58738</v>
      </c>
      <c r="R80" s="731"/>
      <c r="S80" s="728">
        <v>714176</v>
      </c>
      <c r="T80" s="732">
        <v>-25639</v>
      </c>
      <c r="U80" s="732">
        <v>688537</v>
      </c>
    </row>
    <row r="81" spans="1:21" x14ac:dyDescent="0.25">
      <c r="A81" s="729">
        <v>31000</v>
      </c>
      <c r="B81" s="727" t="s">
        <v>848</v>
      </c>
      <c r="C81" s="730">
        <v>4.8123999999999997E-3</v>
      </c>
      <c r="D81" s="730">
        <v>4.8155000000000003E-3</v>
      </c>
      <c r="E81" s="728">
        <v>44259419</v>
      </c>
      <c r="F81" s="731">
        <v>38183704</v>
      </c>
      <c r="G81" s="728">
        <f>VLOOKUP(A81,'[3]TSERS Contributions FY 2017'!$A$2:$C$290,3,FALSE)</f>
        <v>6875240</v>
      </c>
      <c r="H81" s="731"/>
      <c r="I81" s="728">
        <v>827752</v>
      </c>
      <c r="J81" s="728">
        <v>18205680</v>
      </c>
      <c r="K81" s="728">
        <v>6032449</v>
      </c>
      <c r="L81" s="731">
        <v>261273</v>
      </c>
      <c r="M81" s="731"/>
      <c r="N81" s="728">
        <v>1249188</v>
      </c>
      <c r="O81" s="728">
        <v>13038129</v>
      </c>
      <c r="P81" s="728">
        <v>0</v>
      </c>
      <c r="Q81" s="731">
        <v>157819</v>
      </c>
      <c r="R81" s="731"/>
      <c r="S81" s="728">
        <v>10290124</v>
      </c>
      <c r="T81" s="732">
        <v>194428</v>
      </c>
      <c r="U81" s="732">
        <v>10484552</v>
      </c>
    </row>
    <row r="82" spans="1:21" x14ac:dyDescent="0.25">
      <c r="A82" s="729">
        <v>31005</v>
      </c>
      <c r="B82" s="727" t="s">
        <v>849</v>
      </c>
      <c r="C82" s="730">
        <v>4.6690000000000002E-4</v>
      </c>
      <c r="D82" s="730">
        <v>4.8200000000000001E-4</v>
      </c>
      <c r="E82" s="728">
        <v>4430078</v>
      </c>
      <c r="F82" s="731">
        <v>3704591</v>
      </c>
      <c r="G82" s="728">
        <f>VLOOKUP(A82,'[3]TSERS Contributions FY 2017'!$A$2:$C$290,3,FALSE)</f>
        <v>753730</v>
      </c>
      <c r="H82" s="731"/>
      <c r="I82" s="728">
        <v>80309</v>
      </c>
      <c r="J82" s="728">
        <v>1766319</v>
      </c>
      <c r="K82" s="728">
        <v>585269</v>
      </c>
      <c r="L82" s="731">
        <v>103767</v>
      </c>
      <c r="M82" s="731"/>
      <c r="N82" s="728">
        <v>121197</v>
      </c>
      <c r="O82" s="728">
        <v>1264962</v>
      </c>
      <c r="P82" s="728">
        <v>0</v>
      </c>
      <c r="Q82" s="731">
        <v>7747</v>
      </c>
      <c r="R82" s="731"/>
      <c r="S82" s="728">
        <v>998350</v>
      </c>
      <c r="T82" s="732">
        <v>33249</v>
      </c>
      <c r="U82" s="732">
        <v>1031599</v>
      </c>
    </row>
    <row r="83" spans="1:21" x14ac:dyDescent="0.25">
      <c r="A83" s="729">
        <v>31100</v>
      </c>
      <c r="B83" s="727" t="s">
        <v>850</v>
      </c>
      <c r="C83" s="730">
        <v>9.9398000000000004E-3</v>
      </c>
      <c r="D83" s="730">
        <v>9.9386000000000006E-3</v>
      </c>
      <c r="E83" s="728">
        <v>91346001</v>
      </c>
      <c r="F83" s="731">
        <v>78866757</v>
      </c>
      <c r="G83" s="728">
        <f>VLOOKUP(A83,'[3]TSERS Contributions FY 2017'!$A$2:$C$290,3,FALSE)</f>
        <v>13774844</v>
      </c>
      <c r="H83" s="731"/>
      <c r="I83" s="728">
        <v>1709685</v>
      </c>
      <c r="J83" s="728">
        <v>37603029</v>
      </c>
      <c r="K83" s="728">
        <v>12459758</v>
      </c>
      <c r="L83" s="731">
        <v>0</v>
      </c>
      <c r="M83" s="731"/>
      <c r="N83" s="728">
        <v>2580143</v>
      </c>
      <c r="O83" s="728">
        <v>26929681</v>
      </c>
      <c r="P83" s="728">
        <v>0</v>
      </c>
      <c r="Q83" s="731">
        <v>861046</v>
      </c>
      <c r="R83" s="731"/>
      <c r="S83" s="728">
        <v>21253797</v>
      </c>
      <c r="T83" s="732">
        <v>-426225</v>
      </c>
      <c r="U83" s="732">
        <v>20827572</v>
      </c>
    </row>
    <row r="84" spans="1:21" x14ac:dyDescent="0.25">
      <c r="A84" s="729">
        <v>31101</v>
      </c>
      <c r="B84" s="727" t="s">
        <v>851</v>
      </c>
      <c r="C84" s="730">
        <v>6.7999999999999999E-5</v>
      </c>
      <c r="D84" s="730">
        <v>6.7299999999999996E-5</v>
      </c>
      <c r="E84" s="728">
        <v>618557</v>
      </c>
      <c r="F84" s="731">
        <v>539542</v>
      </c>
      <c r="G84" s="728">
        <f>VLOOKUP(A84,'[3]TSERS Contributions FY 2017'!$A$2:$C$290,3,FALSE)</f>
        <v>84528</v>
      </c>
      <c r="H84" s="731"/>
      <c r="I84" s="728">
        <v>11696</v>
      </c>
      <c r="J84" s="728">
        <v>257249</v>
      </c>
      <c r="K84" s="728">
        <v>85239</v>
      </c>
      <c r="L84" s="731">
        <v>0</v>
      </c>
      <c r="M84" s="731"/>
      <c r="N84" s="728">
        <v>17651</v>
      </c>
      <c r="O84" s="728">
        <v>184231</v>
      </c>
      <c r="P84" s="728">
        <v>0</v>
      </c>
      <c r="Q84" s="731">
        <v>41000</v>
      </c>
      <c r="R84" s="731"/>
      <c r="S84" s="728">
        <v>145401</v>
      </c>
      <c r="T84" s="732">
        <v>-21979</v>
      </c>
      <c r="U84" s="732">
        <v>123422</v>
      </c>
    </row>
    <row r="85" spans="1:21" x14ac:dyDescent="0.25">
      <c r="A85" s="729">
        <v>31102</v>
      </c>
      <c r="B85" s="727" t="s">
        <v>852</v>
      </c>
      <c r="C85" s="730">
        <v>1.628E-4</v>
      </c>
      <c r="D85" s="730">
        <v>1.5300000000000001E-4</v>
      </c>
      <c r="E85" s="728">
        <v>1406228</v>
      </c>
      <c r="F85" s="731">
        <v>1291727</v>
      </c>
      <c r="G85" s="728">
        <f>VLOOKUP(A85,'[3]TSERS Contributions FY 2017'!$A$2:$C$290,3,FALSE)</f>
        <v>199023</v>
      </c>
      <c r="H85" s="731"/>
      <c r="I85" s="728">
        <v>28002</v>
      </c>
      <c r="J85" s="728">
        <v>615885</v>
      </c>
      <c r="K85" s="728">
        <v>204073</v>
      </c>
      <c r="L85" s="731">
        <v>10661</v>
      </c>
      <c r="M85" s="731"/>
      <c r="N85" s="728">
        <v>42259</v>
      </c>
      <c r="O85" s="728">
        <v>441070</v>
      </c>
      <c r="P85" s="728">
        <v>0</v>
      </c>
      <c r="Q85" s="731">
        <v>63138</v>
      </c>
      <c r="R85" s="731"/>
      <c r="S85" s="728">
        <v>348107</v>
      </c>
      <c r="T85" s="732">
        <v>-47984</v>
      </c>
      <c r="U85" s="732">
        <v>300123</v>
      </c>
    </row>
    <row r="86" spans="1:21" x14ac:dyDescent="0.25">
      <c r="A86" s="729">
        <v>31105</v>
      </c>
      <c r="B86" s="727" t="s">
        <v>853</v>
      </c>
      <c r="C86" s="730">
        <v>1.591E-3</v>
      </c>
      <c r="D86" s="730">
        <v>1.5401E-3</v>
      </c>
      <c r="E86" s="728">
        <v>14155110</v>
      </c>
      <c r="F86" s="731">
        <v>12623696</v>
      </c>
      <c r="G86" s="728">
        <f>VLOOKUP(A86,'[3]TSERS Contributions FY 2017'!$A$2:$C$290,3,FALSE)</f>
        <v>2355841</v>
      </c>
      <c r="H86" s="731"/>
      <c r="I86" s="728">
        <v>273658</v>
      </c>
      <c r="J86" s="728">
        <v>6018876</v>
      </c>
      <c r="K86" s="728">
        <v>1994354</v>
      </c>
      <c r="L86" s="731">
        <v>420015</v>
      </c>
      <c r="M86" s="731"/>
      <c r="N86" s="728">
        <v>412987</v>
      </c>
      <c r="O86" s="728">
        <v>4310461</v>
      </c>
      <c r="P86" s="728">
        <v>0</v>
      </c>
      <c r="Q86" s="731">
        <v>173022</v>
      </c>
      <c r="R86" s="731"/>
      <c r="S86" s="728">
        <v>3401959</v>
      </c>
      <c r="T86" s="732">
        <v>134768</v>
      </c>
      <c r="U86" s="732">
        <v>3536727</v>
      </c>
    </row>
    <row r="87" spans="1:21" x14ac:dyDescent="0.25">
      <c r="A87" s="729">
        <v>31110</v>
      </c>
      <c r="B87" s="727" t="s">
        <v>854</v>
      </c>
      <c r="C87" s="730">
        <v>2.2461E-3</v>
      </c>
      <c r="D87" s="730">
        <v>2.3018000000000001E-3</v>
      </c>
      <c r="E87" s="728">
        <v>21155920</v>
      </c>
      <c r="F87" s="731">
        <v>17821548</v>
      </c>
      <c r="G87" s="728">
        <f>VLOOKUP(A87,'[3]TSERS Contributions FY 2017'!$A$2:$C$290,3,FALSE)</f>
        <v>3019048</v>
      </c>
      <c r="H87" s="731"/>
      <c r="I87" s="728">
        <v>386338</v>
      </c>
      <c r="J87" s="728">
        <v>8497169</v>
      </c>
      <c r="K87" s="728">
        <v>2815536</v>
      </c>
      <c r="L87" s="731">
        <v>119770</v>
      </c>
      <c r="M87" s="731"/>
      <c r="N87" s="728">
        <v>583036</v>
      </c>
      <c r="O87" s="728">
        <v>6085309</v>
      </c>
      <c r="P87" s="728">
        <v>0</v>
      </c>
      <c r="Q87" s="731">
        <v>620469</v>
      </c>
      <c r="R87" s="731"/>
      <c r="S87" s="728">
        <v>4802728</v>
      </c>
      <c r="T87" s="732">
        <v>-143096</v>
      </c>
      <c r="U87" s="732">
        <v>4659632</v>
      </c>
    </row>
    <row r="88" spans="1:21" x14ac:dyDescent="0.25">
      <c r="A88" s="729">
        <v>31200</v>
      </c>
      <c r="B88" s="727" t="s">
        <v>855</v>
      </c>
      <c r="C88" s="730">
        <v>4.4881000000000001E-3</v>
      </c>
      <c r="D88" s="730">
        <v>4.7600000000000003E-3</v>
      </c>
      <c r="E88" s="728">
        <v>43749317</v>
      </c>
      <c r="F88" s="731">
        <v>35610565</v>
      </c>
      <c r="G88" s="728">
        <f>VLOOKUP(A88,'[3]TSERS Contributions FY 2017'!$A$2:$C$290,3,FALSE)</f>
        <v>6275235</v>
      </c>
      <c r="H88" s="731"/>
      <c r="I88" s="728">
        <v>771971</v>
      </c>
      <c r="J88" s="728">
        <v>16978828</v>
      </c>
      <c r="K88" s="728">
        <v>5625932</v>
      </c>
      <c r="L88" s="731">
        <v>0</v>
      </c>
      <c r="M88" s="731"/>
      <c r="N88" s="728">
        <v>1165008</v>
      </c>
      <c r="O88" s="728">
        <v>12159511</v>
      </c>
      <c r="P88" s="728">
        <v>0</v>
      </c>
      <c r="Q88" s="731">
        <v>2095595</v>
      </c>
      <c r="R88" s="731"/>
      <c r="S88" s="728">
        <v>9596689</v>
      </c>
      <c r="T88" s="732">
        <v>-965992</v>
      </c>
      <c r="U88" s="732">
        <v>8630697</v>
      </c>
    </row>
    <row r="89" spans="1:21" x14ac:dyDescent="0.25">
      <c r="A89" s="729">
        <v>31205</v>
      </c>
      <c r="B89" s="727" t="s">
        <v>856</v>
      </c>
      <c r="C89" s="730">
        <v>5.4020000000000001E-4</v>
      </c>
      <c r="D89" s="730">
        <v>5.8929999999999996E-4</v>
      </c>
      <c r="E89" s="728">
        <v>5416276</v>
      </c>
      <c r="F89" s="731">
        <v>4286185</v>
      </c>
      <c r="G89" s="728">
        <f>VLOOKUP(A89,'[3]TSERS Contributions FY 2017'!$A$2:$C$290,3,FALSE)</f>
        <v>847793</v>
      </c>
      <c r="H89" s="731"/>
      <c r="I89" s="728">
        <v>92917</v>
      </c>
      <c r="J89" s="728">
        <v>2043618</v>
      </c>
      <c r="K89" s="728">
        <v>677153</v>
      </c>
      <c r="L89" s="731">
        <v>0</v>
      </c>
      <c r="M89" s="731"/>
      <c r="N89" s="728">
        <v>140223</v>
      </c>
      <c r="O89" s="728">
        <v>1463552</v>
      </c>
      <c r="P89" s="728">
        <v>0</v>
      </c>
      <c r="Q89" s="731">
        <v>314009</v>
      </c>
      <c r="R89" s="731"/>
      <c r="S89" s="728">
        <v>1155084</v>
      </c>
      <c r="T89" s="732">
        <v>-170960</v>
      </c>
      <c r="U89" s="732">
        <v>984123</v>
      </c>
    </row>
    <row r="90" spans="1:21" x14ac:dyDescent="0.25">
      <c r="A90" s="729">
        <v>31300</v>
      </c>
      <c r="B90" s="727" t="s">
        <v>857</v>
      </c>
      <c r="C90" s="730">
        <v>1.20313E-2</v>
      </c>
      <c r="D90" s="730">
        <v>1.1785500000000001E-2</v>
      </c>
      <c r="E90" s="728">
        <v>108320919</v>
      </c>
      <c r="F90" s="731">
        <v>95461640</v>
      </c>
      <c r="G90" s="728">
        <f>VLOOKUP(A90,'[3]TSERS Contributions FY 2017'!$A$2:$C$290,3,FALSE)</f>
        <v>15725399</v>
      </c>
      <c r="H90" s="731"/>
      <c r="I90" s="728">
        <v>2069432</v>
      </c>
      <c r="J90" s="728">
        <v>45515334</v>
      </c>
      <c r="K90" s="728">
        <v>15081499</v>
      </c>
      <c r="L90" s="731">
        <v>1348953</v>
      </c>
      <c r="M90" s="731"/>
      <c r="N90" s="728">
        <v>3123049</v>
      </c>
      <c r="O90" s="728">
        <v>32596136</v>
      </c>
      <c r="P90" s="728">
        <v>0</v>
      </c>
      <c r="Q90" s="731">
        <v>610818</v>
      </c>
      <c r="R90" s="731"/>
      <c r="S90" s="728">
        <v>25725951</v>
      </c>
      <c r="T90" s="732">
        <v>147196</v>
      </c>
      <c r="U90" s="732">
        <v>25873148</v>
      </c>
    </row>
    <row r="91" spans="1:21" x14ac:dyDescent="0.25">
      <c r="A91" s="729">
        <v>31301</v>
      </c>
      <c r="B91" s="727" t="s">
        <v>858</v>
      </c>
      <c r="C91" s="730">
        <v>2.968E-4</v>
      </c>
      <c r="D91" s="730">
        <v>2.3729999999999999E-4</v>
      </c>
      <c r="E91" s="728">
        <v>2181032</v>
      </c>
      <c r="F91" s="731">
        <v>2354942</v>
      </c>
      <c r="G91" s="728">
        <f>VLOOKUP(A91,'[3]TSERS Contributions FY 2017'!$A$2:$C$290,3,FALSE)</f>
        <v>343564</v>
      </c>
      <c r="H91" s="731"/>
      <c r="I91" s="728">
        <v>51051</v>
      </c>
      <c r="J91" s="728">
        <v>1122817</v>
      </c>
      <c r="K91" s="728">
        <v>372045</v>
      </c>
      <c r="L91" s="731">
        <v>271397</v>
      </c>
      <c r="M91" s="731"/>
      <c r="N91" s="728">
        <v>77042</v>
      </c>
      <c r="O91" s="728">
        <v>804114</v>
      </c>
      <c r="P91" s="728">
        <v>0</v>
      </c>
      <c r="Q91" s="731">
        <v>0</v>
      </c>
      <c r="R91" s="731"/>
      <c r="S91" s="728">
        <v>634633</v>
      </c>
      <c r="T91" s="732">
        <v>109835</v>
      </c>
      <c r="U91" s="732">
        <v>744468</v>
      </c>
    </row>
    <row r="92" spans="1:21" x14ac:dyDescent="0.25">
      <c r="A92" s="729">
        <v>31320</v>
      </c>
      <c r="B92" s="727" t="s">
        <v>859</v>
      </c>
      <c r="C92" s="730">
        <v>2.1784999999999999E-3</v>
      </c>
      <c r="D92" s="730">
        <v>2.2084000000000001E-3</v>
      </c>
      <c r="E92" s="728">
        <v>20297477</v>
      </c>
      <c r="F92" s="731">
        <v>17285180</v>
      </c>
      <c r="G92" s="728">
        <f>VLOOKUP(A92,'[3]TSERS Contributions FY 2017'!$A$2:$C$290,3,FALSE)</f>
        <v>2839854</v>
      </c>
      <c r="H92" s="731"/>
      <c r="I92" s="728">
        <v>374711</v>
      </c>
      <c r="J92" s="728">
        <v>8241433</v>
      </c>
      <c r="K92" s="728">
        <v>2730798</v>
      </c>
      <c r="L92" s="731">
        <v>0</v>
      </c>
      <c r="M92" s="731"/>
      <c r="N92" s="728">
        <v>565488</v>
      </c>
      <c r="O92" s="728">
        <v>5902162</v>
      </c>
      <c r="P92" s="728">
        <v>0</v>
      </c>
      <c r="Q92" s="731">
        <v>634608</v>
      </c>
      <c r="R92" s="731"/>
      <c r="S92" s="728">
        <v>4658182</v>
      </c>
      <c r="T92" s="732">
        <v>-340645</v>
      </c>
      <c r="U92" s="732">
        <v>4317537</v>
      </c>
    </row>
    <row r="93" spans="1:21" x14ac:dyDescent="0.25">
      <c r="A93" s="729">
        <v>31400</v>
      </c>
      <c r="B93" s="727" t="s">
        <v>860</v>
      </c>
      <c r="C93" s="730">
        <v>4.6236000000000003E-3</v>
      </c>
      <c r="D93" s="730">
        <v>4.731E-3</v>
      </c>
      <c r="E93" s="728">
        <v>43482777</v>
      </c>
      <c r="F93" s="731">
        <v>36685681</v>
      </c>
      <c r="G93" s="728">
        <f>VLOOKUP(A93,'[3]TSERS Contributions FY 2017'!$A$2:$C$290,3,FALSE)</f>
        <v>6539805</v>
      </c>
      <c r="H93" s="731"/>
      <c r="I93" s="728">
        <v>795278</v>
      </c>
      <c r="J93" s="728">
        <v>17491435</v>
      </c>
      <c r="K93" s="728">
        <v>5795784</v>
      </c>
      <c r="L93" s="731">
        <v>0</v>
      </c>
      <c r="M93" s="731"/>
      <c r="N93" s="728">
        <v>1200180</v>
      </c>
      <c r="O93" s="728">
        <v>12526618</v>
      </c>
      <c r="P93" s="728">
        <v>0</v>
      </c>
      <c r="Q93" s="731">
        <v>706637</v>
      </c>
      <c r="R93" s="731"/>
      <c r="S93" s="728">
        <v>9886422</v>
      </c>
      <c r="T93" s="732">
        <v>-350809</v>
      </c>
      <c r="U93" s="732">
        <v>9535613</v>
      </c>
    </row>
    <row r="94" spans="1:21" x14ac:dyDescent="0.25">
      <c r="A94" s="729">
        <v>31405</v>
      </c>
      <c r="B94" s="727" t="s">
        <v>861</v>
      </c>
      <c r="C94" s="730">
        <v>9.1299999999999997E-4</v>
      </c>
      <c r="D94" s="730">
        <v>9.4410000000000002E-4</v>
      </c>
      <c r="E94" s="728">
        <v>8677254</v>
      </c>
      <c r="F94" s="731">
        <v>7244145</v>
      </c>
      <c r="G94" s="728">
        <f>VLOOKUP(A94,'[3]TSERS Contributions FY 2017'!$A$2:$C$290,3,FALSE)</f>
        <v>1492129</v>
      </c>
      <c r="H94" s="731"/>
      <c r="I94" s="728">
        <v>157040</v>
      </c>
      <c r="J94" s="728">
        <v>3453949</v>
      </c>
      <c r="K94" s="728">
        <v>1144466</v>
      </c>
      <c r="L94" s="731">
        <v>19558</v>
      </c>
      <c r="M94" s="731"/>
      <c r="N94" s="728">
        <v>236994</v>
      </c>
      <c r="O94" s="728">
        <v>2473571</v>
      </c>
      <c r="P94" s="728">
        <v>0</v>
      </c>
      <c r="Q94" s="731">
        <v>131651</v>
      </c>
      <c r="R94" s="731"/>
      <c r="S94" s="728">
        <v>1952224</v>
      </c>
      <c r="T94" s="732">
        <v>-89207</v>
      </c>
      <c r="U94" s="732">
        <v>1863017</v>
      </c>
    </row>
    <row r="95" spans="1:21" x14ac:dyDescent="0.25">
      <c r="A95" s="729">
        <v>31500</v>
      </c>
      <c r="B95" s="727" t="s">
        <v>862</v>
      </c>
      <c r="C95" s="730">
        <v>7.1060000000000003E-4</v>
      </c>
      <c r="D95" s="730">
        <v>7.2920000000000005E-4</v>
      </c>
      <c r="E95" s="728">
        <v>6702101</v>
      </c>
      <c r="F95" s="731">
        <v>5638214</v>
      </c>
      <c r="G95" s="728">
        <f>VLOOKUP(A95,'[3]TSERS Contributions FY 2017'!$A$2:$C$290,3,FALSE)</f>
        <v>1042824</v>
      </c>
      <c r="H95" s="731"/>
      <c r="I95" s="728">
        <v>122226</v>
      </c>
      <c r="J95" s="728">
        <v>2688255</v>
      </c>
      <c r="K95" s="728">
        <v>890753</v>
      </c>
      <c r="L95" s="731">
        <v>0</v>
      </c>
      <c r="M95" s="731"/>
      <c r="N95" s="728">
        <v>184455</v>
      </c>
      <c r="O95" s="728">
        <v>1925213</v>
      </c>
      <c r="P95" s="728">
        <v>0</v>
      </c>
      <c r="Q95" s="731">
        <v>131649</v>
      </c>
      <c r="R95" s="731"/>
      <c r="S95" s="728">
        <v>1519442</v>
      </c>
      <c r="T95" s="732">
        <v>-65091</v>
      </c>
      <c r="U95" s="732">
        <v>1454350</v>
      </c>
    </row>
    <row r="96" spans="1:21" x14ac:dyDescent="0.25">
      <c r="A96" s="729">
        <v>31600</v>
      </c>
      <c r="B96" s="727" t="s">
        <v>863</v>
      </c>
      <c r="C96" s="730">
        <v>3.2342999999999998E-3</v>
      </c>
      <c r="D96" s="730">
        <v>3.2935999999999998E-3</v>
      </c>
      <c r="E96" s="728">
        <v>30271586</v>
      </c>
      <c r="F96" s="731">
        <v>25662363</v>
      </c>
      <c r="G96" s="728">
        <f>VLOOKUP(A96,'[3]TSERS Contributions FY 2017'!$A$2:$C$290,3,FALSE)</f>
        <v>4619193</v>
      </c>
      <c r="H96" s="731"/>
      <c r="I96" s="728">
        <v>556313</v>
      </c>
      <c r="J96" s="728">
        <v>12235606</v>
      </c>
      <c r="K96" s="728">
        <v>4054266</v>
      </c>
      <c r="L96" s="731">
        <v>213925</v>
      </c>
      <c r="M96" s="731"/>
      <c r="N96" s="728">
        <v>839550</v>
      </c>
      <c r="O96" s="728">
        <v>8762618</v>
      </c>
      <c r="P96" s="728">
        <v>0</v>
      </c>
      <c r="Q96" s="731">
        <v>240249</v>
      </c>
      <c r="R96" s="731"/>
      <c r="S96" s="728">
        <v>6915748</v>
      </c>
      <c r="T96" s="732">
        <v>97811</v>
      </c>
      <c r="U96" s="732">
        <v>7013559</v>
      </c>
    </row>
    <row r="97" spans="1:21" x14ac:dyDescent="0.25">
      <c r="A97" s="729">
        <v>31601</v>
      </c>
      <c r="B97" s="727" t="s">
        <v>864</v>
      </c>
      <c r="C97" s="730">
        <v>0</v>
      </c>
      <c r="D97" s="730">
        <v>0</v>
      </c>
      <c r="E97" s="728">
        <v>0</v>
      </c>
      <c r="F97" s="731">
        <v>0</v>
      </c>
      <c r="G97" s="728">
        <v>0</v>
      </c>
      <c r="H97" s="731"/>
      <c r="I97" s="728">
        <v>0</v>
      </c>
      <c r="J97" s="728">
        <v>0</v>
      </c>
      <c r="K97" s="728">
        <v>0</v>
      </c>
      <c r="L97" s="731">
        <v>0</v>
      </c>
      <c r="M97" s="731"/>
      <c r="N97" s="728">
        <v>0</v>
      </c>
      <c r="O97" s="728">
        <v>0</v>
      </c>
      <c r="P97" s="728">
        <v>0</v>
      </c>
      <c r="Q97" s="731">
        <v>18725</v>
      </c>
      <c r="R97" s="731"/>
      <c r="S97" s="728">
        <v>0</v>
      </c>
      <c r="T97" s="732">
        <v>-12747</v>
      </c>
      <c r="U97" s="732">
        <v>-12747</v>
      </c>
    </row>
    <row r="98" spans="1:21" x14ac:dyDescent="0.25">
      <c r="A98" s="729">
        <v>31605</v>
      </c>
      <c r="B98" s="727" t="s">
        <v>865</v>
      </c>
      <c r="C98" s="730">
        <v>4.9089999999999995E-4</v>
      </c>
      <c r="D98" s="730">
        <v>4.7249999999999999E-4</v>
      </c>
      <c r="E98" s="728">
        <v>4342763</v>
      </c>
      <c r="F98" s="731">
        <v>3895017</v>
      </c>
      <c r="G98" s="728">
        <f>VLOOKUP(A98,'[3]TSERS Contributions FY 2017'!$A$2:$C$290,3,FALSE)</f>
        <v>757653</v>
      </c>
      <c r="H98" s="731"/>
      <c r="I98" s="728">
        <v>84437</v>
      </c>
      <c r="J98" s="728">
        <v>1857112</v>
      </c>
      <c r="K98" s="728">
        <v>615354</v>
      </c>
      <c r="L98" s="731">
        <v>163745</v>
      </c>
      <c r="M98" s="731"/>
      <c r="N98" s="728">
        <v>127426</v>
      </c>
      <c r="O98" s="728">
        <v>1329985</v>
      </c>
      <c r="P98" s="728">
        <v>0</v>
      </c>
      <c r="Q98" s="731">
        <v>3979</v>
      </c>
      <c r="R98" s="731"/>
      <c r="S98" s="728">
        <v>1049668</v>
      </c>
      <c r="T98" s="732">
        <v>56499</v>
      </c>
      <c r="U98" s="732">
        <v>1106167</v>
      </c>
    </row>
    <row r="99" spans="1:21" x14ac:dyDescent="0.25">
      <c r="A99" s="729">
        <v>31700</v>
      </c>
      <c r="B99" s="727" t="s">
        <v>866</v>
      </c>
      <c r="C99" s="730">
        <v>9.7659999999999999E-4</v>
      </c>
      <c r="D99" s="730">
        <v>9.8649999999999996E-4</v>
      </c>
      <c r="E99" s="728">
        <v>9066954</v>
      </c>
      <c r="F99" s="731">
        <v>7748775</v>
      </c>
      <c r="G99" s="728">
        <f>VLOOKUP(A99,'[3]TSERS Contributions FY 2017'!$A$2:$C$290,3,FALSE)</f>
        <v>1473220</v>
      </c>
      <c r="H99" s="731"/>
      <c r="I99" s="728">
        <v>167979</v>
      </c>
      <c r="J99" s="728">
        <v>3694553</v>
      </c>
      <c r="K99" s="728">
        <v>1224190</v>
      </c>
      <c r="L99" s="731">
        <v>148347</v>
      </c>
      <c r="M99" s="731"/>
      <c r="N99" s="728">
        <v>253503</v>
      </c>
      <c r="O99" s="728">
        <v>2645881</v>
      </c>
      <c r="P99" s="728">
        <v>0</v>
      </c>
      <c r="Q99" s="731">
        <v>18989</v>
      </c>
      <c r="R99" s="731"/>
      <c r="S99" s="728">
        <v>2088217</v>
      </c>
      <c r="T99" s="732">
        <v>54778</v>
      </c>
      <c r="U99" s="732">
        <v>2142995</v>
      </c>
    </row>
    <row r="100" spans="1:21" x14ac:dyDescent="0.25">
      <c r="A100" s="729">
        <v>31800</v>
      </c>
      <c r="B100" s="727" t="s">
        <v>867</v>
      </c>
      <c r="C100" s="730">
        <v>5.8989000000000003E-3</v>
      </c>
      <c r="D100" s="730">
        <v>6.1303E-3</v>
      </c>
      <c r="E100" s="728">
        <v>56343790</v>
      </c>
      <c r="F100" s="731">
        <v>46804474</v>
      </c>
      <c r="G100" s="728">
        <f>VLOOKUP(A100,'[3]TSERS Contributions FY 2017'!$A$2:$C$290,3,FALSE)</f>
        <v>8354516</v>
      </c>
      <c r="H100" s="731"/>
      <c r="I100" s="728">
        <v>1014634</v>
      </c>
      <c r="J100" s="728">
        <v>22315993</v>
      </c>
      <c r="K100" s="728">
        <v>7394401</v>
      </c>
      <c r="L100" s="731">
        <v>25505</v>
      </c>
      <c r="M100" s="731"/>
      <c r="N100" s="728">
        <v>1531219</v>
      </c>
      <c r="O100" s="728">
        <v>15981760</v>
      </c>
      <c r="P100" s="728">
        <v>0</v>
      </c>
      <c r="Q100" s="731">
        <v>1407898</v>
      </c>
      <c r="R100" s="731"/>
      <c r="S100" s="728">
        <v>12613335</v>
      </c>
      <c r="T100" s="732">
        <v>-514247</v>
      </c>
      <c r="U100" s="732">
        <v>12099088</v>
      </c>
    </row>
    <row r="101" spans="1:21" x14ac:dyDescent="0.25">
      <c r="A101" s="729">
        <v>31805</v>
      </c>
      <c r="B101" s="727" t="s">
        <v>868</v>
      </c>
      <c r="C101" s="730">
        <v>1.1584E-3</v>
      </c>
      <c r="D101" s="730">
        <v>1.1666999999999999E-3</v>
      </c>
      <c r="E101" s="728">
        <v>10723178</v>
      </c>
      <c r="F101" s="731">
        <v>9191256</v>
      </c>
      <c r="G101" s="728">
        <f>VLOOKUP(A101,'[3]TSERS Contributions FY 2017'!$A$2:$C$290,3,FALSE)</f>
        <v>1783169</v>
      </c>
      <c r="H101" s="731"/>
      <c r="I101" s="728">
        <v>199249</v>
      </c>
      <c r="J101" s="728">
        <v>4382316</v>
      </c>
      <c r="K101" s="728">
        <v>1452080</v>
      </c>
      <c r="L101" s="731">
        <v>143626</v>
      </c>
      <c r="M101" s="731"/>
      <c r="N101" s="728">
        <v>300694</v>
      </c>
      <c r="O101" s="728">
        <v>3138428</v>
      </c>
      <c r="P101" s="728">
        <v>0</v>
      </c>
      <c r="Q101" s="731">
        <v>80066</v>
      </c>
      <c r="R101" s="731"/>
      <c r="S101" s="728">
        <v>2476951</v>
      </c>
      <c r="T101" s="732">
        <v>12978</v>
      </c>
      <c r="U101" s="732">
        <v>2489929</v>
      </c>
    </row>
    <row r="102" spans="1:21" x14ac:dyDescent="0.25">
      <c r="A102" s="729">
        <v>31810</v>
      </c>
      <c r="B102" s="727" t="s">
        <v>869</v>
      </c>
      <c r="C102" s="730">
        <v>1.5291E-3</v>
      </c>
      <c r="D102" s="730">
        <v>1.5257999999999999E-3</v>
      </c>
      <c r="E102" s="728">
        <v>14023678</v>
      </c>
      <c r="F102" s="731">
        <v>12132554</v>
      </c>
      <c r="G102" s="728">
        <f>VLOOKUP(A102,'[3]TSERS Contributions FY 2017'!$A$2:$C$290,3,FALSE)</f>
        <v>2119573</v>
      </c>
      <c r="H102" s="731"/>
      <c r="I102" s="728">
        <v>263011</v>
      </c>
      <c r="J102" s="728">
        <v>5784703</v>
      </c>
      <c r="K102" s="728">
        <v>1916760</v>
      </c>
      <c r="L102" s="731">
        <v>73499</v>
      </c>
      <c r="M102" s="731"/>
      <c r="N102" s="728">
        <v>396919</v>
      </c>
      <c r="O102" s="728">
        <v>4142757</v>
      </c>
      <c r="P102" s="728">
        <v>0</v>
      </c>
      <c r="Q102" s="731">
        <v>160432</v>
      </c>
      <c r="R102" s="731"/>
      <c r="S102" s="728">
        <v>3269601</v>
      </c>
      <c r="T102" s="732">
        <v>-118794</v>
      </c>
      <c r="U102" s="732">
        <v>3150807</v>
      </c>
    </row>
    <row r="103" spans="1:21" x14ac:dyDescent="0.25">
      <c r="A103" s="729">
        <v>31820</v>
      </c>
      <c r="B103" s="727" t="s">
        <v>870</v>
      </c>
      <c r="C103" s="730">
        <v>1.2939E-3</v>
      </c>
      <c r="D103" s="730">
        <v>1.3676999999999999E-3</v>
      </c>
      <c r="E103" s="728">
        <v>12570576</v>
      </c>
      <c r="F103" s="731">
        <v>10266373</v>
      </c>
      <c r="G103" s="728">
        <f>VLOOKUP(A103,'[3]TSERS Contributions FY 2017'!$A$2:$C$290,3,FALSE)</f>
        <v>1741873</v>
      </c>
      <c r="H103" s="731"/>
      <c r="I103" s="728">
        <v>222556</v>
      </c>
      <c r="J103" s="728">
        <v>4894923</v>
      </c>
      <c r="K103" s="728">
        <v>1621932</v>
      </c>
      <c r="L103" s="731">
        <v>128341</v>
      </c>
      <c r="M103" s="731"/>
      <c r="N103" s="728">
        <v>335867</v>
      </c>
      <c r="O103" s="728">
        <v>3505535</v>
      </c>
      <c r="P103" s="728">
        <v>0</v>
      </c>
      <c r="Q103" s="731">
        <v>373038</v>
      </c>
      <c r="R103" s="731"/>
      <c r="S103" s="728">
        <v>2766684</v>
      </c>
      <c r="T103" s="732">
        <v>-74569</v>
      </c>
      <c r="U103" s="732">
        <v>2692115</v>
      </c>
    </row>
    <row r="104" spans="1:21" x14ac:dyDescent="0.25">
      <c r="A104" s="729">
        <v>31900</v>
      </c>
      <c r="B104" s="727" t="s">
        <v>871</v>
      </c>
      <c r="C104" s="730">
        <v>3.6668E-3</v>
      </c>
      <c r="D104" s="730">
        <v>3.5163999999999998E-3</v>
      </c>
      <c r="E104" s="728">
        <v>32319348</v>
      </c>
      <c r="F104" s="731">
        <v>29094008</v>
      </c>
      <c r="G104" s="728">
        <f>VLOOKUP(A104,'[3]TSERS Contributions FY 2017'!$A$2:$C$290,3,FALSE)</f>
        <v>4970830</v>
      </c>
      <c r="H104" s="731"/>
      <c r="I104" s="728">
        <v>630704</v>
      </c>
      <c r="J104" s="728">
        <v>13871787</v>
      </c>
      <c r="K104" s="728">
        <v>4596414</v>
      </c>
      <c r="L104" s="731">
        <v>471133</v>
      </c>
      <c r="M104" s="731"/>
      <c r="N104" s="728">
        <v>951817</v>
      </c>
      <c r="O104" s="728">
        <v>9934381</v>
      </c>
      <c r="P104" s="728">
        <v>0</v>
      </c>
      <c r="Q104" s="731">
        <v>245412</v>
      </c>
      <c r="R104" s="731"/>
      <c r="S104" s="728">
        <v>7840542</v>
      </c>
      <c r="T104" s="732">
        <v>75366</v>
      </c>
      <c r="U104" s="732">
        <v>7915908</v>
      </c>
    </row>
    <row r="105" spans="1:21" x14ac:dyDescent="0.25">
      <c r="A105" s="729">
        <v>32000</v>
      </c>
      <c r="B105" s="727" t="s">
        <v>872</v>
      </c>
      <c r="C105" s="730">
        <v>1.4777E-3</v>
      </c>
      <c r="D105" s="730">
        <v>1.4400999999999999E-3</v>
      </c>
      <c r="E105" s="728">
        <v>13236007</v>
      </c>
      <c r="F105" s="731">
        <v>11724723</v>
      </c>
      <c r="G105" s="728">
        <f>VLOOKUP(A105,'[3]TSERS Contributions FY 2017'!$A$2:$C$290,3,FALSE)</f>
        <v>2043254</v>
      </c>
      <c r="H105" s="731"/>
      <c r="I105" s="728">
        <v>254170</v>
      </c>
      <c r="J105" s="728">
        <v>5590253</v>
      </c>
      <c r="K105" s="728">
        <v>1852329</v>
      </c>
      <c r="L105" s="731">
        <v>275345</v>
      </c>
      <c r="M105" s="731"/>
      <c r="N105" s="728">
        <v>383577</v>
      </c>
      <c r="O105" s="728">
        <v>4003500</v>
      </c>
      <c r="P105" s="728">
        <v>0</v>
      </c>
      <c r="Q105" s="731">
        <v>15453</v>
      </c>
      <c r="R105" s="731"/>
      <c r="S105" s="728">
        <v>3159695</v>
      </c>
      <c r="T105" s="732">
        <v>93726</v>
      </c>
      <c r="U105" s="732">
        <v>3253421</v>
      </c>
    </row>
    <row r="106" spans="1:21" x14ac:dyDescent="0.25">
      <c r="A106" s="729">
        <v>32005</v>
      </c>
      <c r="B106" s="727" t="s">
        <v>873</v>
      </c>
      <c r="C106" s="730">
        <v>3.3320000000000002E-4</v>
      </c>
      <c r="D106" s="730">
        <v>3.2870000000000002E-4</v>
      </c>
      <c r="E106" s="728">
        <v>3021093</v>
      </c>
      <c r="F106" s="731">
        <v>2643756</v>
      </c>
      <c r="G106" s="728">
        <f>VLOOKUP(A106,'[3]TSERS Contributions FY 2017'!$A$2:$C$290,3,FALSE)</f>
        <v>509660</v>
      </c>
      <c r="H106" s="731"/>
      <c r="I106" s="728">
        <v>57312</v>
      </c>
      <c r="J106" s="728">
        <v>1260521</v>
      </c>
      <c r="K106" s="728">
        <v>417674</v>
      </c>
      <c r="L106" s="731">
        <v>104205</v>
      </c>
      <c r="M106" s="731"/>
      <c r="N106" s="728">
        <v>86491</v>
      </c>
      <c r="O106" s="728">
        <v>902731</v>
      </c>
      <c r="P106" s="728">
        <v>0</v>
      </c>
      <c r="Q106" s="731">
        <v>17730</v>
      </c>
      <c r="R106" s="731"/>
      <c r="S106" s="728">
        <v>712466</v>
      </c>
      <c r="T106" s="732">
        <v>58851</v>
      </c>
      <c r="U106" s="732">
        <v>771317</v>
      </c>
    </row>
    <row r="107" spans="1:21" x14ac:dyDescent="0.25">
      <c r="A107" s="729">
        <v>32100</v>
      </c>
      <c r="B107" s="727" t="s">
        <v>874</v>
      </c>
      <c r="C107" s="730">
        <v>8.3509999999999997E-4</v>
      </c>
      <c r="D107" s="730">
        <v>8.8730000000000005E-4</v>
      </c>
      <c r="E107" s="728">
        <v>8155204</v>
      </c>
      <c r="F107" s="731">
        <v>6626052</v>
      </c>
      <c r="G107" s="728">
        <f>VLOOKUP(A107,'[3]TSERS Contributions FY 2017'!$A$2:$C$290,3,FALSE)</f>
        <v>1244080</v>
      </c>
      <c r="H107" s="731"/>
      <c r="I107" s="728">
        <v>143641</v>
      </c>
      <c r="J107" s="728">
        <v>3159248</v>
      </c>
      <c r="K107" s="728">
        <v>1046816</v>
      </c>
      <c r="L107" s="731">
        <v>0</v>
      </c>
      <c r="M107" s="731"/>
      <c r="N107" s="728">
        <v>216773</v>
      </c>
      <c r="O107" s="728">
        <v>2262518</v>
      </c>
      <c r="P107" s="728">
        <v>0</v>
      </c>
      <c r="Q107" s="731">
        <v>334012</v>
      </c>
      <c r="R107" s="731"/>
      <c r="S107" s="728">
        <v>1785654</v>
      </c>
      <c r="T107" s="732">
        <v>-147075</v>
      </c>
      <c r="U107" s="732">
        <v>1638579</v>
      </c>
    </row>
    <row r="108" spans="1:21" x14ac:dyDescent="0.25">
      <c r="A108" s="729">
        <v>32200</v>
      </c>
      <c r="B108" s="727" t="s">
        <v>875</v>
      </c>
      <c r="C108" s="730">
        <v>5.5309999999999995E-4</v>
      </c>
      <c r="D108" s="730">
        <v>5.4869999999999995E-4</v>
      </c>
      <c r="E108" s="728">
        <v>5043120</v>
      </c>
      <c r="F108" s="731">
        <v>4388539</v>
      </c>
      <c r="G108" s="728">
        <f>VLOOKUP(A108,'[3]TSERS Contributions FY 2017'!$A$2:$C$290,3,FALSE)</f>
        <v>795968</v>
      </c>
      <c r="H108" s="731"/>
      <c r="I108" s="728">
        <v>95135</v>
      </c>
      <c r="J108" s="728">
        <v>2092420</v>
      </c>
      <c r="K108" s="728">
        <v>693323</v>
      </c>
      <c r="L108" s="731">
        <v>59406</v>
      </c>
      <c r="M108" s="731"/>
      <c r="N108" s="728">
        <v>143572</v>
      </c>
      <c r="O108" s="728">
        <v>1498502</v>
      </c>
      <c r="P108" s="728">
        <v>0</v>
      </c>
      <c r="Q108" s="731">
        <v>0</v>
      </c>
      <c r="R108" s="731"/>
      <c r="S108" s="728">
        <v>1182667</v>
      </c>
      <c r="T108" s="732">
        <v>40455</v>
      </c>
      <c r="U108" s="732">
        <v>1223122</v>
      </c>
    </row>
    <row r="109" spans="1:21" x14ac:dyDescent="0.25">
      <c r="A109" s="729">
        <v>32300</v>
      </c>
      <c r="B109" s="727" t="s">
        <v>876</v>
      </c>
      <c r="C109" s="730">
        <v>6.2110999999999998E-3</v>
      </c>
      <c r="D109" s="730">
        <v>6.2827999999999998E-3</v>
      </c>
      <c r="E109" s="728">
        <v>57745422</v>
      </c>
      <c r="F109" s="731">
        <v>49281606</v>
      </c>
      <c r="G109" s="728">
        <f>VLOOKUP(A109,'[3]TSERS Contributions FY 2017'!$A$2:$C$290,3,FALSE)</f>
        <v>8472961</v>
      </c>
      <c r="H109" s="731"/>
      <c r="I109" s="728">
        <v>1068334</v>
      </c>
      <c r="J109" s="728">
        <v>23497070</v>
      </c>
      <c r="K109" s="728">
        <v>7785750</v>
      </c>
      <c r="L109" s="731">
        <v>0</v>
      </c>
      <c r="M109" s="731"/>
      <c r="N109" s="728">
        <v>1612259</v>
      </c>
      <c r="O109" s="728">
        <v>16827597</v>
      </c>
      <c r="P109" s="728">
        <v>0</v>
      </c>
      <c r="Q109" s="731">
        <v>1243658</v>
      </c>
      <c r="R109" s="731"/>
      <c r="S109" s="728">
        <v>13280897</v>
      </c>
      <c r="T109" s="732">
        <v>-633626</v>
      </c>
      <c r="U109" s="732">
        <v>12647271</v>
      </c>
    </row>
    <row r="110" spans="1:21" x14ac:dyDescent="0.25">
      <c r="A110" s="729">
        <v>32305</v>
      </c>
      <c r="B110" s="727" t="s">
        <v>877</v>
      </c>
      <c r="C110" s="730">
        <v>6.2699999999999995E-4</v>
      </c>
      <c r="D110" s="730">
        <v>6.2580000000000003E-4</v>
      </c>
      <c r="E110" s="728">
        <v>5751748</v>
      </c>
      <c r="F110" s="731">
        <v>4974895</v>
      </c>
      <c r="G110" s="728">
        <f>VLOOKUP(A110,'[3]TSERS Contributions FY 2017'!$A$2:$C$290,3,FALSE)</f>
        <v>995186</v>
      </c>
      <c r="H110" s="731"/>
      <c r="I110" s="728">
        <v>107847</v>
      </c>
      <c r="J110" s="728">
        <v>2371989</v>
      </c>
      <c r="K110" s="728">
        <v>785958</v>
      </c>
      <c r="L110" s="731">
        <v>241781</v>
      </c>
      <c r="M110" s="731"/>
      <c r="N110" s="728">
        <v>162755</v>
      </c>
      <c r="O110" s="728">
        <v>1698717</v>
      </c>
      <c r="P110" s="728">
        <v>0</v>
      </c>
      <c r="Q110" s="731">
        <v>0</v>
      </c>
      <c r="R110" s="731"/>
      <c r="S110" s="728">
        <v>1340684</v>
      </c>
      <c r="T110" s="732">
        <v>145405</v>
      </c>
      <c r="U110" s="732">
        <v>1486089</v>
      </c>
    </row>
    <row r="111" spans="1:21" x14ac:dyDescent="0.25">
      <c r="A111" s="729">
        <v>32400</v>
      </c>
      <c r="B111" s="727" t="s">
        <v>878</v>
      </c>
      <c r="C111" s="730">
        <v>2.2388E-3</v>
      </c>
      <c r="D111" s="730">
        <v>2.2591999999999998E-3</v>
      </c>
      <c r="E111" s="728">
        <v>20764382</v>
      </c>
      <c r="F111" s="731">
        <v>17763627</v>
      </c>
      <c r="G111" s="728">
        <f>VLOOKUP(A111,'[3]TSERS Contributions FY 2017'!$A$2:$C$290,3,FALSE)</f>
        <v>3289938</v>
      </c>
      <c r="H111" s="731"/>
      <c r="I111" s="728">
        <v>385083</v>
      </c>
      <c r="J111" s="728">
        <v>8469553</v>
      </c>
      <c r="K111" s="728">
        <v>2806385</v>
      </c>
      <c r="L111" s="731">
        <v>189165</v>
      </c>
      <c r="M111" s="731"/>
      <c r="N111" s="728">
        <v>581141</v>
      </c>
      <c r="O111" s="728">
        <v>6065532</v>
      </c>
      <c r="P111" s="728">
        <v>0</v>
      </c>
      <c r="Q111" s="731">
        <v>113261</v>
      </c>
      <c r="R111" s="731"/>
      <c r="S111" s="728">
        <v>4787119</v>
      </c>
      <c r="T111" s="732">
        <v>-15220</v>
      </c>
      <c r="U111" s="732">
        <v>4771898</v>
      </c>
    </row>
    <row r="112" spans="1:21" x14ac:dyDescent="0.25">
      <c r="A112" s="729">
        <v>32405</v>
      </c>
      <c r="B112" s="727" t="s">
        <v>879</v>
      </c>
      <c r="C112" s="730">
        <v>5.7799999999999995E-4</v>
      </c>
      <c r="D112" s="730">
        <v>5.6479999999999996E-4</v>
      </c>
      <c r="E112" s="728">
        <v>5191095</v>
      </c>
      <c r="F112" s="731">
        <v>4586107</v>
      </c>
      <c r="G112" s="728">
        <f>VLOOKUP(A112,'[3]TSERS Contributions FY 2017'!$A$2:$C$290,3,FALSE)</f>
        <v>889333</v>
      </c>
      <c r="H112" s="731"/>
      <c r="I112" s="728">
        <v>99418</v>
      </c>
      <c r="J112" s="728">
        <v>2186619</v>
      </c>
      <c r="K112" s="728">
        <v>724536</v>
      </c>
      <c r="L112" s="731">
        <v>108192</v>
      </c>
      <c r="M112" s="731"/>
      <c r="N112" s="728">
        <v>150036</v>
      </c>
      <c r="O112" s="728">
        <v>1565963</v>
      </c>
      <c r="P112" s="728">
        <v>0</v>
      </c>
      <c r="Q112" s="731">
        <v>60500</v>
      </c>
      <c r="R112" s="731"/>
      <c r="S112" s="728">
        <v>1235910</v>
      </c>
      <c r="T112" s="732">
        <v>-8294</v>
      </c>
      <c r="U112" s="732">
        <v>1227615</v>
      </c>
    </row>
    <row r="113" spans="1:21" x14ac:dyDescent="0.25">
      <c r="A113" s="729">
        <v>32410</v>
      </c>
      <c r="B113" s="727" t="s">
        <v>880</v>
      </c>
      <c r="C113" s="730">
        <v>8.4340000000000001E-4</v>
      </c>
      <c r="D113" s="730">
        <v>8.92E-4</v>
      </c>
      <c r="E113" s="728">
        <v>8198401</v>
      </c>
      <c r="F113" s="731">
        <v>6691908</v>
      </c>
      <c r="G113" s="728">
        <f>VLOOKUP(A113,'[3]TSERS Contributions FY 2017'!$A$2:$C$290,3,FALSE)</f>
        <v>1298636</v>
      </c>
      <c r="H113" s="731"/>
      <c r="I113" s="728">
        <v>145068</v>
      </c>
      <c r="J113" s="728">
        <v>3190647</v>
      </c>
      <c r="K113" s="728">
        <v>1057220</v>
      </c>
      <c r="L113" s="731">
        <v>124600</v>
      </c>
      <c r="M113" s="731"/>
      <c r="N113" s="728">
        <v>218927</v>
      </c>
      <c r="O113" s="728">
        <v>2285005</v>
      </c>
      <c r="P113" s="728">
        <v>0</v>
      </c>
      <c r="Q113" s="731">
        <v>116140</v>
      </c>
      <c r="R113" s="731"/>
      <c r="S113" s="728">
        <v>1803402</v>
      </c>
      <c r="T113" s="732">
        <v>55733</v>
      </c>
      <c r="U113" s="732">
        <v>1859135</v>
      </c>
    </row>
    <row r="114" spans="1:21" x14ac:dyDescent="0.25">
      <c r="A114" s="729">
        <v>32420</v>
      </c>
      <c r="B114" s="727" t="s">
        <v>881</v>
      </c>
      <c r="C114" s="730">
        <v>0</v>
      </c>
      <c r="D114" s="730">
        <v>0</v>
      </c>
      <c r="E114" s="728">
        <v>0</v>
      </c>
      <c r="F114" s="731">
        <v>0</v>
      </c>
      <c r="G114" s="728">
        <v>0</v>
      </c>
      <c r="H114" s="731"/>
      <c r="I114" s="728">
        <v>0</v>
      </c>
      <c r="J114" s="728">
        <v>0</v>
      </c>
      <c r="K114" s="728">
        <v>0</v>
      </c>
      <c r="L114" s="731">
        <v>20312</v>
      </c>
      <c r="M114" s="731"/>
      <c r="N114" s="728">
        <v>0</v>
      </c>
      <c r="O114" s="728">
        <v>0</v>
      </c>
      <c r="P114" s="728">
        <v>0</v>
      </c>
      <c r="Q114" s="731">
        <v>69979</v>
      </c>
      <c r="R114" s="731"/>
      <c r="S114" s="728">
        <v>0</v>
      </c>
      <c r="T114" s="732">
        <v>-3006</v>
      </c>
      <c r="U114" s="732">
        <v>-3006</v>
      </c>
    </row>
    <row r="115" spans="1:21" x14ac:dyDescent="0.25">
      <c r="A115" s="729">
        <v>32500</v>
      </c>
      <c r="B115" s="727" t="s">
        <v>882</v>
      </c>
      <c r="C115" s="730">
        <v>4.7978999999999999E-3</v>
      </c>
      <c r="D115" s="730">
        <v>5.0733000000000002E-3</v>
      </c>
      <c r="E115" s="728">
        <v>46628868</v>
      </c>
      <c r="F115" s="731">
        <v>38068654</v>
      </c>
      <c r="G115" s="728">
        <f>VLOOKUP(A115,'[3]TSERS Contributions FY 2017'!$A$2:$C$290,3,FALSE)</f>
        <v>6739516</v>
      </c>
      <c r="H115" s="731"/>
      <c r="I115" s="728">
        <v>825258</v>
      </c>
      <c r="J115" s="728">
        <v>18150825</v>
      </c>
      <c r="K115" s="728">
        <v>6014273</v>
      </c>
      <c r="L115" s="731">
        <v>0</v>
      </c>
      <c r="M115" s="731"/>
      <c r="N115" s="728">
        <v>1245424</v>
      </c>
      <c r="O115" s="728">
        <v>12998845</v>
      </c>
      <c r="P115" s="728">
        <v>0</v>
      </c>
      <c r="Q115" s="731">
        <v>1333104</v>
      </c>
      <c r="R115" s="731"/>
      <c r="S115" s="728">
        <v>10259119</v>
      </c>
      <c r="T115" s="732">
        <v>-502427</v>
      </c>
      <c r="U115" s="732">
        <v>9756693</v>
      </c>
    </row>
    <row r="116" spans="1:21" x14ac:dyDescent="0.25">
      <c r="A116" s="729">
        <v>32505</v>
      </c>
      <c r="B116" s="727" t="s">
        <v>883</v>
      </c>
      <c r="C116" s="730">
        <v>7.5580000000000005E-4</v>
      </c>
      <c r="D116" s="730">
        <v>7.2650000000000004E-4</v>
      </c>
      <c r="E116" s="728">
        <v>6677285</v>
      </c>
      <c r="F116" s="731">
        <v>5996851</v>
      </c>
      <c r="G116" s="728">
        <f>VLOOKUP(A116,'[3]TSERS Contributions FY 2017'!$A$2:$C$290,3,FALSE)</f>
        <v>1106814</v>
      </c>
      <c r="H116" s="731"/>
      <c r="I116" s="728">
        <v>130001</v>
      </c>
      <c r="J116" s="728">
        <v>2859250</v>
      </c>
      <c r="K116" s="728">
        <v>947412</v>
      </c>
      <c r="L116" s="731">
        <v>182935</v>
      </c>
      <c r="M116" s="731"/>
      <c r="N116" s="728">
        <v>196188</v>
      </c>
      <c r="O116" s="728">
        <v>2047672</v>
      </c>
      <c r="P116" s="728">
        <v>0</v>
      </c>
      <c r="Q116" s="731">
        <v>72659</v>
      </c>
      <c r="R116" s="731"/>
      <c r="S116" s="728">
        <v>1616091</v>
      </c>
      <c r="T116" s="732">
        <v>27069</v>
      </c>
      <c r="U116" s="732">
        <v>1643160</v>
      </c>
    </row>
    <row r="117" spans="1:21" x14ac:dyDescent="0.25">
      <c r="A117" s="729">
        <v>32600</v>
      </c>
      <c r="B117" s="727" t="s">
        <v>884</v>
      </c>
      <c r="C117" s="730">
        <v>1.7237800000000001E-2</v>
      </c>
      <c r="D117" s="730">
        <v>1.77521E-2</v>
      </c>
      <c r="E117" s="728">
        <v>163160137</v>
      </c>
      <c r="F117" s="731">
        <v>136772307</v>
      </c>
      <c r="G117" s="728">
        <f>VLOOKUP(A117,'[3]TSERS Contributions FY 2017'!$A$2:$C$290,3,FALSE)</f>
        <v>24350595</v>
      </c>
      <c r="H117" s="731"/>
      <c r="I117" s="728">
        <v>2964971</v>
      </c>
      <c r="J117" s="728">
        <v>65211925</v>
      </c>
      <c r="K117" s="728">
        <v>21607962</v>
      </c>
      <c r="L117" s="731">
        <v>0</v>
      </c>
      <c r="M117" s="731"/>
      <c r="N117" s="728">
        <v>4474536</v>
      </c>
      <c r="O117" s="728">
        <v>46701992</v>
      </c>
      <c r="P117" s="728">
        <v>0</v>
      </c>
      <c r="Q117" s="731">
        <v>5913813</v>
      </c>
      <c r="R117" s="731"/>
      <c r="S117" s="728">
        <v>36858760</v>
      </c>
      <c r="T117" s="732">
        <v>-2934919</v>
      </c>
      <c r="U117" s="732">
        <v>33923842</v>
      </c>
    </row>
    <row r="118" spans="1:21" x14ac:dyDescent="0.25">
      <c r="A118" s="729">
        <v>32605</v>
      </c>
      <c r="B118" s="727" t="s">
        <v>885</v>
      </c>
      <c r="C118" s="730">
        <v>2.5604999999999998E-3</v>
      </c>
      <c r="D118" s="730">
        <v>2.5571999999999999E-3</v>
      </c>
      <c r="E118" s="728">
        <v>23503310</v>
      </c>
      <c r="F118" s="731">
        <v>20316136</v>
      </c>
      <c r="G118" s="728">
        <f>VLOOKUP(A118,'[3]TSERS Contributions FY 2017'!$A$2:$C$290,3,FALSE)</f>
        <v>3902909</v>
      </c>
      <c r="H118" s="731"/>
      <c r="I118" s="728">
        <v>440416</v>
      </c>
      <c r="J118" s="728">
        <v>9686569</v>
      </c>
      <c r="K118" s="728">
        <v>3209643</v>
      </c>
      <c r="L118" s="731">
        <v>561240</v>
      </c>
      <c r="M118" s="731"/>
      <c r="N118" s="728">
        <v>664647</v>
      </c>
      <c r="O118" s="728">
        <v>6937106</v>
      </c>
      <c r="P118" s="728">
        <v>0</v>
      </c>
      <c r="Q118" s="731">
        <v>0</v>
      </c>
      <c r="R118" s="731"/>
      <c r="S118" s="728">
        <v>5474994</v>
      </c>
      <c r="T118" s="732">
        <v>277924</v>
      </c>
      <c r="U118" s="732">
        <v>5752919</v>
      </c>
    </row>
    <row r="119" spans="1:21" x14ac:dyDescent="0.25">
      <c r="A119" s="729">
        <v>32700</v>
      </c>
      <c r="B119" s="727" t="s">
        <v>886</v>
      </c>
      <c r="C119" s="730">
        <v>1.6209E-3</v>
      </c>
      <c r="D119" s="730">
        <v>1.5617999999999999E-3</v>
      </c>
      <c r="E119" s="728">
        <v>14354555</v>
      </c>
      <c r="F119" s="731">
        <v>12860935</v>
      </c>
      <c r="G119" s="728">
        <f>VLOOKUP(A119,'[3]TSERS Contributions FY 2017'!$A$2:$C$290,3,FALSE)</f>
        <v>2262317</v>
      </c>
      <c r="H119" s="731"/>
      <c r="I119" s="728">
        <v>278801</v>
      </c>
      <c r="J119" s="728">
        <v>6131990</v>
      </c>
      <c r="K119" s="728">
        <v>2031834</v>
      </c>
      <c r="L119" s="731">
        <v>382679</v>
      </c>
      <c r="M119" s="731"/>
      <c r="N119" s="728">
        <v>420748</v>
      </c>
      <c r="O119" s="728">
        <v>4391469</v>
      </c>
      <c r="P119" s="728">
        <v>0</v>
      </c>
      <c r="Q119" s="731">
        <v>0</v>
      </c>
      <c r="R119" s="731"/>
      <c r="S119" s="728">
        <v>3465893</v>
      </c>
      <c r="T119" s="732">
        <v>182790</v>
      </c>
      <c r="U119" s="732">
        <v>3648683</v>
      </c>
    </row>
    <row r="120" spans="1:21" x14ac:dyDescent="0.25">
      <c r="A120" s="729">
        <v>32800</v>
      </c>
      <c r="B120" s="727" t="s">
        <v>887</v>
      </c>
      <c r="C120" s="730">
        <v>2.1829000000000002E-3</v>
      </c>
      <c r="D120" s="730">
        <v>2.1503999999999998E-3</v>
      </c>
      <c r="E120" s="728">
        <v>19764397</v>
      </c>
      <c r="F120" s="731">
        <v>17320091</v>
      </c>
      <c r="G120" s="728">
        <f>VLOOKUP(A120,'[3]TSERS Contributions FY 2017'!$A$2:$C$290,3,FALSE)</f>
        <v>3329357</v>
      </c>
      <c r="H120" s="731"/>
      <c r="I120" s="728">
        <v>375468</v>
      </c>
      <c r="J120" s="728">
        <v>8258079</v>
      </c>
      <c r="K120" s="728">
        <v>2736313</v>
      </c>
      <c r="L120" s="731">
        <v>613098</v>
      </c>
      <c r="M120" s="731"/>
      <c r="N120" s="728">
        <v>566631</v>
      </c>
      <c r="O120" s="728">
        <v>5914083</v>
      </c>
      <c r="P120" s="728">
        <v>0</v>
      </c>
      <c r="Q120" s="731">
        <v>0</v>
      </c>
      <c r="R120" s="731"/>
      <c r="S120" s="728">
        <v>4667590</v>
      </c>
      <c r="T120" s="732">
        <v>264187</v>
      </c>
      <c r="U120" s="732">
        <v>4931777</v>
      </c>
    </row>
    <row r="121" spans="1:21" x14ac:dyDescent="0.25">
      <c r="A121" s="729">
        <v>32900</v>
      </c>
      <c r="B121" s="727" t="s">
        <v>888</v>
      </c>
      <c r="C121" s="730">
        <v>6.5319999999999996E-3</v>
      </c>
      <c r="D121" s="730">
        <v>6.633E-3</v>
      </c>
      <c r="E121" s="728">
        <v>60964122</v>
      </c>
      <c r="F121" s="731">
        <v>51827769</v>
      </c>
      <c r="G121" s="728">
        <f>VLOOKUP(A121,'[3]TSERS Contributions FY 2017'!$A$2:$C$290,3,FALSE)</f>
        <v>9104217</v>
      </c>
      <c r="H121" s="731"/>
      <c r="I121" s="728">
        <v>1123530</v>
      </c>
      <c r="J121" s="728">
        <v>24711059</v>
      </c>
      <c r="K121" s="728">
        <v>8188006</v>
      </c>
      <c r="L121" s="731">
        <v>19944</v>
      </c>
      <c r="M121" s="731"/>
      <c r="N121" s="728">
        <v>1695557</v>
      </c>
      <c r="O121" s="728">
        <v>17697004</v>
      </c>
      <c r="P121" s="728">
        <v>0</v>
      </c>
      <c r="Q121" s="731">
        <v>775253</v>
      </c>
      <c r="R121" s="731"/>
      <c r="S121" s="728">
        <v>13967062</v>
      </c>
      <c r="T121" s="732">
        <v>-370134</v>
      </c>
      <c r="U121" s="732">
        <v>13596928</v>
      </c>
    </row>
    <row r="122" spans="1:21" x14ac:dyDescent="0.25">
      <c r="A122" s="729">
        <v>32901</v>
      </c>
      <c r="B122" s="727" t="s">
        <v>889</v>
      </c>
      <c r="C122" s="730">
        <v>1.4310000000000001E-4</v>
      </c>
      <c r="D122" s="730">
        <v>1.9560000000000001E-4</v>
      </c>
      <c r="E122" s="728">
        <v>1797766</v>
      </c>
      <c r="F122" s="731">
        <v>1135419</v>
      </c>
      <c r="G122" s="728">
        <f>VLOOKUP(A122,'[3]TSERS Contributions FY 2017'!$A$2:$C$290,3,FALSE)</f>
        <v>195379</v>
      </c>
      <c r="H122" s="731"/>
      <c r="I122" s="728">
        <v>24614</v>
      </c>
      <c r="J122" s="728">
        <v>541358</v>
      </c>
      <c r="K122" s="728">
        <v>179379</v>
      </c>
      <c r="L122" s="731">
        <v>329160</v>
      </c>
      <c r="M122" s="731"/>
      <c r="N122" s="728">
        <v>37145</v>
      </c>
      <c r="O122" s="728">
        <v>387698</v>
      </c>
      <c r="P122" s="728">
        <v>0</v>
      </c>
      <c r="Q122" s="731">
        <v>204118</v>
      </c>
      <c r="R122" s="731"/>
      <c r="S122" s="728">
        <v>305984</v>
      </c>
      <c r="T122" s="732">
        <v>140360</v>
      </c>
      <c r="U122" s="732">
        <v>446343</v>
      </c>
    </row>
    <row r="123" spans="1:21" x14ac:dyDescent="0.25">
      <c r="A123" s="729">
        <v>32905</v>
      </c>
      <c r="B123" s="727" t="s">
        <v>890</v>
      </c>
      <c r="C123" s="730">
        <v>9.6400000000000001E-4</v>
      </c>
      <c r="D123" s="730">
        <v>9.3849999999999999E-4</v>
      </c>
      <c r="E123" s="728">
        <v>8625784</v>
      </c>
      <c r="F123" s="731">
        <v>7648801</v>
      </c>
      <c r="G123" s="728">
        <f>VLOOKUP(A123,'[3]TSERS Contributions FY 2017'!$A$2:$C$290,3,FALSE)</f>
        <v>1454566</v>
      </c>
      <c r="H123" s="731"/>
      <c r="I123" s="728">
        <v>165812</v>
      </c>
      <c r="J123" s="728">
        <v>3646886</v>
      </c>
      <c r="K123" s="728">
        <v>1208395</v>
      </c>
      <c r="L123" s="731">
        <v>170018</v>
      </c>
      <c r="M123" s="731"/>
      <c r="N123" s="728">
        <v>250232</v>
      </c>
      <c r="O123" s="728">
        <v>2611744</v>
      </c>
      <c r="P123" s="728">
        <v>0</v>
      </c>
      <c r="Q123" s="731">
        <v>149958</v>
      </c>
      <c r="R123" s="731"/>
      <c r="S123" s="728">
        <v>2061275</v>
      </c>
      <c r="T123" s="732">
        <v>-46152</v>
      </c>
      <c r="U123" s="732">
        <v>2015123</v>
      </c>
    </row>
    <row r="124" spans="1:21" x14ac:dyDescent="0.25">
      <c r="A124" s="729">
        <v>32910</v>
      </c>
      <c r="B124" s="727" t="s">
        <v>891</v>
      </c>
      <c r="C124" s="730">
        <v>1.2267000000000001E-3</v>
      </c>
      <c r="D124" s="730">
        <v>1.2221000000000001E-3</v>
      </c>
      <c r="E124" s="728">
        <v>11232361</v>
      </c>
      <c r="F124" s="731">
        <v>9733179</v>
      </c>
      <c r="G124" s="728">
        <f>VLOOKUP(A124,'[3]TSERS Contributions FY 2017'!$A$2:$C$290,3,FALSE)</f>
        <v>1775407</v>
      </c>
      <c r="H124" s="731"/>
      <c r="I124" s="728">
        <v>210997</v>
      </c>
      <c r="J124" s="728">
        <v>4640701</v>
      </c>
      <c r="K124" s="728">
        <v>1537695</v>
      </c>
      <c r="L124" s="731">
        <v>27896</v>
      </c>
      <c r="M124" s="731"/>
      <c r="N124" s="728">
        <v>318423</v>
      </c>
      <c r="O124" s="728">
        <v>3323471</v>
      </c>
      <c r="P124" s="728">
        <v>0</v>
      </c>
      <c r="Q124" s="731">
        <v>165077</v>
      </c>
      <c r="R124" s="731"/>
      <c r="S124" s="728">
        <v>2622994</v>
      </c>
      <c r="T124" s="732">
        <v>-91677</v>
      </c>
      <c r="U124" s="732">
        <v>2531317</v>
      </c>
    </row>
    <row r="125" spans="1:21" x14ac:dyDescent="0.25">
      <c r="A125" s="729">
        <v>32920</v>
      </c>
      <c r="B125" s="727" t="s">
        <v>892</v>
      </c>
      <c r="C125" s="730">
        <v>1.0145E-3</v>
      </c>
      <c r="D125" s="730">
        <v>1.0083E-3</v>
      </c>
      <c r="E125" s="728">
        <v>9267319</v>
      </c>
      <c r="F125" s="731">
        <v>8049490</v>
      </c>
      <c r="G125" s="728">
        <f>VLOOKUP(A125,'[3]TSERS Contributions FY 2017'!$A$2:$C$290,3,FALSE)</f>
        <v>1403160</v>
      </c>
      <c r="H125" s="731"/>
      <c r="I125" s="728">
        <v>174498</v>
      </c>
      <c r="J125" s="728">
        <v>3837932</v>
      </c>
      <c r="K125" s="728">
        <v>1271698</v>
      </c>
      <c r="L125" s="731">
        <v>34805</v>
      </c>
      <c r="M125" s="731"/>
      <c r="N125" s="728">
        <v>263341</v>
      </c>
      <c r="O125" s="728">
        <v>2748563</v>
      </c>
      <c r="P125" s="728">
        <v>0</v>
      </c>
      <c r="Q125" s="731">
        <v>156637</v>
      </c>
      <c r="R125" s="731"/>
      <c r="S125" s="728">
        <v>2169257</v>
      </c>
      <c r="T125" s="732">
        <v>-89865</v>
      </c>
      <c r="U125" s="732">
        <v>2079391</v>
      </c>
    </row>
    <row r="126" spans="1:21" x14ac:dyDescent="0.25">
      <c r="A126" s="729">
        <v>33000</v>
      </c>
      <c r="B126" s="727" t="s">
        <v>893</v>
      </c>
      <c r="C126" s="730">
        <v>2.4756000000000001E-3</v>
      </c>
      <c r="D126" s="730">
        <v>2.5539E-3</v>
      </c>
      <c r="E126" s="728">
        <v>23472979</v>
      </c>
      <c r="F126" s="731">
        <v>19642502</v>
      </c>
      <c r="G126" s="728">
        <f>VLOOKUP(A126,'[3]TSERS Contributions FY 2017'!$A$2:$C$290,3,FALSE)</f>
        <v>3346436</v>
      </c>
      <c r="H126" s="731"/>
      <c r="I126" s="728">
        <v>425813</v>
      </c>
      <c r="J126" s="728">
        <v>9365385</v>
      </c>
      <c r="K126" s="728">
        <v>3103219</v>
      </c>
      <c r="L126" s="731">
        <v>0</v>
      </c>
      <c r="M126" s="731"/>
      <c r="N126" s="728">
        <v>642609</v>
      </c>
      <c r="O126" s="728">
        <v>6707089</v>
      </c>
      <c r="P126" s="728">
        <v>0</v>
      </c>
      <c r="Q126" s="731">
        <v>679433</v>
      </c>
      <c r="R126" s="731"/>
      <c r="S126" s="728">
        <v>5293457</v>
      </c>
      <c r="T126" s="732">
        <v>-293393</v>
      </c>
      <c r="U126" s="732">
        <v>5000064</v>
      </c>
    </row>
    <row r="127" spans="1:21" x14ac:dyDescent="0.25">
      <c r="A127" s="729">
        <v>33001</v>
      </c>
      <c r="B127" s="727" t="s">
        <v>894</v>
      </c>
      <c r="C127" s="730">
        <v>8.3700000000000002E-5</v>
      </c>
      <c r="D127" s="730">
        <v>7.1699999999999995E-5</v>
      </c>
      <c r="E127" s="728">
        <v>658997</v>
      </c>
      <c r="F127" s="731">
        <v>664113</v>
      </c>
      <c r="G127" s="728">
        <f>VLOOKUP(A127,'[3]TSERS Contributions FY 2017'!$A$2:$C$290,3,FALSE)</f>
        <v>99879</v>
      </c>
      <c r="H127" s="731"/>
      <c r="I127" s="728">
        <v>14397</v>
      </c>
      <c r="J127" s="728">
        <v>316644</v>
      </c>
      <c r="K127" s="728">
        <v>104920</v>
      </c>
      <c r="L127" s="731">
        <v>102360</v>
      </c>
      <c r="M127" s="731"/>
      <c r="N127" s="728">
        <v>21727</v>
      </c>
      <c r="O127" s="728">
        <v>226767</v>
      </c>
      <c r="P127" s="728">
        <v>0</v>
      </c>
      <c r="Q127" s="731">
        <v>0</v>
      </c>
      <c r="R127" s="731"/>
      <c r="S127" s="728">
        <v>178972</v>
      </c>
      <c r="T127" s="732">
        <v>64533</v>
      </c>
      <c r="U127" s="732">
        <v>243505</v>
      </c>
    </row>
    <row r="128" spans="1:21" x14ac:dyDescent="0.25">
      <c r="A128" s="729">
        <v>33027</v>
      </c>
      <c r="B128" s="727" t="s">
        <v>895</v>
      </c>
      <c r="C128" s="730">
        <v>2.8249999999999998E-4</v>
      </c>
      <c r="D128" s="730">
        <v>2.377E-4</v>
      </c>
      <c r="E128" s="728">
        <v>2184709</v>
      </c>
      <c r="F128" s="731">
        <v>2241480</v>
      </c>
      <c r="G128" s="728">
        <f>VLOOKUP(A128,'[3]TSERS Contributions FY 2017'!$A$2:$C$290,3,FALSE)</f>
        <v>321802</v>
      </c>
      <c r="H128" s="731"/>
      <c r="I128" s="728">
        <v>48591.13</v>
      </c>
      <c r="J128" s="728">
        <v>1068719</v>
      </c>
      <c r="K128" s="728">
        <v>354120</v>
      </c>
      <c r="L128" s="731">
        <v>302503</v>
      </c>
      <c r="M128" s="731"/>
      <c r="N128" s="728">
        <v>73331</v>
      </c>
      <c r="O128" s="728">
        <v>765371</v>
      </c>
      <c r="P128" s="728">
        <v>0</v>
      </c>
      <c r="Q128" s="731">
        <v>0</v>
      </c>
      <c r="R128" s="731"/>
      <c r="S128" s="728">
        <v>604056</v>
      </c>
      <c r="T128" s="732">
        <v>160150</v>
      </c>
      <c r="U128" s="732">
        <v>764206</v>
      </c>
    </row>
    <row r="129" spans="1:21" x14ac:dyDescent="0.25">
      <c r="A129" s="729">
        <v>33100</v>
      </c>
      <c r="B129" s="727" t="s">
        <v>896</v>
      </c>
      <c r="C129" s="730">
        <v>3.5601999999999999E-3</v>
      </c>
      <c r="D129" s="730">
        <v>3.6789000000000001E-3</v>
      </c>
      <c r="E129" s="728">
        <v>33812891</v>
      </c>
      <c r="F129" s="731">
        <v>28248197</v>
      </c>
      <c r="G129" s="728">
        <f>VLOOKUP(A129,'[3]TSERS Contributions FY 2017'!$A$2:$C$290,3,FALSE)</f>
        <v>5000926</v>
      </c>
      <c r="H129" s="731"/>
      <c r="I129" s="728">
        <v>612369</v>
      </c>
      <c r="J129" s="728">
        <v>13468511</v>
      </c>
      <c r="K129" s="728">
        <v>4462789</v>
      </c>
      <c r="L129" s="731">
        <v>573536</v>
      </c>
      <c r="M129" s="731"/>
      <c r="N129" s="728">
        <v>924146</v>
      </c>
      <c r="O129" s="728">
        <v>9645572</v>
      </c>
      <c r="P129" s="728">
        <v>0</v>
      </c>
      <c r="Q129" s="731">
        <v>527271</v>
      </c>
      <c r="R129" s="731"/>
      <c r="S129" s="728">
        <v>7612605</v>
      </c>
      <c r="T129" s="732">
        <v>245675</v>
      </c>
      <c r="U129" s="732">
        <v>7858279</v>
      </c>
    </row>
    <row r="130" spans="1:21" x14ac:dyDescent="0.25">
      <c r="A130" s="729">
        <v>33105</v>
      </c>
      <c r="B130" s="727" t="s">
        <v>897</v>
      </c>
      <c r="C130" s="730">
        <v>4.0299999999999998E-4</v>
      </c>
      <c r="D130" s="730">
        <v>3.9419999999999999E-4</v>
      </c>
      <c r="E130" s="728">
        <v>3623105</v>
      </c>
      <c r="F130" s="731">
        <v>3197580</v>
      </c>
      <c r="G130" s="728">
        <f>VLOOKUP(A130,'[3]TSERS Contributions FY 2017'!$A$2:$C$290,3,FALSE)</f>
        <v>599442</v>
      </c>
      <c r="H130" s="731"/>
      <c r="I130" s="728">
        <v>69318</v>
      </c>
      <c r="J130" s="728">
        <v>1524580</v>
      </c>
      <c r="K130" s="728">
        <v>505169</v>
      </c>
      <c r="L130" s="731">
        <v>48589</v>
      </c>
      <c r="M130" s="731"/>
      <c r="N130" s="728">
        <v>104610</v>
      </c>
      <c r="O130" s="728">
        <v>1091839</v>
      </c>
      <c r="P130" s="728">
        <v>0</v>
      </c>
      <c r="Q130" s="731">
        <v>122429</v>
      </c>
      <c r="R130" s="731"/>
      <c r="S130" s="728">
        <v>861716</v>
      </c>
      <c r="T130" s="732">
        <v>-49329</v>
      </c>
      <c r="U130" s="732">
        <v>812386</v>
      </c>
    </row>
    <row r="131" spans="1:21" x14ac:dyDescent="0.25">
      <c r="A131" s="729">
        <v>33200</v>
      </c>
      <c r="B131" s="727" t="s">
        <v>898</v>
      </c>
      <c r="C131" s="730">
        <v>1.55155E-2</v>
      </c>
      <c r="D131" s="730">
        <v>1.57856E-2</v>
      </c>
      <c r="E131" s="728">
        <v>145085971</v>
      </c>
      <c r="F131" s="731">
        <v>123106819</v>
      </c>
      <c r="G131" s="728">
        <f>VLOOKUP(A131,'[3]TSERS Contributions FY 2017'!$A$2:$C$290,3,FALSE)</f>
        <v>20835380</v>
      </c>
      <c r="H131" s="731"/>
      <c r="I131" s="728">
        <v>2668728</v>
      </c>
      <c r="J131" s="728">
        <v>58696331</v>
      </c>
      <c r="K131" s="728">
        <v>19449021</v>
      </c>
      <c r="L131" s="731">
        <v>1039822</v>
      </c>
      <c r="M131" s="731"/>
      <c r="N131" s="728">
        <v>4027467</v>
      </c>
      <c r="O131" s="728">
        <v>42035803</v>
      </c>
      <c r="P131" s="728">
        <v>0</v>
      </c>
      <c r="Q131" s="731">
        <v>2393021</v>
      </c>
      <c r="R131" s="731"/>
      <c r="S131" s="728">
        <v>33176049</v>
      </c>
      <c r="T131" s="732">
        <v>-487092</v>
      </c>
      <c r="U131" s="732">
        <v>32688957</v>
      </c>
    </row>
    <row r="132" spans="1:21" x14ac:dyDescent="0.25">
      <c r="A132" s="729">
        <v>33202</v>
      </c>
      <c r="B132" s="727" t="s">
        <v>899</v>
      </c>
      <c r="C132" s="730">
        <v>2.2599999999999999E-4</v>
      </c>
      <c r="D132" s="730">
        <v>1.8359999999999999E-4</v>
      </c>
      <c r="E132" s="728">
        <v>1687474</v>
      </c>
      <c r="F132" s="731">
        <v>1793184</v>
      </c>
      <c r="G132" s="728">
        <f>VLOOKUP(A132,'[3]TSERS Contributions FY 2017'!$A$2:$C$290,3,FALSE)</f>
        <v>271000</v>
      </c>
      <c r="H132" s="731"/>
      <c r="I132" s="728">
        <v>38873</v>
      </c>
      <c r="J132" s="728">
        <v>854975</v>
      </c>
      <c r="K132" s="728">
        <v>283296</v>
      </c>
      <c r="L132" s="731">
        <v>191730</v>
      </c>
      <c r="M132" s="731"/>
      <c r="N132" s="728">
        <v>58664</v>
      </c>
      <c r="O132" s="728">
        <v>612297</v>
      </c>
      <c r="P132" s="728">
        <v>0</v>
      </c>
      <c r="Q132" s="731">
        <v>0</v>
      </c>
      <c r="R132" s="731"/>
      <c r="S132" s="728">
        <v>483245</v>
      </c>
      <c r="T132" s="732">
        <v>81048</v>
      </c>
      <c r="U132" s="732">
        <v>564293</v>
      </c>
    </row>
    <row r="133" spans="1:21" x14ac:dyDescent="0.25">
      <c r="A133" s="729">
        <v>33203</v>
      </c>
      <c r="B133" s="727" t="s">
        <v>900</v>
      </c>
      <c r="C133" s="730">
        <v>1.418E-4</v>
      </c>
      <c r="D133" s="730">
        <v>1.3540000000000001E-4</v>
      </c>
      <c r="E133" s="728">
        <v>1244466</v>
      </c>
      <c r="F133" s="731">
        <v>1125104</v>
      </c>
      <c r="G133" s="728">
        <f>VLOOKUP(A133,'[3]TSERS Contributions FY 2017'!$A$2:$C$290,3,FALSE)</f>
        <v>157860</v>
      </c>
      <c r="H133" s="731"/>
      <c r="I133" s="728">
        <v>24390</v>
      </c>
      <c r="J133" s="728">
        <v>536440</v>
      </c>
      <c r="K133" s="728">
        <v>177749</v>
      </c>
      <c r="L133" s="731">
        <v>23478</v>
      </c>
      <c r="M133" s="731"/>
      <c r="N133" s="728">
        <v>36808</v>
      </c>
      <c r="O133" s="728">
        <v>384176</v>
      </c>
      <c r="P133" s="728">
        <v>0</v>
      </c>
      <c r="Q133" s="731">
        <v>37858</v>
      </c>
      <c r="R133" s="731"/>
      <c r="S133" s="728">
        <v>303204</v>
      </c>
      <c r="T133" s="732">
        <v>801</v>
      </c>
      <c r="U133" s="732">
        <v>304005</v>
      </c>
    </row>
    <row r="134" spans="1:21" x14ac:dyDescent="0.25">
      <c r="A134" s="729">
        <v>33204</v>
      </c>
      <c r="B134" s="727" t="s">
        <v>901</v>
      </c>
      <c r="C134" s="730">
        <v>4.6000000000000001E-4</v>
      </c>
      <c r="D134" s="730">
        <v>4.4210000000000001E-4</v>
      </c>
      <c r="E134" s="728">
        <v>4063356</v>
      </c>
      <c r="F134" s="731">
        <v>3649843</v>
      </c>
      <c r="G134" s="728">
        <f>VLOOKUP(A134,'[3]TSERS Contributions FY 2017'!$A$2:$C$290,3,FALSE)</f>
        <v>535947</v>
      </c>
      <c r="H134" s="731"/>
      <c r="I134" s="728">
        <v>79121.84</v>
      </c>
      <c r="J134" s="728">
        <v>1740215</v>
      </c>
      <c r="K134" s="728">
        <v>576620.12</v>
      </c>
      <c r="L134" s="731">
        <v>11769</v>
      </c>
      <c r="M134" s="731"/>
      <c r="N134" s="728">
        <v>119405.42</v>
      </c>
      <c r="O134" s="728">
        <v>1246268</v>
      </c>
      <c r="P134" s="728">
        <v>0</v>
      </c>
      <c r="Q134" s="731">
        <v>42535</v>
      </c>
      <c r="R134" s="731"/>
      <c r="S134" s="728">
        <v>983595.92</v>
      </c>
      <c r="T134" s="732">
        <v>-22445</v>
      </c>
      <c r="U134" s="732">
        <v>961151</v>
      </c>
    </row>
    <row r="135" spans="1:21" x14ac:dyDescent="0.25">
      <c r="A135" s="729">
        <v>33205</v>
      </c>
      <c r="B135" s="727" t="s">
        <v>902</v>
      </c>
      <c r="C135" s="730">
        <v>1.3364E-3</v>
      </c>
      <c r="D135" s="730">
        <v>1.2955E-3</v>
      </c>
      <c r="E135" s="728">
        <v>11906983</v>
      </c>
      <c r="F135" s="731">
        <v>10603587</v>
      </c>
      <c r="G135" s="728">
        <f>VLOOKUP(A135,'[3]TSERS Contributions FY 2017'!$A$2:$C$290,3,FALSE)</f>
        <v>1938174</v>
      </c>
      <c r="H135" s="731"/>
      <c r="I135" s="728">
        <v>229866</v>
      </c>
      <c r="J135" s="728">
        <v>5055704</v>
      </c>
      <c r="K135" s="728">
        <v>1675207</v>
      </c>
      <c r="L135" s="731">
        <v>377331</v>
      </c>
      <c r="M135" s="731"/>
      <c r="N135" s="728">
        <v>346899</v>
      </c>
      <c r="O135" s="728">
        <v>3620679</v>
      </c>
      <c r="P135" s="728">
        <v>0</v>
      </c>
      <c r="Q135" s="731">
        <v>0</v>
      </c>
      <c r="R135" s="731"/>
      <c r="S135" s="728">
        <v>2857560</v>
      </c>
      <c r="T135" s="732">
        <v>153367</v>
      </c>
      <c r="U135" s="732">
        <v>3010927</v>
      </c>
    </row>
    <row r="136" spans="1:21" x14ac:dyDescent="0.25">
      <c r="A136" s="729">
        <v>33206</v>
      </c>
      <c r="B136" s="727" t="s">
        <v>903</v>
      </c>
      <c r="C136" s="730">
        <v>1.1349999999999999E-4</v>
      </c>
      <c r="D136" s="730">
        <v>1.032E-4</v>
      </c>
      <c r="E136" s="728">
        <v>948515</v>
      </c>
      <c r="F136" s="731">
        <v>900559</v>
      </c>
      <c r="G136" s="728">
        <f>VLOOKUP(A136,'[3]TSERS Contributions FY 2017'!$A$2:$C$290,3,FALSE)</f>
        <v>155437</v>
      </c>
      <c r="H136" s="731"/>
      <c r="I136" s="728">
        <v>19522</v>
      </c>
      <c r="J136" s="728">
        <v>429379</v>
      </c>
      <c r="K136" s="728">
        <v>142275</v>
      </c>
      <c r="L136" s="731">
        <v>45731</v>
      </c>
      <c r="M136" s="731"/>
      <c r="N136" s="728">
        <v>29462</v>
      </c>
      <c r="O136" s="728">
        <v>307503</v>
      </c>
      <c r="P136" s="728">
        <v>0</v>
      </c>
      <c r="Q136" s="731">
        <v>7433</v>
      </c>
      <c r="R136" s="731"/>
      <c r="S136" s="728">
        <v>242692</v>
      </c>
      <c r="T136" s="732">
        <v>21081</v>
      </c>
      <c r="U136" s="732">
        <v>263773</v>
      </c>
    </row>
    <row r="137" spans="1:21" x14ac:dyDescent="0.25">
      <c r="A137" s="729">
        <v>33207</v>
      </c>
      <c r="B137" s="727" t="s">
        <v>1117</v>
      </c>
      <c r="C137" s="730">
        <v>3.0190000000000002E-4</v>
      </c>
      <c r="D137" s="730">
        <v>2.231E-4</v>
      </c>
      <c r="E137" s="728">
        <v>2050519</v>
      </c>
      <c r="F137" s="731">
        <v>2395408</v>
      </c>
      <c r="G137" s="728">
        <f>VLOOKUP(A137,'[3]TSERS Contributions FY 2017'!$A$2:$C$290,3,FALSE)</f>
        <v>310451</v>
      </c>
      <c r="H137" s="731"/>
      <c r="I137" s="728">
        <v>51928</v>
      </c>
      <c r="J137" s="728">
        <v>1142111</v>
      </c>
      <c r="K137" s="728">
        <v>378438</v>
      </c>
      <c r="L137" s="731">
        <v>654132</v>
      </c>
      <c r="M137" s="731"/>
      <c r="N137" s="728">
        <v>78366</v>
      </c>
      <c r="O137" s="728">
        <v>817931</v>
      </c>
      <c r="P137" s="728">
        <v>0</v>
      </c>
      <c r="Q137" s="731">
        <v>0</v>
      </c>
      <c r="R137" s="731"/>
      <c r="S137" s="728">
        <v>645538</v>
      </c>
      <c r="T137" s="732">
        <v>288725</v>
      </c>
      <c r="U137" s="732">
        <v>934263</v>
      </c>
    </row>
    <row r="138" spans="1:21" x14ac:dyDescent="0.25">
      <c r="A138" s="729">
        <v>33208</v>
      </c>
      <c r="B138" s="727" t="s">
        <v>1118</v>
      </c>
      <c r="C138" s="730">
        <v>0</v>
      </c>
      <c r="D138" s="730">
        <v>3.6999999999999998E-5</v>
      </c>
      <c r="E138" s="728">
        <v>340068</v>
      </c>
      <c r="F138" s="731">
        <v>0</v>
      </c>
      <c r="G138" s="728">
        <f>VLOOKUP(A138,'[3]TSERS Contributions FY 2017'!$A$2:$C$290,3,FALSE)</f>
        <v>11223</v>
      </c>
      <c r="H138" s="731"/>
      <c r="I138" s="728">
        <v>0</v>
      </c>
      <c r="J138" s="728">
        <v>0</v>
      </c>
      <c r="K138" s="728">
        <v>0</v>
      </c>
      <c r="L138" s="731">
        <v>58048</v>
      </c>
      <c r="M138" s="731"/>
      <c r="N138" s="728">
        <v>0</v>
      </c>
      <c r="O138" s="728">
        <v>0</v>
      </c>
      <c r="P138" s="728">
        <v>0</v>
      </c>
      <c r="Q138" s="731">
        <v>144481</v>
      </c>
      <c r="R138" s="731"/>
      <c r="S138" s="728">
        <v>0</v>
      </c>
      <c r="T138" s="732">
        <v>-13086</v>
      </c>
      <c r="U138" s="732">
        <v>-13086</v>
      </c>
    </row>
    <row r="139" spans="1:21" x14ac:dyDescent="0.25">
      <c r="A139" s="729">
        <v>33209</v>
      </c>
      <c r="B139" s="727" t="s">
        <v>1119</v>
      </c>
      <c r="C139" s="730">
        <v>7.6600000000000005E-5</v>
      </c>
      <c r="D139" s="730">
        <v>6.5599999999999995E-5</v>
      </c>
      <c r="E139" s="728">
        <v>602932</v>
      </c>
      <c r="F139" s="731">
        <v>607778</v>
      </c>
      <c r="G139" s="728">
        <f>VLOOKUP(A139,'[3]TSERS Contributions FY 2017'!$A$2:$C$290,3,FALSE)</f>
        <v>97339</v>
      </c>
      <c r="H139" s="731"/>
      <c r="I139" s="728">
        <v>13176</v>
      </c>
      <c r="J139" s="728">
        <v>289784</v>
      </c>
      <c r="K139" s="728">
        <v>96020</v>
      </c>
      <c r="L139" s="731">
        <v>149678</v>
      </c>
      <c r="M139" s="731"/>
      <c r="N139" s="728">
        <v>19884</v>
      </c>
      <c r="O139" s="728">
        <v>207531</v>
      </c>
      <c r="P139" s="728">
        <v>0</v>
      </c>
      <c r="Q139" s="731">
        <v>0</v>
      </c>
      <c r="R139" s="731"/>
      <c r="S139" s="728">
        <v>163790</v>
      </c>
      <c r="T139" s="732">
        <v>80329</v>
      </c>
      <c r="U139" s="732">
        <v>244119</v>
      </c>
    </row>
    <row r="140" spans="1:21" x14ac:dyDescent="0.25">
      <c r="A140" s="729">
        <v>33300</v>
      </c>
      <c r="B140" s="727" t="s">
        <v>904</v>
      </c>
      <c r="C140" s="730">
        <v>2.2932999999999999E-3</v>
      </c>
      <c r="D140" s="730">
        <v>2.2869000000000001E-3</v>
      </c>
      <c r="E140" s="728">
        <v>21018973</v>
      </c>
      <c r="F140" s="731">
        <v>18196054</v>
      </c>
      <c r="G140" s="728">
        <f>VLOOKUP(A140,'[3]TSERS Contributions FY 2017'!$A$2:$C$290,3,FALSE)</f>
        <v>3249564</v>
      </c>
      <c r="H140" s="731"/>
      <c r="I140" s="728">
        <v>394457</v>
      </c>
      <c r="J140" s="728">
        <v>8675730</v>
      </c>
      <c r="K140" s="728">
        <v>2874702</v>
      </c>
      <c r="L140" s="731">
        <v>0</v>
      </c>
      <c r="M140" s="731"/>
      <c r="N140" s="728">
        <v>595288</v>
      </c>
      <c r="O140" s="728">
        <v>6213187</v>
      </c>
      <c r="P140" s="728">
        <v>0</v>
      </c>
      <c r="Q140" s="731">
        <v>182173</v>
      </c>
      <c r="R140" s="731"/>
      <c r="S140" s="728">
        <v>4903653</v>
      </c>
      <c r="T140" s="732">
        <v>-183983</v>
      </c>
      <c r="U140" s="732">
        <v>4719670</v>
      </c>
    </row>
    <row r="141" spans="1:21" x14ac:dyDescent="0.25">
      <c r="A141" s="729">
        <v>33305</v>
      </c>
      <c r="B141" s="727" t="s">
        <v>905</v>
      </c>
      <c r="C141" s="730">
        <v>5.6919999999999996E-4</v>
      </c>
      <c r="D141" s="730">
        <v>6.0360000000000003E-4</v>
      </c>
      <c r="E141" s="728">
        <v>5547708</v>
      </c>
      <c r="F141" s="731">
        <v>4516284</v>
      </c>
      <c r="G141" s="728">
        <f>VLOOKUP(A141,'[3]TSERS Contributions FY 2017'!$A$2:$C$290,3,FALSE)</f>
        <v>955651</v>
      </c>
      <c r="H141" s="731"/>
      <c r="I141" s="728">
        <v>97905</v>
      </c>
      <c r="J141" s="728">
        <v>2153327</v>
      </c>
      <c r="K141" s="728">
        <v>713505</v>
      </c>
      <c r="L141" s="731">
        <v>26877</v>
      </c>
      <c r="M141" s="731"/>
      <c r="N141" s="728">
        <v>147751</v>
      </c>
      <c r="O141" s="728">
        <v>1542121</v>
      </c>
      <c r="P141" s="728">
        <v>0</v>
      </c>
      <c r="Q141" s="731">
        <v>61681</v>
      </c>
      <c r="R141" s="731"/>
      <c r="S141" s="728">
        <v>1217093</v>
      </c>
      <c r="T141" s="732">
        <v>-40815</v>
      </c>
      <c r="U141" s="732">
        <v>1176278</v>
      </c>
    </row>
    <row r="142" spans="1:21" x14ac:dyDescent="0.25">
      <c r="A142" s="729">
        <v>33400</v>
      </c>
      <c r="B142" s="727" t="s">
        <v>906</v>
      </c>
      <c r="C142" s="730">
        <v>2.0501200000000001E-2</v>
      </c>
      <c r="D142" s="730">
        <v>2.05119E-2</v>
      </c>
      <c r="E142" s="728">
        <v>188525550</v>
      </c>
      <c r="F142" s="731">
        <v>162665562</v>
      </c>
      <c r="G142" s="728">
        <f>VLOOKUP(A142,'[3]TSERS Contributions FY 2017'!$A$2:$C$290,3,FALSE)</f>
        <v>29076028</v>
      </c>
      <c r="H142" s="731"/>
      <c r="I142" s="728">
        <v>3526288</v>
      </c>
      <c r="J142" s="728">
        <v>77557618</v>
      </c>
      <c r="K142" s="728">
        <v>25698705</v>
      </c>
      <c r="L142" s="731">
        <v>1203320</v>
      </c>
      <c r="M142" s="731"/>
      <c r="N142" s="728">
        <v>5321640</v>
      </c>
      <c r="O142" s="728">
        <v>55543450</v>
      </c>
      <c r="P142" s="728">
        <v>0</v>
      </c>
      <c r="Q142" s="731">
        <v>308251</v>
      </c>
      <c r="R142" s="731"/>
      <c r="S142" s="728">
        <v>43836732</v>
      </c>
      <c r="T142" s="732">
        <v>686706</v>
      </c>
      <c r="U142" s="732">
        <v>44523438</v>
      </c>
    </row>
    <row r="143" spans="1:21" x14ac:dyDescent="0.25">
      <c r="A143" s="729">
        <v>33402</v>
      </c>
      <c r="B143" s="727" t="s">
        <v>907</v>
      </c>
      <c r="C143" s="730">
        <v>1.6369999999999999E-4</v>
      </c>
      <c r="D143" s="730">
        <v>1.585E-4</v>
      </c>
      <c r="E143" s="728">
        <v>1456779</v>
      </c>
      <c r="F143" s="731">
        <v>1298868</v>
      </c>
      <c r="G143" s="728">
        <f>VLOOKUP(A143,'[3]TSERS Contributions FY 2017'!$A$2:$C$290,3,FALSE)</f>
        <v>208318</v>
      </c>
      <c r="H143" s="731"/>
      <c r="I143" s="728">
        <v>28157</v>
      </c>
      <c r="J143" s="728">
        <v>619290</v>
      </c>
      <c r="K143" s="728">
        <v>205202</v>
      </c>
      <c r="L143" s="731">
        <v>24969</v>
      </c>
      <c r="M143" s="731"/>
      <c r="N143" s="728">
        <v>42493</v>
      </c>
      <c r="O143" s="728">
        <v>443509</v>
      </c>
      <c r="P143" s="728">
        <v>0</v>
      </c>
      <c r="Q143" s="731">
        <v>2495</v>
      </c>
      <c r="R143" s="731"/>
      <c r="S143" s="728">
        <v>350032</v>
      </c>
      <c r="T143" s="732">
        <v>18710</v>
      </c>
      <c r="U143" s="732">
        <v>368741</v>
      </c>
    </row>
    <row r="144" spans="1:21" x14ac:dyDescent="0.25">
      <c r="A144" s="729">
        <v>33403</v>
      </c>
      <c r="B144" s="727" t="s">
        <v>908</v>
      </c>
      <c r="C144" s="730">
        <v>0</v>
      </c>
      <c r="D144" s="730">
        <v>0</v>
      </c>
      <c r="E144" s="728">
        <v>0</v>
      </c>
      <c r="F144" s="731">
        <v>0</v>
      </c>
      <c r="G144" s="728">
        <v>0</v>
      </c>
      <c r="H144" s="731"/>
      <c r="I144" s="728">
        <v>0</v>
      </c>
      <c r="J144" s="728">
        <v>0</v>
      </c>
      <c r="K144" s="728">
        <v>0</v>
      </c>
      <c r="L144" s="731">
        <v>0</v>
      </c>
      <c r="M144" s="731"/>
      <c r="N144" s="728">
        <v>0</v>
      </c>
      <c r="O144" s="728">
        <v>0</v>
      </c>
      <c r="P144" s="728">
        <v>0</v>
      </c>
      <c r="Q144" s="731">
        <v>40051</v>
      </c>
      <c r="R144" s="731"/>
      <c r="S144" s="728">
        <v>0</v>
      </c>
      <c r="T144" s="732">
        <v>-50697</v>
      </c>
      <c r="U144" s="732">
        <v>-50697</v>
      </c>
    </row>
    <row r="145" spans="1:21" x14ac:dyDescent="0.25">
      <c r="A145" s="729">
        <v>33405</v>
      </c>
      <c r="B145" s="727" t="s">
        <v>909</v>
      </c>
      <c r="C145" s="730">
        <v>1.9762E-3</v>
      </c>
      <c r="D145" s="730">
        <v>2.0352E-3</v>
      </c>
      <c r="E145" s="728">
        <v>18705590</v>
      </c>
      <c r="F145" s="731">
        <v>15680042</v>
      </c>
      <c r="G145" s="728">
        <f>VLOOKUP(A145,'[3]TSERS Contributions FY 2017'!$A$2:$C$290,3,FALSE)</f>
        <v>3030609</v>
      </c>
      <c r="H145" s="731"/>
      <c r="I145" s="728">
        <v>339914</v>
      </c>
      <c r="J145" s="728">
        <v>7476117</v>
      </c>
      <c r="K145" s="728">
        <v>2477210</v>
      </c>
      <c r="L145" s="731">
        <v>320892</v>
      </c>
      <c r="M145" s="731"/>
      <c r="N145" s="728">
        <v>512976</v>
      </c>
      <c r="O145" s="728">
        <v>5354075</v>
      </c>
      <c r="P145" s="728">
        <v>0</v>
      </c>
      <c r="Q145" s="731">
        <v>93548</v>
      </c>
      <c r="R145" s="731"/>
      <c r="S145" s="728">
        <v>4225614</v>
      </c>
      <c r="T145" s="732">
        <v>244127</v>
      </c>
      <c r="U145" s="732">
        <v>4469741</v>
      </c>
    </row>
    <row r="146" spans="1:21" x14ac:dyDescent="0.25">
      <c r="A146" s="734">
        <v>33500</v>
      </c>
      <c r="B146" s="727" t="s">
        <v>910</v>
      </c>
      <c r="C146" s="730">
        <v>3.2347999999999999E-3</v>
      </c>
      <c r="D146" s="730">
        <v>3.3923E-3</v>
      </c>
      <c r="E146" s="728">
        <v>31178741</v>
      </c>
      <c r="F146" s="731">
        <v>25666330</v>
      </c>
      <c r="G146" s="728">
        <f>VLOOKUP(A146,'[3]TSERS Contributions FY 2017'!$A$2:$C$290,3,FALSE)</f>
        <v>4330346</v>
      </c>
      <c r="H146" s="731"/>
      <c r="I146" s="728">
        <v>556399</v>
      </c>
      <c r="J146" s="728">
        <v>12237497</v>
      </c>
      <c r="K146" s="728">
        <v>4054893</v>
      </c>
      <c r="L146" s="731">
        <v>301696</v>
      </c>
      <c r="M146" s="731"/>
      <c r="N146" s="728">
        <v>839680</v>
      </c>
      <c r="O146" s="728">
        <v>8763972</v>
      </c>
      <c r="P146" s="728">
        <v>0</v>
      </c>
      <c r="Q146" s="731">
        <v>825094</v>
      </c>
      <c r="R146" s="731"/>
      <c r="S146" s="728">
        <v>6916818</v>
      </c>
      <c r="T146" s="732">
        <v>-51888</v>
      </c>
      <c r="U146" s="732">
        <v>6864929</v>
      </c>
    </row>
    <row r="147" spans="1:21" x14ac:dyDescent="0.25">
      <c r="A147" s="734">
        <v>33501</v>
      </c>
      <c r="B147" s="727" t="s">
        <v>911</v>
      </c>
      <c r="C147" s="730">
        <v>7.8100000000000001E-5</v>
      </c>
      <c r="D147" s="730">
        <v>7.0699999999999997E-5</v>
      </c>
      <c r="E147" s="728">
        <v>649806</v>
      </c>
      <c r="F147" s="731">
        <v>619680</v>
      </c>
      <c r="G147" s="728">
        <f>VLOOKUP(A147,'[3]TSERS Contributions FY 2017'!$A$2:$C$290,3,FALSE)</f>
        <v>96061</v>
      </c>
      <c r="H147" s="731"/>
      <c r="I147" s="728">
        <v>13434</v>
      </c>
      <c r="J147" s="728">
        <v>295458</v>
      </c>
      <c r="K147" s="728">
        <v>97900</v>
      </c>
      <c r="L147" s="731">
        <v>25004</v>
      </c>
      <c r="M147" s="731"/>
      <c r="N147" s="728">
        <v>20273</v>
      </c>
      <c r="O147" s="728">
        <v>211595</v>
      </c>
      <c r="P147" s="728">
        <v>0</v>
      </c>
      <c r="Q147" s="731">
        <v>4893</v>
      </c>
      <c r="R147" s="731"/>
      <c r="S147" s="728">
        <v>166997</v>
      </c>
      <c r="T147" s="732">
        <v>5029</v>
      </c>
      <c r="U147" s="732">
        <v>172026</v>
      </c>
    </row>
    <row r="148" spans="1:21" x14ac:dyDescent="0.25">
      <c r="A148" s="734">
        <v>33600</v>
      </c>
      <c r="B148" s="727" t="s">
        <v>912</v>
      </c>
      <c r="C148" s="730">
        <v>1.0969400000000001E-2</v>
      </c>
      <c r="D148" s="730">
        <v>1.0871499999999999E-2</v>
      </c>
      <c r="E148" s="728">
        <v>99920315</v>
      </c>
      <c r="F148" s="731">
        <v>87036057</v>
      </c>
      <c r="G148" s="728">
        <f>VLOOKUP(A148,'[3]TSERS Contributions FY 2017'!$A$2:$C$290,3,FALSE)</f>
        <v>14965571</v>
      </c>
      <c r="H148" s="731"/>
      <c r="I148" s="728">
        <v>1886781</v>
      </c>
      <c r="J148" s="728">
        <v>41498085</v>
      </c>
      <c r="K148" s="728">
        <v>13750384</v>
      </c>
      <c r="L148" s="731">
        <v>683033</v>
      </c>
      <c r="M148" s="731"/>
      <c r="N148" s="728">
        <v>2847404</v>
      </c>
      <c r="O148" s="728">
        <v>29719154</v>
      </c>
      <c r="P148" s="728">
        <v>0</v>
      </c>
      <c r="Q148" s="731">
        <v>392093</v>
      </c>
      <c r="R148" s="731"/>
      <c r="S148" s="728">
        <v>23455341</v>
      </c>
      <c r="T148" s="732">
        <v>46873</v>
      </c>
      <c r="U148" s="732">
        <v>23502215</v>
      </c>
    </row>
    <row r="149" spans="1:21" x14ac:dyDescent="0.25">
      <c r="A149" s="729">
        <v>33605</v>
      </c>
      <c r="B149" s="727" t="s">
        <v>913</v>
      </c>
      <c r="C149" s="730">
        <v>1.4507999999999999E-3</v>
      </c>
      <c r="D149" s="730">
        <v>1.4801E-3</v>
      </c>
      <c r="E149" s="728">
        <v>13603648</v>
      </c>
      <c r="F149" s="731">
        <v>11511287</v>
      </c>
      <c r="G149" s="728">
        <f>VLOOKUP(A149,'[3]TSERS Contributions FY 2017'!$A$2:$C$290,3,FALSE)</f>
        <v>2299487</v>
      </c>
      <c r="H149" s="731"/>
      <c r="I149" s="728">
        <v>249543</v>
      </c>
      <c r="J149" s="728">
        <v>5488488</v>
      </c>
      <c r="K149" s="728">
        <v>1818610</v>
      </c>
      <c r="L149" s="731">
        <v>166424</v>
      </c>
      <c r="M149" s="731"/>
      <c r="N149" s="728">
        <v>376594</v>
      </c>
      <c r="O149" s="728">
        <v>3930621</v>
      </c>
      <c r="P149" s="728">
        <v>0</v>
      </c>
      <c r="Q149" s="731">
        <v>0</v>
      </c>
      <c r="R149" s="731"/>
      <c r="S149" s="728">
        <v>3102176</v>
      </c>
      <c r="T149" s="732">
        <v>83936</v>
      </c>
      <c r="U149" s="732">
        <v>3186112</v>
      </c>
    </row>
    <row r="150" spans="1:21" x14ac:dyDescent="0.25">
      <c r="A150" s="729">
        <v>33700</v>
      </c>
      <c r="B150" s="727" t="s">
        <v>914</v>
      </c>
      <c r="C150" s="730">
        <v>7.5849999999999995E-4</v>
      </c>
      <c r="D150" s="730">
        <v>7.9049999999999997E-4</v>
      </c>
      <c r="E150" s="728">
        <v>7265512</v>
      </c>
      <c r="F150" s="731">
        <v>6018273</v>
      </c>
      <c r="G150" s="728">
        <f>VLOOKUP(A150,'[3]TSERS Contributions FY 2017'!$A$2:$C$290,3,FALSE)</f>
        <v>1080814</v>
      </c>
      <c r="H150" s="731"/>
      <c r="I150" s="728">
        <v>130465</v>
      </c>
      <c r="J150" s="728">
        <v>2869464</v>
      </c>
      <c r="K150" s="728">
        <v>950796</v>
      </c>
      <c r="L150" s="731">
        <v>14450</v>
      </c>
      <c r="M150" s="731"/>
      <c r="N150" s="728">
        <v>196889</v>
      </c>
      <c r="O150" s="728">
        <v>2054987</v>
      </c>
      <c r="P150" s="728">
        <v>0</v>
      </c>
      <c r="Q150" s="731">
        <v>226720</v>
      </c>
      <c r="R150" s="731"/>
      <c r="S150" s="728">
        <v>1621864</v>
      </c>
      <c r="T150" s="732">
        <v>-68290</v>
      </c>
      <c r="U150" s="732">
        <v>1553574</v>
      </c>
    </row>
    <row r="151" spans="1:21" x14ac:dyDescent="0.25">
      <c r="A151" s="729">
        <v>33800</v>
      </c>
      <c r="B151" s="727" t="s">
        <v>915</v>
      </c>
      <c r="C151" s="730">
        <v>5.8359999999999998E-4</v>
      </c>
      <c r="D151" s="730">
        <v>5.8219999999999995E-4</v>
      </c>
      <c r="E151" s="728">
        <v>5351019</v>
      </c>
      <c r="F151" s="731">
        <v>4630540</v>
      </c>
      <c r="G151" s="728">
        <f>VLOOKUP(A151,'[3]TSERS Contributions FY 2017'!$A$2:$C$290,3,FALSE)</f>
        <v>816941</v>
      </c>
      <c r="H151" s="731"/>
      <c r="I151" s="728">
        <v>100382</v>
      </c>
      <c r="J151" s="728">
        <v>2207804</v>
      </c>
      <c r="K151" s="728">
        <v>731555</v>
      </c>
      <c r="L151" s="731">
        <v>43440</v>
      </c>
      <c r="M151" s="731"/>
      <c r="N151" s="728">
        <v>151489</v>
      </c>
      <c r="O151" s="728">
        <v>1581135</v>
      </c>
      <c r="P151" s="728">
        <v>0</v>
      </c>
      <c r="Q151" s="731">
        <v>18602</v>
      </c>
      <c r="R151" s="731"/>
      <c r="S151" s="728">
        <v>1247884</v>
      </c>
      <c r="T151" s="732">
        <v>10609</v>
      </c>
      <c r="U151" s="732">
        <v>1258493</v>
      </c>
    </row>
    <row r="152" spans="1:21" x14ac:dyDescent="0.25">
      <c r="A152" s="729">
        <v>33900</v>
      </c>
      <c r="B152" s="727" t="s">
        <v>916</v>
      </c>
      <c r="C152" s="730">
        <v>2.9142999999999999E-3</v>
      </c>
      <c r="D152" s="730">
        <v>3.0546000000000002E-3</v>
      </c>
      <c r="E152" s="728">
        <v>28074929</v>
      </c>
      <c r="F152" s="731">
        <v>23123341</v>
      </c>
      <c r="G152" s="728">
        <f>VLOOKUP(A152,'[3]TSERS Contributions FY 2017'!$A$2:$C$290,3,FALSE)</f>
        <v>4215172</v>
      </c>
      <c r="H152" s="731"/>
      <c r="I152" s="728">
        <v>501271</v>
      </c>
      <c r="J152" s="728">
        <v>11025021</v>
      </c>
      <c r="K152" s="728">
        <v>3653139</v>
      </c>
      <c r="L152" s="731">
        <v>163761</v>
      </c>
      <c r="M152" s="731"/>
      <c r="N152" s="728">
        <v>756485</v>
      </c>
      <c r="O152" s="728">
        <v>7895649</v>
      </c>
      <c r="P152" s="728">
        <v>0</v>
      </c>
      <c r="Q152" s="731">
        <v>692160</v>
      </c>
      <c r="R152" s="731"/>
      <c r="S152" s="728">
        <v>6231508</v>
      </c>
      <c r="T152" s="732">
        <v>-250325</v>
      </c>
      <c r="U152" s="732">
        <v>5981183</v>
      </c>
    </row>
    <row r="153" spans="1:21" x14ac:dyDescent="0.25">
      <c r="A153" s="729">
        <v>34000</v>
      </c>
      <c r="B153" s="727" t="s">
        <v>917</v>
      </c>
      <c r="C153" s="730">
        <v>1.3129999999999999E-3</v>
      </c>
      <c r="D153" s="730">
        <v>1.3045000000000001E-3</v>
      </c>
      <c r="E153" s="728">
        <v>11989703</v>
      </c>
      <c r="F153" s="731">
        <v>10417921</v>
      </c>
      <c r="G153" s="728">
        <f>VLOOKUP(A153,'[3]TSERS Contributions FY 2017'!$A$2:$C$290,3,FALSE)</f>
        <v>1774936</v>
      </c>
      <c r="H153" s="731"/>
      <c r="I153" s="728">
        <v>225841</v>
      </c>
      <c r="J153" s="728">
        <v>4967180</v>
      </c>
      <c r="K153" s="728">
        <v>1645874</v>
      </c>
      <c r="L153" s="731">
        <v>0</v>
      </c>
      <c r="M153" s="731"/>
      <c r="N153" s="728">
        <v>340825</v>
      </c>
      <c r="O153" s="728">
        <v>3557282</v>
      </c>
      <c r="P153" s="728">
        <v>0</v>
      </c>
      <c r="Q153" s="731">
        <v>326466</v>
      </c>
      <c r="R153" s="731"/>
      <c r="S153" s="728">
        <v>2807525</v>
      </c>
      <c r="T153" s="732">
        <v>-191244</v>
      </c>
      <c r="U153" s="732">
        <v>2616281</v>
      </c>
    </row>
    <row r="154" spans="1:21" x14ac:dyDescent="0.25">
      <c r="A154" s="729">
        <v>34100</v>
      </c>
      <c r="B154" s="727" t="s">
        <v>918</v>
      </c>
      <c r="C154" s="730">
        <v>2.94278E-2</v>
      </c>
      <c r="D154" s="730">
        <v>2.9814299999999998E-2</v>
      </c>
      <c r="E154" s="728">
        <v>274024215</v>
      </c>
      <c r="F154" s="731">
        <v>233493143</v>
      </c>
      <c r="G154" s="728">
        <f>VLOOKUP(A154,'[3]TSERS Contributions FY 2017'!$A$2:$C$290,3,FALSE)</f>
        <v>39704334</v>
      </c>
      <c r="H154" s="731"/>
      <c r="I154" s="728">
        <v>5061699</v>
      </c>
      <c r="J154" s="728">
        <v>111327633</v>
      </c>
      <c r="K154" s="728">
        <v>36888395</v>
      </c>
      <c r="L154" s="731">
        <v>152410</v>
      </c>
      <c r="M154" s="731"/>
      <c r="N154" s="728">
        <v>7638780</v>
      </c>
      <c r="O154" s="728">
        <v>79728091</v>
      </c>
      <c r="P154" s="728">
        <v>0</v>
      </c>
      <c r="Q154" s="731">
        <v>7205310</v>
      </c>
      <c r="R154" s="731"/>
      <c r="S154" s="728">
        <v>62924052</v>
      </c>
      <c r="T154" s="732">
        <v>-2659808</v>
      </c>
      <c r="U154" s="732">
        <v>60264244</v>
      </c>
    </row>
    <row r="155" spans="1:21" x14ac:dyDescent="0.25">
      <c r="A155" s="729">
        <v>34105</v>
      </c>
      <c r="B155" s="727" t="s">
        <v>919</v>
      </c>
      <c r="C155" s="730">
        <v>2.5642999999999998E-3</v>
      </c>
      <c r="D155" s="730">
        <v>2.5124000000000001E-3</v>
      </c>
      <c r="E155" s="728">
        <v>23091551</v>
      </c>
      <c r="F155" s="731">
        <v>20346287</v>
      </c>
      <c r="G155" s="728">
        <f>VLOOKUP(A155,'[3]TSERS Contributions FY 2017'!$A$2:$C$290,3,FALSE)</f>
        <v>3859870</v>
      </c>
      <c r="H155" s="731"/>
      <c r="I155" s="728">
        <v>441070</v>
      </c>
      <c r="J155" s="728">
        <v>9700944</v>
      </c>
      <c r="K155" s="728">
        <v>3214406</v>
      </c>
      <c r="L155" s="731">
        <v>328044</v>
      </c>
      <c r="M155" s="731"/>
      <c r="N155" s="728">
        <v>665633</v>
      </c>
      <c r="O155" s="728">
        <v>6947402</v>
      </c>
      <c r="P155" s="728">
        <v>0</v>
      </c>
      <c r="Q155" s="731">
        <v>370843</v>
      </c>
      <c r="R155" s="731"/>
      <c r="S155" s="728">
        <v>5483120</v>
      </c>
      <c r="T155" s="732">
        <v>-62710</v>
      </c>
      <c r="U155" s="732">
        <v>5420409</v>
      </c>
    </row>
    <row r="156" spans="1:21" x14ac:dyDescent="0.25">
      <c r="A156" s="729">
        <v>34200</v>
      </c>
      <c r="B156" s="727" t="s">
        <v>920</v>
      </c>
      <c r="C156" s="730">
        <v>9.6480000000000003E-4</v>
      </c>
      <c r="D156" s="730">
        <v>1.1073999999999999E-3</v>
      </c>
      <c r="E156" s="728">
        <v>10178150</v>
      </c>
      <c r="F156" s="731">
        <v>7655149</v>
      </c>
      <c r="G156" s="728">
        <f>VLOOKUP(A156,'[3]TSERS Contributions FY 2017'!$A$2:$C$290,3,FALSE)</f>
        <v>1482102</v>
      </c>
      <c r="H156" s="731"/>
      <c r="I156" s="728">
        <v>165949</v>
      </c>
      <c r="J156" s="728">
        <v>3649913</v>
      </c>
      <c r="K156" s="728">
        <v>1209398</v>
      </c>
      <c r="L156" s="731">
        <v>0</v>
      </c>
      <c r="M156" s="731"/>
      <c r="N156" s="728">
        <v>250440</v>
      </c>
      <c r="O156" s="728">
        <v>2613911</v>
      </c>
      <c r="P156" s="728">
        <v>0</v>
      </c>
      <c r="Q156" s="731">
        <v>1345248</v>
      </c>
      <c r="R156" s="731"/>
      <c r="S156" s="728">
        <v>2062986</v>
      </c>
      <c r="T156" s="732">
        <v>-634505</v>
      </c>
      <c r="U156" s="732">
        <v>1428481</v>
      </c>
    </row>
    <row r="157" spans="1:21" x14ac:dyDescent="0.25">
      <c r="A157" s="729">
        <v>34205</v>
      </c>
      <c r="B157" s="727" t="s">
        <v>921</v>
      </c>
      <c r="C157" s="730">
        <v>4.6109999999999999E-4</v>
      </c>
      <c r="D157" s="730">
        <v>4.4920000000000002E-4</v>
      </c>
      <c r="E157" s="728">
        <v>4128612</v>
      </c>
      <c r="F157" s="731">
        <v>3658571</v>
      </c>
      <c r="G157" s="728">
        <f>VLOOKUP(A157,'[3]TSERS Contributions FY 2017'!$A$2:$C$290,3,FALSE)</f>
        <v>727583</v>
      </c>
      <c r="H157" s="731"/>
      <c r="I157" s="728">
        <v>79311</v>
      </c>
      <c r="J157" s="728">
        <v>1744377</v>
      </c>
      <c r="K157" s="728">
        <v>577999</v>
      </c>
      <c r="L157" s="731">
        <v>93741</v>
      </c>
      <c r="M157" s="731"/>
      <c r="N157" s="728">
        <v>119691</v>
      </c>
      <c r="O157" s="728">
        <v>1249248</v>
      </c>
      <c r="P157" s="728">
        <v>0</v>
      </c>
      <c r="Q157" s="731">
        <v>76041</v>
      </c>
      <c r="R157" s="731"/>
      <c r="S157" s="728">
        <v>985948</v>
      </c>
      <c r="T157" s="732">
        <v>-6558</v>
      </c>
      <c r="U157" s="732">
        <v>979390</v>
      </c>
    </row>
    <row r="158" spans="1:21" x14ac:dyDescent="0.25">
      <c r="A158" s="729">
        <v>34220</v>
      </c>
      <c r="B158" s="727" t="s">
        <v>922</v>
      </c>
      <c r="C158" s="730">
        <v>1.0878000000000001E-3</v>
      </c>
      <c r="D158" s="730">
        <v>1.0677E-3</v>
      </c>
      <c r="E158" s="728">
        <v>9813266</v>
      </c>
      <c r="F158" s="731">
        <v>8631085</v>
      </c>
      <c r="G158" s="728">
        <f>VLOOKUP(A158,'[3]TSERS Contributions FY 2017'!$A$2:$C$290,3,FALSE)</f>
        <v>1615026</v>
      </c>
      <c r="H158" s="731"/>
      <c r="I158" s="728">
        <v>187106</v>
      </c>
      <c r="J158" s="728">
        <v>4115231</v>
      </c>
      <c r="K158" s="728">
        <v>1363581</v>
      </c>
      <c r="L158" s="731">
        <v>174023</v>
      </c>
      <c r="M158" s="731"/>
      <c r="N158" s="728">
        <v>282368</v>
      </c>
      <c r="O158" s="728">
        <v>2947153</v>
      </c>
      <c r="P158" s="728">
        <v>0</v>
      </c>
      <c r="Q158" s="731">
        <v>5416</v>
      </c>
      <c r="R158" s="731"/>
      <c r="S158" s="728">
        <v>2325991</v>
      </c>
      <c r="T158" s="732">
        <v>57300</v>
      </c>
      <c r="U158" s="732">
        <v>2383290</v>
      </c>
    </row>
    <row r="159" spans="1:21" x14ac:dyDescent="0.25">
      <c r="A159" s="729">
        <v>34230</v>
      </c>
      <c r="B159" s="727" t="s">
        <v>923</v>
      </c>
      <c r="C159" s="730">
        <v>4.3560000000000002E-4</v>
      </c>
      <c r="D159" s="730">
        <v>4.9019999999999999E-4</v>
      </c>
      <c r="E159" s="728">
        <v>4505444</v>
      </c>
      <c r="F159" s="731">
        <v>3456242</v>
      </c>
      <c r="G159" s="728">
        <f>VLOOKUP(A159,'[3]TSERS Contributions FY 2017'!$A$2:$C$290,3,FALSE)</f>
        <v>629956</v>
      </c>
      <c r="H159" s="731"/>
      <c r="I159" s="728">
        <v>74925</v>
      </c>
      <c r="J159" s="728">
        <v>1647908</v>
      </c>
      <c r="K159" s="728">
        <v>546034</v>
      </c>
      <c r="L159" s="731">
        <v>525</v>
      </c>
      <c r="M159" s="731"/>
      <c r="N159" s="728">
        <v>113072</v>
      </c>
      <c r="O159" s="728">
        <v>1180161</v>
      </c>
      <c r="P159" s="728">
        <v>0</v>
      </c>
      <c r="Q159" s="731">
        <v>225084</v>
      </c>
      <c r="R159" s="731"/>
      <c r="S159" s="728">
        <v>931423</v>
      </c>
      <c r="T159" s="732">
        <v>-77169</v>
      </c>
      <c r="U159" s="732">
        <v>854254</v>
      </c>
    </row>
    <row r="160" spans="1:21" x14ac:dyDescent="0.25">
      <c r="A160" s="729">
        <v>34300</v>
      </c>
      <c r="B160" s="727" t="s">
        <v>924</v>
      </c>
      <c r="C160" s="730">
        <v>7.1383000000000002E-3</v>
      </c>
      <c r="D160" s="730">
        <v>7.0816000000000004E-3</v>
      </c>
      <c r="E160" s="728">
        <v>65087219</v>
      </c>
      <c r="F160" s="731">
        <v>56638420</v>
      </c>
      <c r="G160" s="728">
        <f>VLOOKUP(A160,'[3]TSERS Contributions FY 2017'!$A$2:$C$290,3,FALSE)</f>
        <v>9548802</v>
      </c>
      <c r="H160" s="731"/>
      <c r="I160" s="728">
        <v>1227816</v>
      </c>
      <c r="J160" s="728">
        <v>27004739</v>
      </c>
      <c r="K160" s="728">
        <v>8948016</v>
      </c>
      <c r="L160" s="731">
        <v>339778</v>
      </c>
      <c r="M160" s="731"/>
      <c r="N160" s="728">
        <v>1852938</v>
      </c>
      <c r="O160" s="728">
        <v>19339639</v>
      </c>
      <c r="P160" s="728">
        <v>0</v>
      </c>
      <c r="Q160" s="731">
        <v>1295207</v>
      </c>
      <c r="R160" s="731"/>
      <c r="S160" s="728">
        <v>15263484</v>
      </c>
      <c r="T160" s="732">
        <v>-222710</v>
      </c>
      <c r="U160" s="732">
        <v>15040774</v>
      </c>
    </row>
    <row r="161" spans="1:21" x14ac:dyDescent="0.25">
      <c r="A161" s="729">
        <v>34400</v>
      </c>
      <c r="B161" s="727" t="s">
        <v>925</v>
      </c>
      <c r="C161" s="730">
        <v>2.8241999999999998E-3</v>
      </c>
      <c r="D161" s="730">
        <v>2.9927E-3</v>
      </c>
      <c r="E161" s="728">
        <v>27506004</v>
      </c>
      <c r="F161" s="731">
        <v>22408448</v>
      </c>
      <c r="G161" s="728">
        <f>VLOOKUP(A161,'[3]TSERS Contributions FY 2017'!$A$2:$C$290,3,FALSE)</f>
        <v>3864608</v>
      </c>
      <c r="H161" s="731"/>
      <c r="I161" s="728">
        <v>485774</v>
      </c>
      <c r="J161" s="728">
        <v>10684166</v>
      </c>
      <c r="K161" s="728">
        <v>3540197</v>
      </c>
      <c r="L161" s="731">
        <v>52246</v>
      </c>
      <c r="M161" s="731"/>
      <c r="N161" s="728">
        <v>733097</v>
      </c>
      <c r="O161" s="728">
        <v>7651543</v>
      </c>
      <c r="P161" s="728">
        <v>0</v>
      </c>
      <c r="Q161" s="731">
        <v>926692</v>
      </c>
      <c r="R161" s="731"/>
      <c r="S161" s="728">
        <v>6038851</v>
      </c>
      <c r="T161" s="732">
        <v>-323866</v>
      </c>
      <c r="U161" s="732">
        <v>5714986</v>
      </c>
    </row>
    <row r="162" spans="1:21" x14ac:dyDescent="0.25">
      <c r="A162" s="729">
        <v>34405</v>
      </c>
      <c r="B162" s="727" t="s">
        <v>926</v>
      </c>
      <c r="C162" s="730">
        <v>5.6530000000000003E-4</v>
      </c>
      <c r="D162" s="730">
        <v>5.9949999999999999E-4</v>
      </c>
      <c r="E162" s="728">
        <v>5510024</v>
      </c>
      <c r="F162" s="731">
        <v>4485339</v>
      </c>
      <c r="G162" s="728">
        <f>VLOOKUP(A162,'[3]TSERS Contributions FY 2017'!$A$2:$C$290,3,FALSE)</f>
        <v>820413</v>
      </c>
      <c r="H162" s="731"/>
      <c r="I162" s="728">
        <v>97234</v>
      </c>
      <c r="J162" s="728">
        <v>2138573</v>
      </c>
      <c r="K162" s="728">
        <v>708616</v>
      </c>
      <c r="L162" s="731">
        <v>3818</v>
      </c>
      <c r="M162" s="731"/>
      <c r="N162" s="728">
        <v>146739</v>
      </c>
      <c r="O162" s="728">
        <v>1531555</v>
      </c>
      <c r="P162" s="728">
        <v>0</v>
      </c>
      <c r="Q162" s="731">
        <v>217532</v>
      </c>
      <c r="R162" s="731"/>
      <c r="S162" s="728">
        <v>1208754</v>
      </c>
      <c r="T162" s="732">
        <v>-86149</v>
      </c>
      <c r="U162" s="732">
        <v>1122605</v>
      </c>
    </row>
    <row r="163" spans="1:21" x14ac:dyDescent="0.25">
      <c r="A163" s="729">
        <v>34500</v>
      </c>
      <c r="B163" s="727" t="s">
        <v>927</v>
      </c>
      <c r="C163" s="730">
        <v>5.0848000000000004E-3</v>
      </c>
      <c r="D163" s="730">
        <v>5.1397999999999999E-3</v>
      </c>
      <c r="E163" s="728">
        <v>47240071</v>
      </c>
      <c r="F163" s="731">
        <v>40345046</v>
      </c>
      <c r="G163" s="728">
        <f>VLOOKUP(A163,'[3]TSERS Contributions FY 2017'!$A$2:$C$290,3,FALSE)</f>
        <v>6998083</v>
      </c>
      <c r="H163" s="731"/>
      <c r="I163" s="728">
        <v>874606</v>
      </c>
      <c r="J163" s="728">
        <v>19236190</v>
      </c>
      <c r="K163" s="728">
        <v>6373909</v>
      </c>
      <c r="L163" s="731">
        <v>263505</v>
      </c>
      <c r="M163" s="731"/>
      <c r="N163" s="728">
        <v>1319897</v>
      </c>
      <c r="O163" s="728">
        <v>13776137</v>
      </c>
      <c r="P163" s="728">
        <v>0</v>
      </c>
      <c r="Q163" s="731">
        <v>478708</v>
      </c>
      <c r="R163" s="731"/>
      <c r="S163" s="728">
        <v>10872584</v>
      </c>
      <c r="T163" s="732">
        <v>-77099</v>
      </c>
      <c r="U163" s="732">
        <v>10795485</v>
      </c>
    </row>
    <row r="164" spans="1:21" x14ac:dyDescent="0.25">
      <c r="A164" s="729">
        <v>34501</v>
      </c>
      <c r="B164" s="727" t="s">
        <v>928</v>
      </c>
      <c r="C164" s="730">
        <v>6.1799999999999998E-5</v>
      </c>
      <c r="D164" s="730">
        <v>6.19E-5</v>
      </c>
      <c r="E164" s="728">
        <v>568925</v>
      </c>
      <c r="F164" s="731">
        <v>490348</v>
      </c>
      <c r="G164" s="728">
        <f>VLOOKUP(A164,'[3]TSERS Contributions FY 2017'!$A$2:$C$290,3,FALSE)</f>
        <v>80344</v>
      </c>
      <c r="H164" s="731"/>
      <c r="I164" s="728">
        <v>10630</v>
      </c>
      <c r="J164" s="728">
        <v>233794</v>
      </c>
      <c r="K164" s="728">
        <v>77468</v>
      </c>
      <c r="L164" s="731">
        <v>7597</v>
      </c>
      <c r="M164" s="731"/>
      <c r="N164" s="728">
        <v>16042</v>
      </c>
      <c r="O164" s="728">
        <v>167433</v>
      </c>
      <c r="P164" s="728">
        <v>0</v>
      </c>
      <c r="Q164" s="731">
        <v>11982</v>
      </c>
      <c r="R164" s="731"/>
      <c r="S164" s="728">
        <v>132144</v>
      </c>
      <c r="T164" s="732">
        <v>371</v>
      </c>
      <c r="U164" s="732">
        <v>132515</v>
      </c>
    </row>
    <row r="165" spans="1:21" x14ac:dyDescent="0.25">
      <c r="A165" s="729">
        <v>34505</v>
      </c>
      <c r="B165" s="727" t="s">
        <v>929</v>
      </c>
      <c r="C165" s="730">
        <v>6.6370000000000003E-4</v>
      </c>
      <c r="D165" s="730">
        <v>6.3159999999999996E-4</v>
      </c>
      <c r="E165" s="728">
        <v>5805056</v>
      </c>
      <c r="F165" s="731">
        <v>5266088</v>
      </c>
      <c r="G165" s="728">
        <f>VLOOKUP(A165,'[3]TSERS Contributions FY 2017'!$A$2:$C$290,3,FALSE)</f>
        <v>1032685</v>
      </c>
      <c r="H165" s="731"/>
      <c r="I165" s="728">
        <v>114159</v>
      </c>
      <c r="J165" s="728">
        <v>2510828</v>
      </c>
      <c r="K165" s="728">
        <v>831963</v>
      </c>
      <c r="L165" s="731">
        <v>312315</v>
      </c>
      <c r="M165" s="731"/>
      <c r="N165" s="728">
        <v>172281</v>
      </c>
      <c r="O165" s="728">
        <v>1798148</v>
      </c>
      <c r="P165" s="728">
        <v>0</v>
      </c>
      <c r="Q165" s="731">
        <v>14469</v>
      </c>
      <c r="R165" s="731"/>
      <c r="S165" s="728">
        <v>1419158</v>
      </c>
      <c r="T165" s="732">
        <v>135550</v>
      </c>
      <c r="U165" s="732">
        <v>1554707</v>
      </c>
    </row>
    <row r="166" spans="1:21" x14ac:dyDescent="0.25">
      <c r="A166" s="729">
        <v>34600</v>
      </c>
      <c r="B166" s="727" t="s">
        <v>930</v>
      </c>
      <c r="C166" s="730">
        <v>1.2166E-3</v>
      </c>
      <c r="D166" s="730">
        <v>1.2158E-3</v>
      </c>
      <c r="E166" s="728">
        <v>11174458</v>
      </c>
      <c r="F166" s="731">
        <v>9653041</v>
      </c>
      <c r="G166" s="728">
        <f>VLOOKUP(A166,'[3]TSERS Contributions FY 2017'!$A$2:$C$290,3,FALSE)</f>
        <v>1781311</v>
      </c>
      <c r="H166" s="731"/>
      <c r="I166" s="728">
        <v>209260</v>
      </c>
      <c r="J166" s="728">
        <v>4602491</v>
      </c>
      <c r="K166" s="728">
        <v>1525035</v>
      </c>
      <c r="L166" s="731">
        <v>28972</v>
      </c>
      <c r="M166" s="731"/>
      <c r="N166" s="728">
        <v>315801</v>
      </c>
      <c r="O166" s="728">
        <v>3296108</v>
      </c>
      <c r="P166" s="728">
        <v>0</v>
      </c>
      <c r="Q166" s="731">
        <v>142575</v>
      </c>
      <c r="R166" s="731"/>
      <c r="S166" s="728">
        <v>2601397</v>
      </c>
      <c r="T166" s="732">
        <v>-96032</v>
      </c>
      <c r="U166" s="732">
        <v>2505365</v>
      </c>
    </row>
    <row r="167" spans="1:21" x14ac:dyDescent="0.25">
      <c r="A167" s="729">
        <v>34605</v>
      </c>
      <c r="B167" s="727" t="s">
        <v>931</v>
      </c>
      <c r="C167" s="730">
        <v>2.5179999999999999E-4</v>
      </c>
      <c r="D167" s="730">
        <v>2.766E-4</v>
      </c>
      <c r="E167" s="728">
        <v>2542240</v>
      </c>
      <c r="F167" s="731">
        <v>1997892</v>
      </c>
      <c r="G167" s="728">
        <f>VLOOKUP(A167,'[3]TSERS Contributions FY 2017'!$A$2:$C$290,3,FALSE)</f>
        <v>382102</v>
      </c>
      <c r="H167" s="731"/>
      <c r="I167" s="728">
        <v>43311</v>
      </c>
      <c r="J167" s="728">
        <v>952579</v>
      </c>
      <c r="K167" s="728">
        <v>315637</v>
      </c>
      <c r="L167" s="731">
        <v>35103</v>
      </c>
      <c r="M167" s="731"/>
      <c r="N167" s="728">
        <v>65361</v>
      </c>
      <c r="O167" s="728">
        <v>682196</v>
      </c>
      <c r="P167" s="728">
        <v>0</v>
      </c>
      <c r="Q167" s="731">
        <v>92438</v>
      </c>
      <c r="R167" s="731"/>
      <c r="S167" s="728">
        <v>538412</v>
      </c>
      <c r="T167" s="732">
        <v>-16999</v>
      </c>
      <c r="U167" s="732">
        <v>521413</v>
      </c>
    </row>
    <row r="168" spans="1:21" x14ac:dyDescent="0.25">
      <c r="A168" s="729">
        <v>34700</v>
      </c>
      <c r="B168" s="727" t="s">
        <v>932</v>
      </c>
      <c r="C168" s="730">
        <v>3.3004000000000002E-3</v>
      </c>
      <c r="D168" s="730">
        <v>3.3E-3</v>
      </c>
      <c r="E168" s="728">
        <v>30330409</v>
      </c>
      <c r="F168" s="731">
        <v>26186829</v>
      </c>
      <c r="G168" s="728">
        <f>VLOOKUP(A168,'[3]TSERS Contributions FY 2017'!$A$2:$C$290,3,FALSE)</f>
        <v>4239854</v>
      </c>
      <c r="H168" s="731"/>
      <c r="I168" s="728">
        <v>567682</v>
      </c>
      <c r="J168" s="728">
        <v>12485667</v>
      </c>
      <c r="K168" s="728">
        <v>4137124</v>
      </c>
      <c r="L168" s="731">
        <v>120081</v>
      </c>
      <c r="M168" s="731"/>
      <c r="N168" s="728">
        <v>856708</v>
      </c>
      <c r="O168" s="728">
        <v>8941701</v>
      </c>
      <c r="P168" s="728">
        <v>0</v>
      </c>
      <c r="Q168" s="731">
        <v>689061</v>
      </c>
      <c r="R168" s="731"/>
      <c r="S168" s="728">
        <v>7057087</v>
      </c>
      <c r="T168" s="732">
        <v>-157285</v>
      </c>
      <c r="U168" s="732">
        <v>6899801</v>
      </c>
    </row>
    <row r="169" spans="1:21" x14ac:dyDescent="0.25">
      <c r="A169" s="729">
        <v>34800</v>
      </c>
      <c r="B169" s="727" t="s">
        <v>933</v>
      </c>
      <c r="C169" s="730">
        <v>3.7389999999999998E-4</v>
      </c>
      <c r="D169" s="730">
        <v>3.6390000000000001E-4</v>
      </c>
      <c r="E169" s="728">
        <v>3344617</v>
      </c>
      <c r="F169" s="731">
        <v>2966687</v>
      </c>
      <c r="G169" s="728">
        <f>VLOOKUP(A169,'[3]TSERS Contributions FY 2017'!$A$2:$C$290,3,FALSE)</f>
        <v>572772</v>
      </c>
      <c r="H169" s="731"/>
      <c r="I169" s="728">
        <v>64312</v>
      </c>
      <c r="J169" s="728">
        <v>1414492</v>
      </c>
      <c r="K169" s="728">
        <v>468692</v>
      </c>
      <c r="L169" s="731">
        <v>194072</v>
      </c>
      <c r="M169" s="731"/>
      <c r="N169" s="728">
        <v>97056</v>
      </c>
      <c r="O169" s="728">
        <v>1012999</v>
      </c>
      <c r="P169" s="728">
        <v>0</v>
      </c>
      <c r="Q169" s="731">
        <v>15786</v>
      </c>
      <c r="R169" s="731"/>
      <c r="S169" s="728">
        <v>799492</v>
      </c>
      <c r="T169" s="732">
        <v>74972</v>
      </c>
      <c r="U169" s="732">
        <v>874464</v>
      </c>
    </row>
    <row r="170" spans="1:21" x14ac:dyDescent="0.25">
      <c r="A170" s="729">
        <v>34900</v>
      </c>
      <c r="B170" s="727" t="s">
        <v>934</v>
      </c>
      <c r="C170" s="730">
        <v>7.332E-3</v>
      </c>
      <c r="D170" s="730">
        <v>7.3692000000000002E-3</v>
      </c>
      <c r="E170" s="728">
        <v>67730560</v>
      </c>
      <c r="F170" s="731">
        <v>58175321</v>
      </c>
      <c r="G170" s="728">
        <f>VLOOKUP(A170,'[3]TSERS Contributions FY 2017'!$A$2:$C$290,3,FALSE)</f>
        <v>10227939</v>
      </c>
      <c r="H170" s="731"/>
      <c r="I170" s="728">
        <v>1261133</v>
      </c>
      <c r="J170" s="728">
        <v>27737521</v>
      </c>
      <c r="K170" s="728">
        <v>9190823</v>
      </c>
      <c r="L170" s="731">
        <v>0</v>
      </c>
      <c r="M170" s="731"/>
      <c r="N170" s="728">
        <v>1903219</v>
      </c>
      <c r="O170" s="728">
        <v>19864426</v>
      </c>
      <c r="P170" s="728">
        <v>0</v>
      </c>
      <c r="Q170" s="731">
        <v>1403472</v>
      </c>
      <c r="R170" s="731"/>
      <c r="S170" s="728">
        <v>15677664</v>
      </c>
      <c r="T170" s="732">
        <v>-791381</v>
      </c>
      <c r="U170" s="732">
        <v>14886282</v>
      </c>
    </row>
    <row r="171" spans="1:21" x14ac:dyDescent="0.25">
      <c r="A171" s="729">
        <v>34901</v>
      </c>
      <c r="B171" s="727" t="s">
        <v>935</v>
      </c>
      <c r="C171" s="730">
        <v>1.797E-4</v>
      </c>
      <c r="D171" s="730">
        <v>1.8909999999999999E-4</v>
      </c>
      <c r="E171" s="728">
        <v>1738024</v>
      </c>
      <c r="F171" s="731">
        <v>1425819</v>
      </c>
      <c r="G171" s="728">
        <f>VLOOKUP(A171,'[3]TSERS Contributions FY 2017'!$A$2:$C$290,3,FALSE)</f>
        <v>219076</v>
      </c>
      <c r="H171" s="731"/>
      <c r="I171" s="728">
        <v>30909</v>
      </c>
      <c r="J171" s="728">
        <v>679819</v>
      </c>
      <c r="K171" s="728">
        <v>225258</v>
      </c>
      <c r="L171" s="731">
        <v>4514</v>
      </c>
      <c r="M171" s="731"/>
      <c r="N171" s="728">
        <v>46646</v>
      </c>
      <c r="O171" s="728">
        <v>486857</v>
      </c>
      <c r="P171" s="728">
        <v>0</v>
      </c>
      <c r="Q171" s="731">
        <v>101907</v>
      </c>
      <c r="R171" s="731"/>
      <c r="S171" s="728">
        <v>384244</v>
      </c>
      <c r="T171" s="732">
        <v>-38566</v>
      </c>
      <c r="U171" s="732">
        <v>345678</v>
      </c>
    </row>
    <row r="172" spans="1:21" x14ac:dyDescent="0.25">
      <c r="A172" s="729">
        <v>34903</v>
      </c>
      <c r="B172" s="727" t="s">
        <v>936</v>
      </c>
      <c r="C172" s="730">
        <v>1.26E-5</v>
      </c>
      <c r="D172" s="730">
        <v>1.34E-5</v>
      </c>
      <c r="E172" s="728">
        <v>123160</v>
      </c>
      <c r="F172" s="731">
        <v>99974</v>
      </c>
      <c r="G172" s="728">
        <f>VLOOKUP(A172,'[3]TSERS Contributions FY 2017'!$A$2:$C$290,3,FALSE)</f>
        <v>25755</v>
      </c>
      <c r="H172" s="731"/>
      <c r="I172" s="728">
        <v>2167</v>
      </c>
      <c r="J172" s="728">
        <v>47667</v>
      </c>
      <c r="K172" s="728">
        <v>15794</v>
      </c>
      <c r="L172" s="731">
        <v>2753</v>
      </c>
      <c r="M172" s="731"/>
      <c r="N172" s="728">
        <v>3271</v>
      </c>
      <c r="O172" s="728">
        <v>34137</v>
      </c>
      <c r="P172" s="728">
        <v>0</v>
      </c>
      <c r="Q172" s="731">
        <v>14472</v>
      </c>
      <c r="R172" s="731"/>
      <c r="S172" s="728">
        <v>26942</v>
      </c>
      <c r="T172" s="732">
        <v>-5866</v>
      </c>
      <c r="U172" s="732">
        <v>21076</v>
      </c>
    </row>
    <row r="173" spans="1:21" x14ac:dyDescent="0.25">
      <c r="A173" s="729">
        <v>34905</v>
      </c>
      <c r="B173" s="727" t="s">
        <v>937</v>
      </c>
      <c r="C173" s="730">
        <v>7.3019999999999997E-4</v>
      </c>
      <c r="D173" s="730">
        <v>7.2610000000000003E-4</v>
      </c>
      <c r="E173" s="728">
        <v>6673609</v>
      </c>
      <c r="F173" s="731">
        <v>5793729</v>
      </c>
      <c r="G173" s="728">
        <f>VLOOKUP(A173,'[3]TSERS Contributions FY 2017'!$A$2:$C$290,3,FALSE)</f>
        <v>1041662</v>
      </c>
      <c r="H173" s="731"/>
      <c r="I173" s="728">
        <v>125597</v>
      </c>
      <c r="J173" s="728">
        <v>2762403</v>
      </c>
      <c r="K173" s="728">
        <v>915322</v>
      </c>
      <c r="L173" s="731">
        <v>30061</v>
      </c>
      <c r="M173" s="731"/>
      <c r="N173" s="728">
        <v>189543</v>
      </c>
      <c r="O173" s="728">
        <v>1978315</v>
      </c>
      <c r="P173" s="728">
        <v>0</v>
      </c>
      <c r="Q173" s="731">
        <v>131675</v>
      </c>
      <c r="R173" s="731"/>
      <c r="S173" s="728">
        <v>1561352</v>
      </c>
      <c r="T173" s="732">
        <v>-39905</v>
      </c>
      <c r="U173" s="732">
        <v>1521447</v>
      </c>
    </row>
    <row r="174" spans="1:21" x14ac:dyDescent="0.25">
      <c r="A174" s="729">
        <v>34910</v>
      </c>
      <c r="B174" s="727" t="s">
        <v>938</v>
      </c>
      <c r="C174" s="730">
        <v>2.2791E-3</v>
      </c>
      <c r="D174" s="730">
        <v>2.3143E-3</v>
      </c>
      <c r="E174" s="728">
        <v>21270808</v>
      </c>
      <c r="F174" s="731">
        <v>18083384</v>
      </c>
      <c r="G174" s="728">
        <f>VLOOKUP(A174,'[3]TSERS Contributions FY 2017'!$A$2:$C$290,3,FALSE)</f>
        <v>3016910</v>
      </c>
      <c r="H174" s="731"/>
      <c r="I174" s="728">
        <v>392014</v>
      </c>
      <c r="J174" s="728">
        <v>8622011</v>
      </c>
      <c r="K174" s="728">
        <v>2856902</v>
      </c>
      <c r="L174" s="731">
        <v>299236</v>
      </c>
      <c r="M174" s="731"/>
      <c r="N174" s="728">
        <v>591602</v>
      </c>
      <c r="O174" s="728">
        <v>6174715</v>
      </c>
      <c r="P174" s="728">
        <v>0</v>
      </c>
      <c r="Q174" s="731">
        <v>323191</v>
      </c>
      <c r="R174" s="731"/>
      <c r="S174" s="728">
        <v>4873290</v>
      </c>
      <c r="T174" s="732">
        <v>63378</v>
      </c>
      <c r="U174" s="732">
        <v>4936668</v>
      </c>
    </row>
    <row r="175" spans="1:21" x14ac:dyDescent="0.25">
      <c r="A175" s="729">
        <v>35000</v>
      </c>
      <c r="B175" s="727" t="s">
        <v>939</v>
      </c>
      <c r="C175" s="730">
        <v>1.5081999999999999E-3</v>
      </c>
      <c r="D175" s="730">
        <v>1.5556999999999999E-3</v>
      </c>
      <c r="E175" s="728">
        <v>14298490</v>
      </c>
      <c r="F175" s="731">
        <v>11966724</v>
      </c>
      <c r="G175" s="728">
        <f>VLOOKUP(A175,'[3]TSERS Contributions FY 2017'!$A$2:$C$290,3,FALSE)</f>
        <v>2042773</v>
      </c>
      <c r="H175" s="731"/>
      <c r="I175" s="728">
        <v>259416</v>
      </c>
      <c r="J175" s="728">
        <v>5705637</v>
      </c>
      <c r="K175" s="728">
        <v>1890562</v>
      </c>
      <c r="L175" s="731">
        <v>145627</v>
      </c>
      <c r="M175" s="731"/>
      <c r="N175" s="728">
        <v>391494</v>
      </c>
      <c r="O175" s="728">
        <v>4086133</v>
      </c>
      <c r="P175" s="728">
        <v>0</v>
      </c>
      <c r="Q175" s="731">
        <v>269760</v>
      </c>
      <c r="R175" s="731"/>
      <c r="S175" s="728">
        <v>3224912</v>
      </c>
      <c r="T175" s="732">
        <v>-8342</v>
      </c>
      <c r="U175" s="732">
        <v>3216569</v>
      </c>
    </row>
    <row r="176" spans="1:21" x14ac:dyDescent="0.25">
      <c r="A176" s="729">
        <v>35005</v>
      </c>
      <c r="B176" s="727" t="s">
        <v>940</v>
      </c>
      <c r="C176" s="730">
        <v>7.0140000000000003E-4</v>
      </c>
      <c r="D176" s="730">
        <v>7.0509999999999995E-4</v>
      </c>
      <c r="E176" s="728">
        <v>6480597</v>
      </c>
      <c r="F176" s="731">
        <v>5565217</v>
      </c>
      <c r="G176" s="728">
        <f>VLOOKUP(A176,'[3]TSERS Contributions FY 2017'!$A$2:$C$290,3,FALSE)</f>
        <v>1031101</v>
      </c>
      <c r="H176" s="731"/>
      <c r="I176" s="728">
        <v>120644</v>
      </c>
      <c r="J176" s="728">
        <v>2653450</v>
      </c>
      <c r="K176" s="728">
        <v>879220</v>
      </c>
      <c r="L176" s="731">
        <v>59502</v>
      </c>
      <c r="M176" s="731"/>
      <c r="N176" s="728">
        <v>182067</v>
      </c>
      <c r="O176" s="728">
        <v>1900288</v>
      </c>
      <c r="P176" s="728">
        <v>0</v>
      </c>
      <c r="Q176" s="731">
        <v>39858</v>
      </c>
      <c r="R176" s="731"/>
      <c r="S176" s="728">
        <v>1499770</v>
      </c>
      <c r="T176" s="732">
        <v>44009</v>
      </c>
      <c r="U176" s="732">
        <v>1543779</v>
      </c>
    </row>
    <row r="177" spans="1:21" x14ac:dyDescent="0.25">
      <c r="A177" s="729">
        <v>35100</v>
      </c>
      <c r="B177" s="727" t="s">
        <v>941</v>
      </c>
      <c r="C177" s="730">
        <v>1.3260600000000001E-2</v>
      </c>
      <c r="D177" s="730">
        <v>1.29987E-2</v>
      </c>
      <c r="E177" s="728">
        <v>119471481</v>
      </c>
      <c r="F177" s="731">
        <v>105215448</v>
      </c>
      <c r="G177" s="728">
        <f>VLOOKUP(A177,'[3]TSERS Contributions FY 2017'!$A$2:$C$290,3,FALSE)</f>
        <v>17403241</v>
      </c>
      <c r="H177" s="731"/>
      <c r="I177" s="728">
        <v>2280876</v>
      </c>
      <c r="J177" s="728">
        <v>50165871</v>
      </c>
      <c r="K177" s="728">
        <v>16622454</v>
      </c>
      <c r="L177" s="731">
        <v>410878</v>
      </c>
      <c r="M177" s="731"/>
      <c r="N177" s="728">
        <v>3442147</v>
      </c>
      <c r="O177" s="728">
        <v>35926652</v>
      </c>
      <c r="P177" s="728">
        <v>0</v>
      </c>
      <c r="Q177" s="731">
        <v>1634545</v>
      </c>
      <c r="R177" s="731"/>
      <c r="S177" s="728">
        <v>28354504</v>
      </c>
      <c r="T177" s="732">
        <v>-960847</v>
      </c>
      <c r="U177" s="732">
        <v>27393658</v>
      </c>
    </row>
    <row r="178" spans="1:21" x14ac:dyDescent="0.25">
      <c r="A178" s="729">
        <v>35105</v>
      </c>
      <c r="B178" s="727" t="s">
        <v>942</v>
      </c>
      <c r="C178" s="730">
        <v>1.1609000000000001E-3</v>
      </c>
      <c r="D178" s="730">
        <v>1.1724999999999999E-3</v>
      </c>
      <c r="E178" s="728">
        <v>10776486</v>
      </c>
      <c r="F178" s="731">
        <v>9211093</v>
      </c>
      <c r="G178" s="728">
        <f>VLOOKUP(A178,'[3]TSERS Contributions FY 2017'!$A$2:$C$290,3,FALSE)</f>
        <v>1605838</v>
      </c>
      <c r="H178" s="731"/>
      <c r="I178" s="728">
        <v>199679</v>
      </c>
      <c r="J178" s="728">
        <v>4391774</v>
      </c>
      <c r="K178" s="728">
        <v>1455214</v>
      </c>
      <c r="L178" s="731">
        <v>41668</v>
      </c>
      <c r="M178" s="731"/>
      <c r="N178" s="728">
        <v>301343</v>
      </c>
      <c r="O178" s="728">
        <v>3145201</v>
      </c>
      <c r="P178" s="728">
        <v>0</v>
      </c>
      <c r="Q178" s="731">
        <v>228275</v>
      </c>
      <c r="R178" s="731"/>
      <c r="S178" s="728">
        <v>2482297</v>
      </c>
      <c r="T178" s="732">
        <v>-41196</v>
      </c>
      <c r="U178" s="732">
        <v>2441101</v>
      </c>
    </row>
    <row r="179" spans="1:21" x14ac:dyDescent="0.25">
      <c r="A179" s="729">
        <v>35106</v>
      </c>
      <c r="B179" s="727" t="s">
        <v>943</v>
      </c>
      <c r="C179" s="730">
        <v>2.8630000000000002E-4</v>
      </c>
      <c r="D179" s="730">
        <v>2.9930000000000001E-4</v>
      </c>
      <c r="E179" s="728">
        <v>2750876</v>
      </c>
      <c r="F179" s="731">
        <v>2271630</v>
      </c>
      <c r="G179" s="728">
        <f>VLOOKUP(A179,'[3]TSERS Contributions FY 2017'!$A$2:$C$290,3,FALSE)</f>
        <v>343896</v>
      </c>
      <c r="H179" s="731"/>
      <c r="I179" s="728">
        <v>49245</v>
      </c>
      <c r="J179" s="728">
        <v>1083095</v>
      </c>
      <c r="K179" s="728">
        <v>358883</v>
      </c>
      <c r="L179" s="731">
        <v>133200</v>
      </c>
      <c r="M179" s="731"/>
      <c r="N179" s="728">
        <v>74317</v>
      </c>
      <c r="O179" s="728">
        <v>775666</v>
      </c>
      <c r="P179" s="728">
        <v>0</v>
      </c>
      <c r="Q179" s="731">
        <v>99032</v>
      </c>
      <c r="R179" s="731"/>
      <c r="S179" s="728">
        <v>612182</v>
      </c>
      <c r="T179" s="732">
        <v>57730</v>
      </c>
      <c r="U179" s="732">
        <v>669911</v>
      </c>
    </row>
    <row r="180" spans="1:21" x14ac:dyDescent="0.25">
      <c r="A180" s="729">
        <v>35200</v>
      </c>
      <c r="B180" s="727" t="s">
        <v>944</v>
      </c>
      <c r="C180" s="730">
        <v>5.6130000000000004E-4</v>
      </c>
      <c r="D180" s="730">
        <v>5.8060000000000002E-4</v>
      </c>
      <c r="E180" s="728">
        <v>5336314</v>
      </c>
      <c r="F180" s="731">
        <v>4453602</v>
      </c>
      <c r="G180" s="728">
        <f>VLOOKUP(A180,'[3]TSERS Contributions FY 2017'!$A$2:$C$290,3,FALSE)</f>
        <v>852815</v>
      </c>
      <c r="H180" s="731"/>
      <c r="I180" s="728">
        <v>96546</v>
      </c>
      <c r="J180" s="728">
        <v>2123441</v>
      </c>
      <c r="K180" s="728">
        <v>703602</v>
      </c>
      <c r="L180" s="731">
        <v>123140</v>
      </c>
      <c r="M180" s="731"/>
      <c r="N180" s="728">
        <v>145701</v>
      </c>
      <c r="O180" s="728">
        <v>1520718</v>
      </c>
      <c r="P180" s="728">
        <v>0</v>
      </c>
      <c r="Q180" s="731">
        <v>37044</v>
      </c>
      <c r="R180" s="731"/>
      <c r="S180" s="728">
        <v>1200201</v>
      </c>
      <c r="T180" s="732">
        <v>65582</v>
      </c>
      <c r="U180" s="732">
        <v>1265783</v>
      </c>
    </row>
    <row r="181" spans="1:21" x14ac:dyDescent="0.25">
      <c r="A181" s="729">
        <v>35300</v>
      </c>
      <c r="B181" s="727" t="s">
        <v>945</v>
      </c>
      <c r="C181" s="730">
        <v>4.0270999999999996E-3</v>
      </c>
      <c r="D181" s="730">
        <v>3.8329000000000002E-3</v>
      </c>
      <c r="E181" s="728">
        <v>35228310</v>
      </c>
      <c r="F181" s="731">
        <v>31952787</v>
      </c>
      <c r="G181" s="728">
        <f>VLOOKUP(A181,'[3]TSERS Contributions FY 2017'!$A$2:$C$290,3,FALSE)</f>
        <v>5334538</v>
      </c>
      <c r="H181" s="731"/>
      <c r="I181" s="728">
        <v>692677</v>
      </c>
      <c r="J181" s="728">
        <v>15234829</v>
      </c>
      <c r="K181" s="728">
        <v>5048058</v>
      </c>
      <c r="L181" s="731">
        <v>728127</v>
      </c>
      <c r="M181" s="731"/>
      <c r="N181" s="728">
        <v>1045343</v>
      </c>
      <c r="O181" s="728">
        <v>10910533</v>
      </c>
      <c r="P181" s="728">
        <v>0</v>
      </c>
      <c r="Q181" s="731">
        <v>108701</v>
      </c>
      <c r="R181" s="731"/>
      <c r="S181" s="728">
        <v>8610955</v>
      </c>
      <c r="T181" s="732">
        <v>155634</v>
      </c>
      <c r="U181" s="732">
        <v>8766589</v>
      </c>
    </row>
    <row r="182" spans="1:21" x14ac:dyDescent="0.25">
      <c r="A182" s="729">
        <v>35305</v>
      </c>
      <c r="B182" s="727" t="s">
        <v>946</v>
      </c>
      <c r="C182" s="730">
        <v>1.4071000000000001E-3</v>
      </c>
      <c r="D182" s="730">
        <v>1.42E-3</v>
      </c>
      <c r="E182" s="728">
        <v>13051267</v>
      </c>
      <c r="F182" s="731">
        <v>11164552</v>
      </c>
      <c r="G182" s="728">
        <f>VLOOKUP(A182,'[3]TSERS Contributions FY 2017'!$A$2:$C$290,3,FALSE)</f>
        <v>2067816</v>
      </c>
      <c r="H182" s="731"/>
      <c r="I182" s="728">
        <v>242027</v>
      </c>
      <c r="J182" s="728">
        <v>5323168</v>
      </c>
      <c r="K182" s="728">
        <v>1763831</v>
      </c>
      <c r="L182" s="731">
        <v>468062</v>
      </c>
      <c r="M182" s="731"/>
      <c r="N182" s="728">
        <v>365251</v>
      </c>
      <c r="O182" s="728">
        <v>3812225</v>
      </c>
      <c r="P182" s="728">
        <v>0</v>
      </c>
      <c r="Q182" s="731">
        <v>12569</v>
      </c>
      <c r="R182" s="731"/>
      <c r="S182" s="728">
        <v>3008734</v>
      </c>
      <c r="T182" s="732">
        <v>257478</v>
      </c>
      <c r="U182" s="732">
        <v>3266212</v>
      </c>
    </row>
    <row r="183" spans="1:21" x14ac:dyDescent="0.25">
      <c r="A183" s="729">
        <v>35400</v>
      </c>
      <c r="B183" s="727" t="s">
        <v>947</v>
      </c>
      <c r="C183" s="730">
        <v>2.9510000000000001E-3</v>
      </c>
      <c r="D183" s="730">
        <v>3.0752000000000002E-3</v>
      </c>
      <c r="E183" s="728">
        <v>28264265</v>
      </c>
      <c r="F183" s="731">
        <v>23414535</v>
      </c>
      <c r="G183" s="728">
        <f>VLOOKUP(A183,'[3]TSERS Contributions FY 2017'!$A$2:$C$290,3,FALSE)</f>
        <v>4305423</v>
      </c>
      <c r="H183" s="731"/>
      <c r="I183" s="728">
        <v>507584</v>
      </c>
      <c r="J183" s="728">
        <v>11163860</v>
      </c>
      <c r="K183" s="728">
        <v>3699143</v>
      </c>
      <c r="L183" s="731">
        <v>17861</v>
      </c>
      <c r="M183" s="731"/>
      <c r="N183" s="728">
        <v>766012</v>
      </c>
      <c r="O183" s="728">
        <v>7995079</v>
      </c>
      <c r="P183" s="728">
        <v>0</v>
      </c>
      <c r="Q183" s="731">
        <v>628177</v>
      </c>
      <c r="R183" s="731"/>
      <c r="S183" s="728">
        <v>6309982</v>
      </c>
      <c r="T183" s="732">
        <v>-227907</v>
      </c>
      <c r="U183" s="732">
        <v>6082075</v>
      </c>
    </row>
    <row r="184" spans="1:21" x14ac:dyDescent="0.25">
      <c r="A184" s="729">
        <v>35401</v>
      </c>
      <c r="B184" s="727" t="s">
        <v>948</v>
      </c>
      <c r="C184" s="730">
        <v>3.7200000000000003E-5</v>
      </c>
      <c r="D184" s="730">
        <v>2.7900000000000001E-5</v>
      </c>
      <c r="E184" s="728">
        <v>256430</v>
      </c>
      <c r="F184" s="731">
        <v>295161</v>
      </c>
      <c r="G184" s="728">
        <f>VLOOKUP(A184,'[3]TSERS Contributions FY 2017'!$A$2:$C$290,3,FALSE)</f>
        <v>45086</v>
      </c>
      <c r="H184" s="731"/>
      <c r="I184" s="728">
        <v>6399</v>
      </c>
      <c r="J184" s="728">
        <v>140730</v>
      </c>
      <c r="K184" s="728">
        <v>46631</v>
      </c>
      <c r="L184" s="731">
        <v>45362</v>
      </c>
      <c r="M184" s="731"/>
      <c r="N184" s="728">
        <v>9656</v>
      </c>
      <c r="O184" s="728">
        <v>100785</v>
      </c>
      <c r="P184" s="728">
        <v>0</v>
      </c>
      <c r="Q184" s="731">
        <v>20077</v>
      </c>
      <c r="R184" s="731"/>
      <c r="S184" s="728">
        <v>79543</v>
      </c>
      <c r="T184" s="732">
        <v>4584</v>
      </c>
      <c r="U184" s="732">
        <v>84127</v>
      </c>
    </row>
    <row r="185" spans="1:21" x14ac:dyDescent="0.25">
      <c r="A185" s="729">
        <v>35402</v>
      </c>
      <c r="B185" s="727" t="s">
        <v>949</v>
      </c>
      <c r="C185" s="730">
        <v>0</v>
      </c>
      <c r="D185" s="730">
        <v>0</v>
      </c>
      <c r="E185" s="728">
        <v>0</v>
      </c>
      <c r="F185" s="731">
        <v>0</v>
      </c>
      <c r="G185" s="728">
        <v>0</v>
      </c>
      <c r="H185" s="731"/>
      <c r="I185" s="728">
        <v>0</v>
      </c>
      <c r="J185" s="728">
        <v>0</v>
      </c>
      <c r="K185" s="728">
        <v>0</v>
      </c>
      <c r="L185" s="731">
        <v>0</v>
      </c>
      <c r="M185" s="731"/>
      <c r="N185" s="728">
        <v>0</v>
      </c>
      <c r="O185" s="728">
        <v>0</v>
      </c>
      <c r="P185" s="728">
        <v>0</v>
      </c>
      <c r="Q185" s="731">
        <v>99126</v>
      </c>
      <c r="R185" s="731"/>
      <c r="S185" s="728">
        <v>0</v>
      </c>
      <c r="T185" s="732">
        <v>-125476</v>
      </c>
      <c r="U185" s="732">
        <v>-125476</v>
      </c>
    </row>
    <row r="186" spans="1:21" x14ac:dyDescent="0.25">
      <c r="A186" s="729">
        <v>35405</v>
      </c>
      <c r="B186" s="727" t="s">
        <v>950</v>
      </c>
      <c r="C186" s="730">
        <v>1.0463E-3</v>
      </c>
      <c r="D186" s="730">
        <v>1.0782999999999999E-3</v>
      </c>
      <c r="E186" s="728">
        <v>9910691</v>
      </c>
      <c r="F186" s="731">
        <v>8301806</v>
      </c>
      <c r="G186" s="728">
        <f>VLOOKUP(A186,'[3]TSERS Contributions FY 2017'!$A$2:$C$290,3,FALSE)</f>
        <v>1447918</v>
      </c>
      <c r="H186" s="731"/>
      <c r="I186" s="728">
        <v>179968</v>
      </c>
      <c r="J186" s="728">
        <v>3958233</v>
      </c>
      <c r="K186" s="728">
        <v>1311560</v>
      </c>
      <c r="L186" s="731">
        <v>37230</v>
      </c>
      <c r="M186" s="731"/>
      <c r="N186" s="728">
        <v>271595</v>
      </c>
      <c r="O186" s="728">
        <v>2834718</v>
      </c>
      <c r="P186" s="728">
        <v>0</v>
      </c>
      <c r="Q186" s="731">
        <v>212448</v>
      </c>
      <c r="R186" s="731"/>
      <c r="S186" s="728">
        <v>2237253</v>
      </c>
      <c r="T186" s="732">
        <v>-62294</v>
      </c>
      <c r="U186" s="732">
        <v>2174959</v>
      </c>
    </row>
    <row r="187" spans="1:21" x14ac:dyDescent="0.25">
      <c r="A187" s="729">
        <v>35500</v>
      </c>
      <c r="B187" s="727" t="s">
        <v>951</v>
      </c>
      <c r="C187" s="730">
        <v>4.1085999999999996E-3</v>
      </c>
      <c r="D187" s="730">
        <v>4.3315999999999997E-3</v>
      </c>
      <c r="E187" s="728">
        <v>39811879</v>
      </c>
      <c r="F187" s="731">
        <v>32599444</v>
      </c>
      <c r="G187" s="728">
        <f>VLOOKUP(A187,'[3]TSERS Contributions FY 2017'!$A$2:$C$290,3,FALSE)</f>
        <v>5628921</v>
      </c>
      <c r="H187" s="731"/>
      <c r="I187" s="728">
        <v>706696</v>
      </c>
      <c r="J187" s="728">
        <v>15543150</v>
      </c>
      <c r="K187" s="728">
        <v>5150220</v>
      </c>
      <c r="L187" s="731">
        <v>149137</v>
      </c>
      <c r="M187" s="731"/>
      <c r="N187" s="728">
        <v>1066498</v>
      </c>
      <c r="O187" s="728">
        <v>11131340</v>
      </c>
      <c r="P187" s="728">
        <v>0</v>
      </c>
      <c r="Q187" s="731">
        <v>1371725</v>
      </c>
      <c r="R187" s="731"/>
      <c r="S187" s="728">
        <v>8785222</v>
      </c>
      <c r="T187" s="732">
        <v>-473142</v>
      </c>
      <c r="U187" s="732">
        <v>8312081</v>
      </c>
    </row>
    <row r="188" spans="1:21" x14ac:dyDescent="0.25">
      <c r="A188" s="729">
        <v>35600</v>
      </c>
      <c r="B188" s="727" t="s">
        <v>952</v>
      </c>
      <c r="C188" s="730">
        <v>1.7339E-3</v>
      </c>
      <c r="D188" s="730">
        <v>1.7164999999999999E-3</v>
      </c>
      <c r="E188" s="728">
        <v>15776408</v>
      </c>
      <c r="F188" s="731">
        <v>13757527</v>
      </c>
      <c r="G188" s="728">
        <f>VLOOKUP(A188,'[3]TSERS Contributions FY 2017'!$A$2:$C$290,3,FALSE)</f>
        <v>2430727</v>
      </c>
      <c r="H188" s="731"/>
      <c r="I188" s="728">
        <v>298238</v>
      </c>
      <c r="J188" s="728">
        <v>6559477</v>
      </c>
      <c r="K188" s="728">
        <v>2173482</v>
      </c>
      <c r="L188" s="731">
        <v>49876</v>
      </c>
      <c r="M188" s="731"/>
      <c r="N188" s="728">
        <v>450081</v>
      </c>
      <c r="O188" s="728">
        <v>4697617</v>
      </c>
      <c r="P188" s="728">
        <v>0</v>
      </c>
      <c r="Q188" s="731">
        <v>86728</v>
      </c>
      <c r="R188" s="731"/>
      <c r="S188" s="728">
        <v>3707515</v>
      </c>
      <c r="T188" s="732">
        <v>-69839</v>
      </c>
      <c r="U188" s="732">
        <v>3637676</v>
      </c>
    </row>
    <row r="189" spans="1:21" x14ac:dyDescent="0.25">
      <c r="A189" s="729">
        <v>35700</v>
      </c>
      <c r="B189" s="727" t="s">
        <v>953</v>
      </c>
      <c r="C189" s="730">
        <v>9.5529999999999996E-4</v>
      </c>
      <c r="D189" s="730">
        <v>9.657E-4</v>
      </c>
      <c r="E189" s="728">
        <v>8875781</v>
      </c>
      <c r="F189" s="731">
        <v>7579771</v>
      </c>
      <c r="G189" s="728">
        <f>VLOOKUP(A189,'[3]TSERS Contributions FY 2017'!$A$2:$C$290,3,FALSE)</f>
        <v>1342107</v>
      </c>
      <c r="H189" s="731"/>
      <c r="I189" s="728">
        <v>164315</v>
      </c>
      <c r="J189" s="728">
        <v>3613973</v>
      </c>
      <c r="K189" s="728">
        <v>1197490</v>
      </c>
      <c r="L189" s="731">
        <v>20223</v>
      </c>
      <c r="M189" s="731"/>
      <c r="N189" s="728">
        <v>247974</v>
      </c>
      <c r="O189" s="728">
        <v>2588173</v>
      </c>
      <c r="P189" s="728">
        <v>0</v>
      </c>
      <c r="Q189" s="731">
        <v>216071</v>
      </c>
      <c r="R189" s="731"/>
      <c r="S189" s="728">
        <v>2042672</v>
      </c>
      <c r="T189" s="732">
        <v>-92333</v>
      </c>
      <c r="U189" s="732">
        <v>1950340</v>
      </c>
    </row>
    <row r="190" spans="1:21" x14ac:dyDescent="0.25">
      <c r="A190" s="729">
        <v>35800</v>
      </c>
      <c r="B190" s="727" t="s">
        <v>954</v>
      </c>
      <c r="C190" s="730">
        <v>1.3487E-3</v>
      </c>
      <c r="D190" s="730">
        <v>1.3967999999999999E-3</v>
      </c>
      <c r="E190" s="728">
        <v>12838035</v>
      </c>
      <c r="F190" s="731">
        <v>10701181</v>
      </c>
      <c r="G190" s="728">
        <f>VLOOKUP(A190,'[3]TSERS Contributions FY 2017'!$A$2:$C$290,3,FALSE)</f>
        <v>2035094</v>
      </c>
      <c r="H190" s="731"/>
      <c r="I190" s="728">
        <v>231982</v>
      </c>
      <c r="J190" s="728">
        <v>5102236</v>
      </c>
      <c r="K190" s="728">
        <v>1690625</v>
      </c>
      <c r="L190" s="731">
        <v>0</v>
      </c>
      <c r="M190" s="731"/>
      <c r="N190" s="728">
        <v>350091</v>
      </c>
      <c r="O190" s="728">
        <v>3654003</v>
      </c>
      <c r="P190" s="728">
        <v>0</v>
      </c>
      <c r="Q190" s="731">
        <v>242477</v>
      </c>
      <c r="R190" s="731"/>
      <c r="S190" s="728">
        <v>2883860</v>
      </c>
      <c r="T190" s="732">
        <v>-114261</v>
      </c>
      <c r="U190" s="732">
        <v>2769600</v>
      </c>
    </row>
    <row r="191" spans="1:21" x14ac:dyDescent="0.25">
      <c r="A191" s="729">
        <v>35805</v>
      </c>
      <c r="B191" s="727" t="s">
        <v>955</v>
      </c>
      <c r="C191" s="730">
        <v>2.3470000000000001E-4</v>
      </c>
      <c r="D191" s="730">
        <v>2.2379999999999999E-4</v>
      </c>
      <c r="E191" s="728">
        <v>2056953</v>
      </c>
      <c r="F191" s="731">
        <v>1862213</v>
      </c>
      <c r="G191" s="728">
        <f>VLOOKUP(A191,'[3]TSERS Contributions FY 2017'!$A$2:$C$290,3,FALSE)</f>
        <v>397712</v>
      </c>
      <c r="H191" s="731"/>
      <c r="I191" s="728">
        <v>40369</v>
      </c>
      <c r="J191" s="728">
        <v>887888</v>
      </c>
      <c r="K191" s="728">
        <v>294202</v>
      </c>
      <c r="L191" s="731">
        <v>229271</v>
      </c>
      <c r="M191" s="731"/>
      <c r="N191" s="728">
        <v>60923</v>
      </c>
      <c r="O191" s="728">
        <v>635868</v>
      </c>
      <c r="P191" s="728">
        <v>0</v>
      </c>
      <c r="Q191" s="731">
        <v>27166</v>
      </c>
      <c r="R191" s="731"/>
      <c r="S191" s="728">
        <v>501848</v>
      </c>
      <c r="T191" s="732">
        <v>65931</v>
      </c>
      <c r="U191" s="732">
        <v>567779</v>
      </c>
    </row>
    <row r="192" spans="1:21" x14ac:dyDescent="0.25">
      <c r="A192" s="729">
        <v>35900</v>
      </c>
      <c r="B192" s="727" t="s">
        <v>956</v>
      </c>
      <c r="C192" s="730">
        <v>2.4949E-3</v>
      </c>
      <c r="D192" s="730">
        <v>2.5728999999999999E-3</v>
      </c>
      <c r="E192" s="728">
        <v>23647609</v>
      </c>
      <c r="F192" s="731">
        <v>19795637</v>
      </c>
      <c r="G192" s="728">
        <f>VLOOKUP(A192,'[3]TSERS Contributions FY 2017'!$A$2:$C$290,3,FALSE)</f>
        <v>3457053</v>
      </c>
      <c r="H192" s="731"/>
      <c r="I192" s="728">
        <v>429133</v>
      </c>
      <c r="J192" s="728">
        <v>9438399</v>
      </c>
      <c r="K192" s="728">
        <v>3127412</v>
      </c>
      <c r="L192" s="731">
        <v>0</v>
      </c>
      <c r="M192" s="731"/>
      <c r="N192" s="728">
        <v>647619</v>
      </c>
      <c r="O192" s="728">
        <v>6759378</v>
      </c>
      <c r="P192" s="728">
        <v>0</v>
      </c>
      <c r="Q192" s="731">
        <v>650210</v>
      </c>
      <c r="R192" s="731"/>
      <c r="S192" s="728">
        <v>5334725</v>
      </c>
      <c r="T192" s="732">
        <v>-340267</v>
      </c>
      <c r="U192" s="732">
        <v>4994458</v>
      </c>
    </row>
    <row r="193" spans="1:21" x14ac:dyDescent="0.25">
      <c r="A193" s="729">
        <v>35905</v>
      </c>
      <c r="B193" s="727" t="s">
        <v>957</v>
      </c>
      <c r="C193" s="730">
        <v>3.5080000000000002E-4</v>
      </c>
      <c r="D193" s="730">
        <v>3.5429999999999999E-4</v>
      </c>
      <c r="E193" s="728">
        <v>3256383</v>
      </c>
      <c r="F193" s="731">
        <v>2783402</v>
      </c>
      <c r="G193" s="728">
        <f>VLOOKUP(A193,'[3]TSERS Contributions FY 2017'!$A$2:$C$290,3,FALSE)</f>
        <v>591160</v>
      </c>
      <c r="H193" s="731"/>
      <c r="I193" s="728">
        <v>60339</v>
      </c>
      <c r="J193" s="728">
        <v>1327103</v>
      </c>
      <c r="K193" s="728">
        <v>439736</v>
      </c>
      <c r="L193" s="731">
        <v>77016</v>
      </c>
      <c r="M193" s="731"/>
      <c r="N193" s="728">
        <v>91060</v>
      </c>
      <c r="O193" s="728">
        <v>950415</v>
      </c>
      <c r="P193" s="728">
        <v>0</v>
      </c>
      <c r="Q193" s="731">
        <v>0</v>
      </c>
      <c r="R193" s="731"/>
      <c r="S193" s="728">
        <v>750099</v>
      </c>
      <c r="T193" s="732">
        <v>31950</v>
      </c>
      <c r="U193" s="732">
        <v>782049</v>
      </c>
    </row>
    <row r="194" spans="1:21" x14ac:dyDescent="0.25">
      <c r="A194" s="729">
        <v>36000</v>
      </c>
      <c r="B194" s="727" t="s">
        <v>958</v>
      </c>
      <c r="C194" s="730">
        <v>5.97805E-2</v>
      </c>
      <c r="D194" s="730">
        <v>5.8661999999999999E-2</v>
      </c>
      <c r="E194" s="728">
        <v>539164378</v>
      </c>
      <c r="F194" s="731">
        <v>474324850</v>
      </c>
      <c r="G194" s="728">
        <f>VLOOKUP(A194,'[3]TSERS Contributions FY 2017'!$A$2:$C$290,3,FALSE)</f>
        <v>78132407</v>
      </c>
      <c r="H194" s="731"/>
      <c r="I194" s="728">
        <v>10282485</v>
      </c>
      <c r="J194" s="728">
        <v>226154235</v>
      </c>
      <c r="K194" s="728">
        <v>74936172</v>
      </c>
      <c r="L194" s="731">
        <v>917582</v>
      </c>
      <c r="M194" s="731"/>
      <c r="N194" s="728">
        <v>15517643</v>
      </c>
      <c r="O194" s="728">
        <v>161961993</v>
      </c>
      <c r="P194" s="728">
        <v>0</v>
      </c>
      <c r="Q194" s="731">
        <v>4697985</v>
      </c>
      <c r="R194" s="731"/>
      <c r="S194" s="728">
        <v>127825774</v>
      </c>
      <c r="T194" s="732">
        <v>-2558010</v>
      </c>
      <c r="U194" s="732">
        <v>125267764</v>
      </c>
    </row>
    <row r="195" spans="1:21" x14ac:dyDescent="0.25">
      <c r="A195" s="729">
        <v>36001</v>
      </c>
      <c r="B195" s="727" t="s">
        <v>959</v>
      </c>
      <c r="C195" s="730">
        <v>2.8799999999999999E-5</v>
      </c>
      <c r="D195" s="730">
        <v>3.2799999999999998E-5</v>
      </c>
      <c r="E195" s="728">
        <v>301466</v>
      </c>
      <c r="F195" s="731">
        <v>228512</v>
      </c>
      <c r="G195" s="728">
        <f>VLOOKUP(A195,'[3]TSERS Contributions FY 2017'!$A$2:$C$290,3,FALSE)</f>
        <v>44351</v>
      </c>
      <c r="H195" s="731"/>
      <c r="I195" s="728">
        <v>4954</v>
      </c>
      <c r="J195" s="728">
        <v>108953</v>
      </c>
      <c r="K195" s="728">
        <v>36101</v>
      </c>
      <c r="L195" s="731">
        <v>0</v>
      </c>
      <c r="M195" s="731"/>
      <c r="N195" s="728">
        <v>7476</v>
      </c>
      <c r="O195" s="728">
        <v>78027</v>
      </c>
      <c r="P195" s="728">
        <v>0</v>
      </c>
      <c r="Q195" s="731">
        <v>65699</v>
      </c>
      <c r="R195" s="731"/>
      <c r="S195" s="728">
        <v>61582</v>
      </c>
      <c r="T195" s="732">
        <v>-41113</v>
      </c>
      <c r="U195" s="732">
        <v>20468</v>
      </c>
    </row>
    <row r="196" spans="1:21" x14ac:dyDescent="0.25">
      <c r="A196" s="729">
        <v>36002</v>
      </c>
      <c r="B196" s="727" t="s">
        <v>960</v>
      </c>
      <c r="C196" s="730">
        <v>0</v>
      </c>
      <c r="D196" s="730">
        <v>1.4239999999999999E-4</v>
      </c>
      <c r="E196" s="728">
        <v>1308803</v>
      </c>
      <c r="F196" s="731">
        <v>0</v>
      </c>
      <c r="G196" s="728">
        <v>0</v>
      </c>
      <c r="H196" s="731"/>
      <c r="I196" s="728">
        <v>0</v>
      </c>
      <c r="J196" s="728">
        <v>0</v>
      </c>
      <c r="K196" s="728">
        <v>0</v>
      </c>
      <c r="L196" s="731">
        <v>27051</v>
      </c>
      <c r="M196" s="731"/>
      <c r="N196" s="728">
        <v>0</v>
      </c>
      <c r="O196" s="728">
        <v>0</v>
      </c>
      <c r="P196" s="728">
        <v>0</v>
      </c>
      <c r="Q196" s="731">
        <v>802301</v>
      </c>
      <c r="R196" s="731"/>
      <c r="S196" s="728">
        <v>0</v>
      </c>
      <c r="T196" s="732">
        <v>-255973</v>
      </c>
      <c r="U196" s="732">
        <v>-255973</v>
      </c>
    </row>
    <row r="197" spans="1:21" x14ac:dyDescent="0.25">
      <c r="A197" s="729">
        <v>36003</v>
      </c>
      <c r="B197" s="727" t="s">
        <v>961</v>
      </c>
      <c r="C197" s="730">
        <v>4.3980000000000001E-4</v>
      </c>
      <c r="D197" s="730">
        <v>4.481E-4</v>
      </c>
      <c r="E197" s="728">
        <v>4118502</v>
      </c>
      <c r="F197" s="731">
        <v>3489567</v>
      </c>
      <c r="G197" s="728">
        <f>VLOOKUP(A197,'[3]TSERS Contributions FY 2017'!$A$2:$C$290,3,FALSE)</f>
        <v>512201</v>
      </c>
      <c r="H197" s="731"/>
      <c r="I197" s="728">
        <v>75647</v>
      </c>
      <c r="J197" s="728">
        <v>1663797</v>
      </c>
      <c r="K197" s="728">
        <v>551299</v>
      </c>
      <c r="L197" s="731">
        <v>3132</v>
      </c>
      <c r="M197" s="731"/>
      <c r="N197" s="728">
        <v>114162</v>
      </c>
      <c r="O197" s="728">
        <v>1191540</v>
      </c>
      <c r="P197" s="728">
        <v>0</v>
      </c>
      <c r="Q197" s="731">
        <v>197849</v>
      </c>
      <c r="R197" s="731"/>
      <c r="S197" s="728">
        <v>940403</v>
      </c>
      <c r="T197" s="732">
        <v>-72275</v>
      </c>
      <c r="U197" s="732">
        <v>868128</v>
      </c>
    </row>
    <row r="198" spans="1:21" x14ac:dyDescent="0.25">
      <c r="A198" s="729">
        <v>36004</v>
      </c>
      <c r="B198" s="727" t="s">
        <v>962</v>
      </c>
      <c r="C198" s="730">
        <v>2.397E-4</v>
      </c>
      <c r="D198" s="730">
        <v>2.1230000000000001E-4</v>
      </c>
      <c r="E198" s="728">
        <v>1951256</v>
      </c>
      <c r="F198" s="731">
        <v>1901886</v>
      </c>
      <c r="G198" s="728">
        <f>VLOOKUP(A198,'[3]TSERS Contributions FY 2017'!$A$2:$C$290,3,FALSE)</f>
        <v>270631</v>
      </c>
      <c r="H198" s="731"/>
      <c r="I198" s="728">
        <v>41229</v>
      </c>
      <c r="J198" s="728">
        <v>906804</v>
      </c>
      <c r="K198" s="728">
        <v>300469</v>
      </c>
      <c r="L198" s="731">
        <v>357800</v>
      </c>
      <c r="M198" s="731"/>
      <c r="N198" s="728">
        <v>62221</v>
      </c>
      <c r="O198" s="728">
        <v>649414</v>
      </c>
      <c r="P198" s="728">
        <v>0</v>
      </c>
      <c r="Q198" s="731">
        <v>0</v>
      </c>
      <c r="R198" s="731"/>
      <c r="S198" s="728">
        <v>512539</v>
      </c>
      <c r="T198" s="732">
        <v>246051</v>
      </c>
      <c r="U198" s="732">
        <v>758590</v>
      </c>
    </row>
    <row r="199" spans="1:21" x14ac:dyDescent="0.25">
      <c r="A199" s="729">
        <v>36005</v>
      </c>
      <c r="B199" s="727" t="s">
        <v>963</v>
      </c>
      <c r="C199" s="730">
        <v>5.0964000000000001E-3</v>
      </c>
      <c r="D199" s="730">
        <v>5.0835000000000003E-3</v>
      </c>
      <c r="E199" s="728">
        <v>46722616</v>
      </c>
      <c r="F199" s="731">
        <v>40437085</v>
      </c>
      <c r="G199" s="728">
        <f>VLOOKUP(A199,'[3]TSERS Contributions FY 2017'!$A$2:$C$290,3,FALSE)</f>
        <v>7296450</v>
      </c>
      <c r="H199" s="731"/>
      <c r="I199" s="728">
        <v>876601</v>
      </c>
      <c r="J199" s="728">
        <v>19280074</v>
      </c>
      <c r="K199" s="728">
        <v>6388450</v>
      </c>
      <c r="L199" s="731">
        <v>1374462</v>
      </c>
      <c r="M199" s="731"/>
      <c r="N199" s="728">
        <v>1322908</v>
      </c>
      <c r="O199" s="728">
        <v>13807564</v>
      </c>
      <c r="P199" s="728">
        <v>0</v>
      </c>
      <c r="Q199" s="731">
        <v>0</v>
      </c>
      <c r="R199" s="731"/>
      <c r="S199" s="728">
        <v>10897387</v>
      </c>
      <c r="T199" s="732">
        <v>877955</v>
      </c>
      <c r="U199" s="732">
        <v>11775343</v>
      </c>
    </row>
    <row r="200" spans="1:21" x14ac:dyDescent="0.25">
      <c r="A200" s="729">
        <v>36006</v>
      </c>
      <c r="B200" s="727" t="s">
        <v>964</v>
      </c>
      <c r="C200" s="730">
        <v>5.5060000000000005E-4</v>
      </c>
      <c r="D200" s="730">
        <v>5.3390000000000002E-4</v>
      </c>
      <c r="E200" s="728">
        <v>4907093</v>
      </c>
      <c r="F200" s="731">
        <v>4368703</v>
      </c>
      <c r="G200" s="728">
        <f>VLOOKUP(A200,'[3]TSERS Contributions FY 2017'!$A$2:$C$290,3,FALSE)</f>
        <v>664154</v>
      </c>
      <c r="H200" s="731"/>
      <c r="I200" s="728">
        <v>94705</v>
      </c>
      <c r="J200" s="728">
        <v>2082962</v>
      </c>
      <c r="K200" s="728">
        <v>690189</v>
      </c>
      <c r="L200" s="731">
        <v>13198</v>
      </c>
      <c r="M200" s="731"/>
      <c r="N200" s="728">
        <v>142923</v>
      </c>
      <c r="O200" s="728">
        <v>1491728</v>
      </c>
      <c r="P200" s="728">
        <v>0</v>
      </c>
      <c r="Q200" s="731">
        <v>142897</v>
      </c>
      <c r="R200" s="731"/>
      <c r="S200" s="728">
        <v>1177322</v>
      </c>
      <c r="T200" s="732">
        <v>-45625</v>
      </c>
      <c r="U200" s="732">
        <v>1131696</v>
      </c>
    </row>
    <row r="201" spans="1:21" x14ac:dyDescent="0.25">
      <c r="A201" s="729">
        <v>36007</v>
      </c>
      <c r="B201" s="727" t="s">
        <v>965</v>
      </c>
      <c r="C201" s="730">
        <v>1.94E-4</v>
      </c>
      <c r="D201" s="730">
        <v>1.7589999999999999E-4</v>
      </c>
      <c r="E201" s="728">
        <v>1616703</v>
      </c>
      <c r="F201" s="731">
        <v>1539282</v>
      </c>
      <c r="G201" s="728">
        <f>VLOOKUP(A201,'[3]TSERS Contributions FY 2017'!$A$2:$C$290,3,FALSE)</f>
        <v>244211</v>
      </c>
      <c r="H201" s="731"/>
      <c r="I201" s="728">
        <v>33369</v>
      </c>
      <c r="J201" s="728">
        <v>733917</v>
      </c>
      <c r="K201" s="728">
        <v>243183</v>
      </c>
      <c r="L201" s="731">
        <v>50486</v>
      </c>
      <c r="M201" s="731"/>
      <c r="N201" s="728">
        <v>50358</v>
      </c>
      <c r="O201" s="728">
        <v>525600</v>
      </c>
      <c r="P201" s="728">
        <v>0</v>
      </c>
      <c r="Q201" s="731">
        <v>44109</v>
      </c>
      <c r="R201" s="731"/>
      <c r="S201" s="728">
        <v>414821</v>
      </c>
      <c r="T201" s="732">
        <v>6248</v>
      </c>
      <c r="U201" s="732">
        <v>421069</v>
      </c>
    </row>
    <row r="202" spans="1:21" x14ac:dyDescent="0.25">
      <c r="A202" s="729">
        <v>36008</v>
      </c>
      <c r="B202" s="727" t="s">
        <v>966</v>
      </c>
      <c r="C202" s="730">
        <v>6.1220000000000003E-4</v>
      </c>
      <c r="D202" s="730">
        <v>5.4390000000000005E-4</v>
      </c>
      <c r="E202" s="728">
        <v>4999003</v>
      </c>
      <c r="F202" s="731">
        <v>4857465</v>
      </c>
      <c r="G202" s="728">
        <f>VLOOKUP(A202,'[3]TSERS Contributions FY 2017'!$A$2:$C$290,3,FALSE)</f>
        <v>687679</v>
      </c>
      <c r="H202" s="731"/>
      <c r="I202" s="728">
        <v>105301</v>
      </c>
      <c r="J202" s="728">
        <v>2316000</v>
      </c>
      <c r="K202" s="728">
        <v>767406</v>
      </c>
      <c r="L202" s="731">
        <v>126130</v>
      </c>
      <c r="M202" s="731"/>
      <c r="N202" s="728">
        <v>158913</v>
      </c>
      <c r="O202" s="728">
        <v>1658620</v>
      </c>
      <c r="P202" s="728">
        <v>0</v>
      </c>
      <c r="Q202" s="731">
        <v>86677</v>
      </c>
      <c r="R202" s="731"/>
      <c r="S202" s="728">
        <v>1309038</v>
      </c>
      <c r="T202" s="732">
        <v>19478</v>
      </c>
      <c r="U202" s="732">
        <v>1328516</v>
      </c>
    </row>
    <row r="203" spans="1:21" x14ac:dyDescent="0.25">
      <c r="A203" s="729">
        <v>36009</v>
      </c>
      <c r="B203" s="727" t="s">
        <v>967</v>
      </c>
      <c r="C203" s="730">
        <v>1.416E-4</v>
      </c>
      <c r="D203" s="730">
        <v>1.7899999999999999E-4</v>
      </c>
      <c r="E203" s="728">
        <v>1645195</v>
      </c>
      <c r="F203" s="731">
        <v>1123517</v>
      </c>
      <c r="G203" s="728">
        <f>VLOOKUP(A203,'[3]TSERS Contributions FY 2017'!$A$2:$C$290,3,FALSE)</f>
        <v>169829</v>
      </c>
      <c r="H203" s="731"/>
      <c r="I203" s="728">
        <v>24356</v>
      </c>
      <c r="J203" s="728">
        <v>535684</v>
      </c>
      <c r="K203" s="728">
        <v>177499</v>
      </c>
      <c r="L203" s="731">
        <v>133833</v>
      </c>
      <c r="M203" s="731"/>
      <c r="N203" s="728">
        <v>36756</v>
      </c>
      <c r="O203" s="728">
        <v>383634</v>
      </c>
      <c r="P203" s="728">
        <v>0</v>
      </c>
      <c r="Q203" s="731">
        <v>165130</v>
      </c>
      <c r="R203" s="731"/>
      <c r="S203" s="728">
        <v>302776</v>
      </c>
      <c r="T203" s="732">
        <v>31645</v>
      </c>
      <c r="U203" s="732">
        <v>334422</v>
      </c>
    </row>
    <row r="204" spans="1:21" x14ac:dyDescent="0.25">
      <c r="A204" s="729">
        <v>36100</v>
      </c>
      <c r="B204" s="727" t="s">
        <v>968</v>
      </c>
      <c r="C204" s="730">
        <v>7.4960000000000001E-4</v>
      </c>
      <c r="D204" s="730">
        <v>7.7249999999999997E-4</v>
      </c>
      <c r="E204" s="728">
        <v>7100073</v>
      </c>
      <c r="F204" s="731">
        <v>5947657</v>
      </c>
      <c r="G204" s="728">
        <f>VLOOKUP(A204,'[3]TSERS Contributions FY 2017'!$A$2:$C$290,3,FALSE)</f>
        <v>1122457</v>
      </c>
      <c r="H204" s="731"/>
      <c r="I204" s="728">
        <v>128934</v>
      </c>
      <c r="J204" s="728">
        <v>2835795</v>
      </c>
      <c r="K204" s="728">
        <v>939640</v>
      </c>
      <c r="L204" s="731">
        <v>5467</v>
      </c>
      <c r="M204" s="731"/>
      <c r="N204" s="728">
        <v>194579</v>
      </c>
      <c r="O204" s="728">
        <v>2030875</v>
      </c>
      <c r="P204" s="728">
        <v>0</v>
      </c>
      <c r="Q204" s="731">
        <v>90971</v>
      </c>
      <c r="R204" s="731"/>
      <c r="S204" s="728">
        <v>1602834</v>
      </c>
      <c r="T204" s="732">
        <v>-58537</v>
      </c>
      <c r="U204" s="732">
        <v>1544296</v>
      </c>
    </row>
    <row r="205" spans="1:21" x14ac:dyDescent="0.25">
      <c r="A205" s="729">
        <v>36102</v>
      </c>
      <c r="B205" s="727" t="s">
        <v>969</v>
      </c>
      <c r="C205" s="730">
        <v>2.1670000000000001E-4</v>
      </c>
      <c r="D205" s="730">
        <v>1.615E-4</v>
      </c>
      <c r="E205" s="728">
        <v>1484352</v>
      </c>
      <c r="F205" s="731">
        <v>1719393</v>
      </c>
      <c r="G205" s="728">
        <f>VLOOKUP(A205,'[3]TSERS Contributions FY 2017'!$A$2:$C$290,3,FALSE)</f>
        <v>243575</v>
      </c>
      <c r="H205" s="731"/>
      <c r="I205" s="728">
        <v>37273</v>
      </c>
      <c r="J205" s="728">
        <v>819793</v>
      </c>
      <c r="K205" s="728">
        <v>271638</v>
      </c>
      <c r="L205" s="731">
        <v>235689</v>
      </c>
      <c r="M205" s="731"/>
      <c r="N205" s="728">
        <v>56250</v>
      </c>
      <c r="O205" s="728">
        <v>587101</v>
      </c>
      <c r="P205" s="728">
        <v>0</v>
      </c>
      <c r="Q205" s="731">
        <v>98369</v>
      </c>
      <c r="R205" s="731"/>
      <c r="S205" s="728">
        <v>463359</v>
      </c>
      <c r="T205" s="732">
        <v>18302</v>
      </c>
      <c r="U205" s="732">
        <v>481661</v>
      </c>
    </row>
    <row r="206" spans="1:21" x14ac:dyDescent="0.25">
      <c r="A206" s="729">
        <v>36105</v>
      </c>
      <c r="B206" s="727" t="s">
        <v>970</v>
      </c>
      <c r="C206" s="730">
        <v>4.148E-4</v>
      </c>
      <c r="D206" s="730">
        <v>4.1159999999999998E-4</v>
      </c>
      <c r="E206" s="728">
        <v>3783029</v>
      </c>
      <c r="F206" s="731">
        <v>3291206</v>
      </c>
      <c r="G206" s="728">
        <f>VLOOKUP(A206,'[3]TSERS Contributions FY 2017'!$A$2:$C$290,3,FALSE)</f>
        <v>630238</v>
      </c>
      <c r="H206" s="731"/>
      <c r="I206" s="728">
        <v>71347</v>
      </c>
      <c r="J206" s="728">
        <v>1569220</v>
      </c>
      <c r="K206" s="728">
        <v>519961</v>
      </c>
      <c r="L206" s="731">
        <v>71811</v>
      </c>
      <c r="M206" s="731"/>
      <c r="N206" s="728">
        <v>107673</v>
      </c>
      <c r="O206" s="728">
        <v>1123809</v>
      </c>
      <c r="P206" s="728">
        <v>0</v>
      </c>
      <c r="Q206" s="731">
        <v>12596</v>
      </c>
      <c r="R206" s="731"/>
      <c r="S206" s="728">
        <v>886947</v>
      </c>
      <c r="T206" s="732">
        <v>11141</v>
      </c>
      <c r="U206" s="732">
        <v>898088</v>
      </c>
    </row>
    <row r="207" spans="1:21" x14ac:dyDescent="0.25">
      <c r="A207" s="729">
        <v>36200</v>
      </c>
      <c r="B207" s="727" t="s">
        <v>971</v>
      </c>
      <c r="C207" s="730">
        <v>1.593E-3</v>
      </c>
      <c r="D207" s="730">
        <v>1.632E-3</v>
      </c>
      <c r="E207" s="728">
        <v>14999766</v>
      </c>
      <c r="F207" s="731">
        <v>12639565</v>
      </c>
      <c r="G207" s="728">
        <f>VLOOKUP(A207,'[3]TSERS Contributions FY 2017'!$A$2:$C$290,3,FALSE)</f>
        <v>2300465</v>
      </c>
      <c r="H207" s="731"/>
      <c r="I207" s="728">
        <v>274002</v>
      </c>
      <c r="J207" s="728">
        <v>6026442</v>
      </c>
      <c r="K207" s="728">
        <v>1996861</v>
      </c>
      <c r="L207" s="731">
        <v>139963</v>
      </c>
      <c r="M207" s="731"/>
      <c r="N207" s="728">
        <v>413506</v>
      </c>
      <c r="O207" s="728">
        <v>4315880</v>
      </c>
      <c r="P207" s="728">
        <v>0</v>
      </c>
      <c r="Q207" s="731">
        <v>149911</v>
      </c>
      <c r="R207" s="731"/>
      <c r="S207" s="728">
        <v>3406235</v>
      </c>
      <c r="T207" s="732">
        <v>-2372</v>
      </c>
      <c r="U207" s="732">
        <v>3403864</v>
      </c>
    </row>
    <row r="208" spans="1:21" x14ac:dyDescent="0.25">
      <c r="A208" s="729">
        <v>36205</v>
      </c>
      <c r="B208" s="727" t="s">
        <v>972</v>
      </c>
      <c r="C208" s="730">
        <v>2.875E-4</v>
      </c>
      <c r="D208" s="730">
        <v>2.812E-4</v>
      </c>
      <c r="E208" s="728">
        <v>2584518</v>
      </c>
      <c r="F208" s="731">
        <v>2281152</v>
      </c>
      <c r="G208" s="728">
        <f>VLOOKUP(A208,'[3]TSERS Contributions FY 2017'!$A$2:$C$290,3,FALSE)</f>
        <v>406918</v>
      </c>
      <c r="H208" s="731"/>
      <c r="I208" s="728">
        <v>49451.15</v>
      </c>
      <c r="J208" s="728">
        <v>1087635</v>
      </c>
      <c r="K208" s="728">
        <v>360388</v>
      </c>
      <c r="L208" s="731">
        <v>100535</v>
      </c>
      <c r="M208" s="731"/>
      <c r="N208" s="728">
        <v>74628</v>
      </c>
      <c r="O208" s="728">
        <v>778917</v>
      </c>
      <c r="P208" s="728">
        <v>0</v>
      </c>
      <c r="Q208" s="731">
        <v>0</v>
      </c>
      <c r="R208" s="731"/>
      <c r="S208" s="728">
        <v>614747</v>
      </c>
      <c r="T208" s="732">
        <v>50647</v>
      </c>
      <c r="U208" s="732">
        <v>665394</v>
      </c>
    </row>
    <row r="209" spans="1:21" x14ac:dyDescent="0.25">
      <c r="A209" s="729">
        <v>36300</v>
      </c>
      <c r="B209" s="727" t="s">
        <v>973</v>
      </c>
      <c r="C209" s="730">
        <v>5.0737999999999998E-3</v>
      </c>
      <c r="D209" s="730">
        <v>5.0688E-3</v>
      </c>
      <c r="E209" s="728">
        <v>46587508</v>
      </c>
      <c r="F209" s="731">
        <v>40257767</v>
      </c>
      <c r="G209" s="728">
        <f>VLOOKUP(A209,'[3]TSERS Contributions FY 2017'!$A$2:$C$290,3,FALSE)</f>
        <v>6899437</v>
      </c>
      <c r="H209" s="731"/>
      <c r="I209" s="728">
        <v>872714</v>
      </c>
      <c r="J209" s="728">
        <v>19194576</v>
      </c>
      <c r="K209" s="728">
        <v>6360120</v>
      </c>
      <c r="L209" s="731">
        <v>422154</v>
      </c>
      <c r="M209" s="731"/>
      <c r="N209" s="728">
        <v>1317042</v>
      </c>
      <c r="O209" s="728">
        <v>13746335</v>
      </c>
      <c r="P209" s="728">
        <v>0</v>
      </c>
      <c r="Q209" s="731">
        <v>319715</v>
      </c>
      <c r="R209" s="731"/>
      <c r="S209" s="728">
        <v>10849063</v>
      </c>
      <c r="T209" s="732">
        <v>25216</v>
      </c>
      <c r="U209" s="732">
        <v>10874279</v>
      </c>
    </row>
    <row r="210" spans="1:21" x14ac:dyDescent="0.25">
      <c r="A210" s="729">
        <v>36301</v>
      </c>
      <c r="B210" s="727" t="s">
        <v>974</v>
      </c>
      <c r="C210" s="730">
        <v>7.8100000000000001E-5</v>
      </c>
      <c r="D210" s="730">
        <v>6.3499999999999999E-5</v>
      </c>
      <c r="E210" s="728">
        <v>583631</v>
      </c>
      <c r="F210" s="731">
        <v>619680</v>
      </c>
      <c r="G210" s="728">
        <f>VLOOKUP(A210,'[3]TSERS Contributions FY 2017'!$A$2:$C$290,3,FALSE)</f>
        <v>91684</v>
      </c>
      <c r="H210" s="731"/>
      <c r="I210" s="728">
        <v>13434</v>
      </c>
      <c r="J210" s="728">
        <v>295458</v>
      </c>
      <c r="K210" s="728">
        <v>97900</v>
      </c>
      <c r="L210" s="731">
        <v>66125</v>
      </c>
      <c r="M210" s="731"/>
      <c r="N210" s="728">
        <v>20273</v>
      </c>
      <c r="O210" s="728">
        <v>211595</v>
      </c>
      <c r="P210" s="728">
        <v>0</v>
      </c>
      <c r="Q210" s="731">
        <v>0</v>
      </c>
      <c r="R210" s="731"/>
      <c r="S210" s="728">
        <v>166997</v>
      </c>
      <c r="T210" s="732">
        <v>25963</v>
      </c>
      <c r="U210" s="732">
        <v>192960</v>
      </c>
    </row>
    <row r="211" spans="1:21" x14ac:dyDescent="0.25">
      <c r="A211" s="729">
        <v>36302</v>
      </c>
      <c r="B211" s="727" t="s">
        <v>975</v>
      </c>
      <c r="C211" s="730">
        <v>1.194E-4</v>
      </c>
      <c r="D211" s="730">
        <v>1.2420000000000001E-4</v>
      </c>
      <c r="E211" s="728">
        <v>1141526</v>
      </c>
      <c r="F211" s="731">
        <v>947372</v>
      </c>
      <c r="G211" s="728">
        <f>VLOOKUP(A211,'[3]TSERS Contributions FY 2017'!$A$2:$C$290,3,FALSE)</f>
        <v>143357</v>
      </c>
      <c r="H211" s="731"/>
      <c r="I211" s="728">
        <v>20537</v>
      </c>
      <c r="J211" s="728">
        <v>451699</v>
      </c>
      <c r="K211" s="728">
        <v>149671</v>
      </c>
      <c r="L211" s="731">
        <v>38370</v>
      </c>
      <c r="M211" s="731"/>
      <c r="N211" s="728">
        <v>30993</v>
      </c>
      <c r="O211" s="728">
        <v>323488</v>
      </c>
      <c r="P211" s="728">
        <v>0</v>
      </c>
      <c r="Q211" s="731">
        <v>59336</v>
      </c>
      <c r="R211" s="731"/>
      <c r="S211" s="728">
        <v>255307</v>
      </c>
      <c r="T211" s="732">
        <v>7890</v>
      </c>
      <c r="U211" s="732">
        <v>263198</v>
      </c>
    </row>
    <row r="212" spans="1:21" x14ac:dyDescent="0.25">
      <c r="A212" s="729">
        <v>36305</v>
      </c>
      <c r="B212" s="727" t="s">
        <v>976</v>
      </c>
      <c r="C212" s="730">
        <v>9.5120000000000003E-4</v>
      </c>
      <c r="D212" s="730">
        <v>9.9630000000000009E-4</v>
      </c>
      <c r="E212" s="728">
        <v>9157026</v>
      </c>
      <c r="F212" s="731">
        <v>7547240</v>
      </c>
      <c r="G212" s="728">
        <f>VLOOKUP(A212,'[3]TSERS Contributions FY 2017'!$A$2:$C$290,3,FALSE)</f>
        <v>1523974</v>
      </c>
      <c r="H212" s="731"/>
      <c r="I212" s="728">
        <v>163610</v>
      </c>
      <c r="J212" s="728">
        <v>3598463</v>
      </c>
      <c r="K212" s="728">
        <v>1192350</v>
      </c>
      <c r="L212" s="731">
        <v>187769</v>
      </c>
      <c r="M212" s="731"/>
      <c r="N212" s="728">
        <v>246910</v>
      </c>
      <c r="O212" s="728">
        <v>2577065</v>
      </c>
      <c r="P212" s="728">
        <v>0</v>
      </c>
      <c r="Q212" s="731">
        <v>75794</v>
      </c>
      <c r="R212" s="731"/>
      <c r="S212" s="728">
        <v>2033905</v>
      </c>
      <c r="T212" s="732">
        <v>39422</v>
      </c>
      <c r="U212" s="732">
        <v>2073327</v>
      </c>
    </row>
    <row r="213" spans="1:21" x14ac:dyDescent="0.25">
      <c r="A213" s="733">
        <v>36310</v>
      </c>
      <c r="B213" s="727" t="s">
        <v>1539</v>
      </c>
      <c r="C213" s="730">
        <v>3.8000000000000002E-5</v>
      </c>
      <c r="D213" s="730">
        <v>0</v>
      </c>
      <c r="E213" s="728">
        <v>0</v>
      </c>
      <c r="F213" s="731">
        <v>301509</v>
      </c>
      <c r="G213" s="728">
        <f>VLOOKUP(A213,'[3]TSERS Contributions FY 2017'!$A$2:$C$290,3,FALSE)</f>
        <v>49220</v>
      </c>
      <c r="H213" s="731"/>
      <c r="I213" s="728">
        <v>6536</v>
      </c>
      <c r="J213" s="728">
        <v>143757</v>
      </c>
      <c r="K213" s="728">
        <v>47634</v>
      </c>
      <c r="L213" s="731">
        <v>138273</v>
      </c>
      <c r="M213" s="731"/>
      <c r="N213" s="728">
        <v>9864</v>
      </c>
      <c r="O213" s="728">
        <v>102953</v>
      </c>
      <c r="P213" s="728">
        <v>0</v>
      </c>
      <c r="Q213" s="731">
        <v>0</v>
      </c>
      <c r="R213" s="731"/>
      <c r="S213" s="728">
        <v>81254</v>
      </c>
      <c r="T213" s="732">
        <v>46091</v>
      </c>
      <c r="U213" s="732">
        <v>127345</v>
      </c>
    </row>
    <row r="214" spans="1:21" x14ac:dyDescent="0.25">
      <c r="A214" s="729">
        <v>36400</v>
      </c>
      <c r="B214" s="727" t="s">
        <v>977</v>
      </c>
      <c r="C214" s="730">
        <v>5.6394000000000001E-3</v>
      </c>
      <c r="D214" s="730">
        <v>5.4936000000000004E-3</v>
      </c>
      <c r="E214" s="728">
        <v>50491859</v>
      </c>
      <c r="F214" s="731">
        <v>44745487</v>
      </c>
      <c r="G214" s="728">
        <f>VLOOKUP(A214,'[3]TSERS Contributions FY 2017'!$A$2:$C$290,3,FALSE)</f>
        <v>8123352</v>
      </c>
      <c r="H214" s="731"/>
      <c r="I214" s="728">
        <v>969999</v>
      </c>
      <c r="J214" s="728">
        <v>21334284</v>
      </c>
      <c r="K214" s="728">
        <v>7069112</v>
      </c>
      <c r="L214" s="731">
        <v>736117</v>
      </c>
      <c r="M214" s="731"/>
      <c r="N214" s="728">
        <v>1463859</v>
      </c>
      <c r="O214" s="728">
        <v>15278702</v>
      </c>
      <c r="P214" s="728">
        <v>0</v>
      </c>
      <c r="Q214" s="731">
        <v>615427</v>
      </c>
      <c r="R214" s="731"/>
      <c r="S214" s="728">
        <v>12058458</v>
      </c>
      <c r="T214" s="732">
        <v>-444562</v>
      </c>
      <c r="U214" s="732">
        <v>11613896</v>
      </c>
    </row>
    <row r="215" spans="1:21" x14ac:dyDescent="0.25">
      <c r="A215" s="729">
        <v>36405</v>
      </c>
      <c r="B215" s="727" t="s">
        <v>978</v>
      </c>
      <c r="C215" s="730">
        <v>9.7380000000000003E-4</v>
      </c>
      <c r="D215" s="730">
        <v>9.4269999999999998E-4</v>
      </c>
      <c r="E215" s="728">
        <v>8664387</v>
      </c>
      <c r="F215" s="731">
        <v>7726559</v>
      </c>
      <c r="G215" s="728">
        <f>VLOOKUP(A215,'[3]TSERS Contributions FY 2017'!$A$2:$C$290,3,FALSE)</f>
        <v>1333428</v>
      </c>
      <c r="H215" s="731"/>
      <c r="I215" s="728">
        <v>167497</v>
      </c>
      <c r="J215" s="728">
        <v>3683960</v>
      </c>
      <c r="K215" s="728">
        <v>1220680</v>
      </c>
      <c r="L215" s="731">
        <v>253423</v>
      </c>
      <c r="M215" s="731"/>
      <c r="N215" s="728">
        <v>252776</v>
      </c>
      <c r="O215" s="728">
        <v>2638295</v>
      </c>
      <c r="P215" s="728">
        <v>0</v>
      </c>
      <c r="Q215" s="731">
        <v>0</v>
      </c>
      <c r="R215" s="731"/>
      <c r="S215" s="728">
        <v>2082230</v>
      </c>
      <c r="T215" s="732">
        <v>160625</v>
      </c>
      <c r="U215" s="732">
        <v>2242854</v>
      </c>
    </row>
    <row r="216" spans="1:21" x14ac:dyDescent="0.25">
      <c r="A216" s="729">
        <v>36500</v>
      </c>
      <c r="B216" s="727" t="s">
        <v>979</v>
      </c>
      <c r="C216" s="730">
        <v>1.0977199999999999E-2</v>
      </c>
      <c r="D216" s="730">
        <v>1.07055E-2</v>
      </c>
      <c r="E216" s="728">
        <v>98394604</v>
      </c>
      <c r="F216" s="731">
        <v>87097946</v>
      </c>
      <c r="G216" s="728">
        <f>VLOOKUP(A216,'[3]TSERS Contributions FY 2017'!$A$2:$C$290,3,FALSE)</f>
        <v>15013988</v>
      </c>
      <c r="H216" s="731"/>
      <c r="I216" s="728">
        <v>1888122</v>
      </c>
      <c r="J216" s="728">
        <v>41527593</v>
      </c>
      <c r="K216" s="728">
        <v>13760162</v>
      </c>
      <c r="L216" s="731">
        <v>1222798</v>
      </c>
      <c r="M216" s="731"/>
      <c r="N216" s="728">
        <v>2849429</v>
      </c>
      <c r="O216" s="728">
        <v>29740286</v>
      </c>
      <c r="P216" s="728">
        <v>0</v>
      </c>
      <c r="Q216" s="731">
        <v>0</v>
      </c>
      <c r="R216" s="731"/>
      <c r="S216" s="728">
        <v>23472020</v>
      </c>
      <c r="T216" s="732">
        <v>746838</v>
      </c>
      <c r="U216" s="732">
        <v>24218857</v>
      </c>
    </row>
    <row r="217" spans="1:21" x14ac:dyDescent="0.25">
      <c r="A217" s="729">
        <v>36501</v>
      </c>
      <c r="B217" s="727" t="s">
        <v>980</v>
      </c>
      <c r="C217" s="730">
        <v>1.429E-4</v>
      </c>
      <c r="D217" s="730">
        <v>1.205E-4</v>
      </c>
      <c r="E217" s="728">
        <v>1107519</v>
      </c>
      <c r="F217" s="731">
        <v>1133832</v>
      </c>
      <c r="G217" s="728">
        <f>VLOOKUP(A217,'[3]TSERS Contributions FY 2017'!$A$2:$C$290,3,FALSE)</f>
        <v>170678</v>
      </c>
      <c r="H217" s="731"/>
      <c r="I217" s="728">
        <v>24579</v>
      </c>
      <c r="J217" s="728">
        <v>540602</v>
      </c>
      <c r="K217" s="728">
        <v>179128</v>
      </c>
      <c r="L217" s="731">
        <v>72106</v>
      </c>
      <c r="M217" s="731"/>
      <c r="N217" s="728">
        <v>37094</v>
      </c>
      <c r="O217" s="728">
        <v>387156</v>
      </c>
      <c r="P217" s="728">
        <v>0</v>
      </c>
      <c r="Q217" s="731">
        <v>3466</v>
      </c>
      <c r="R217" s="731"/>
      <c r="S217" s="728">
        <v>305556</v>
      </c>
      <c r="T217" s="732">
        <v>27413</v>
      </c>
      <c r="U217" s="732">
        <v>332969</v>
      </c>
    </row>
    <row r="218" spans="1:21" x14ac:dyDescent="0.25">
      <c r="A218" s="729">
        <v>36502</v>
      </c>
      <c r="B218" s="727" t="s">
        <v>981</v>
      </c>
      <c r="C218" s="730">
        <v>4.9200000000000003E-5</v>
      </c>
      <c r="D218" s="730">
        <v>5.1600000000000001E-5</v>
      </c>
      <c r="E218" s="728">
        <v>474257</v>
      </c>
      <c r="F218" s="731">
        <v>390374</v>
      </c>
      <c r="G218" s="728">
        <f>VLOOKUP(A218,'[3]TSERS Contributions FY 2017'!$A$2:$C$290,3,FALSE)</f>
        <v>61164</v>
      </c>
      <c r="H218" s="731"/>
      <c r="I218" s="728">
        <v>8463</v>
      </c>
      <c r="J218" s="728">
        <v>186127</v>
      </c>
      <c r="K218" s="728">
        <v>61673</v>
      </c>
      <c r="L218" s="731">
        <v>17297</v>
      </c>
      <c r="M218" s="731"/>
      <c r="N218" s="728">
        <v>12771</v>
      </c>
      <c r="O218" s="728">
        <v>133296</v>
      </c>
      <c r="P218" s="728">
        <v>0</v>
      </c>
      <c r="Q218" s="731">
        <v>21485</v>
      </c>
      <c r="R218" s="731"/>
      <c r="S218" s="728">
        <v>105202</v>
      </c>
      <c r="T218" s="732">
        <v>2711</v>
      </c>
      <c r="U218" s="732">
        <v>107913</v>
      </c>
    </row>
    <row r="219" spans="1:21" x14ac:dyDescent="0.25">
      <c r="A219" s="729">
        <v>36505</v>
      </c>
      <c r="B219" s="727" t="s">
        <v>982</v>
      </c>
      <c r="C219" s="730">
        <v>2.2230000000000001E-3</v>
      </c>
      <c r="D219" s="730">
        <v>2.1451999999999999E-3</v>
      </c>
      <c r="E219" s="728">
        <v>19716604</v>
      </c>
      <c r="F219" s="731">
        <v>17638262</v>
      </c>
      <c r="G219" s="728">
        <f>VLOOKUP(A219,'[3]TSERS Contributions FY 2017'!$A$2:$C$290,3,FALSE)</f>
        <v>3234988</v>
      </c>
      <c r="H219" s="731"/>
      <c r="I219" s="728">
        <v>382365</v>
      </c>
      <c r="J219" s="728">
        <v>8409780</v>
      </c>
      <c r="K219" s="728">
        <v>2786579</v>
      </c>
      <c r="L219" s="731">
        <v>639072</v>
      </c>
      <c r="M219" s="731"/>
      <c r="N219" s="728">
        <v>577040</v>
      </c>
      <c r="O219" s="728">
        <v>6022725</v>
      </c>
      <c r="P219" s="728">
        <v>0</v>
      </c>
      <c r="Q219" s="731">
        <v>118184</v>
      </c>
      <c r="R219" s="731"/>
      <c r="S219" s="728">
        <v>4753334</v>
      </c>
      <c r="T219" s="732">
        <v>249914</v>
      </c>
      <c r="U219" s="732">
        <v>5003249</v>
      </c>
    </row>
    <row r="220" spans="1:21" x14ac:dyDescent="0.25">
      <c r="A220" s="729">
        <v>36600</v>
      </c>
      <c r="B220" s="727" t="s">
        <v>983</v>
      </c>
      <c r="C220" s="730">
        <v>7.8490000000000005E-4</v>
      </c>
      <c r="D220" s="730">
        <v>7.938E-4</v>
      </c>
      <c r="E220" s="728">
        <v>7295842</v>
      </c>
      <c r="F220" s="731">
        <v>6227743</v>
      </c>
      <c r="G220" s="728">
        <f>VLOOKUP(A220,'[3]TSERS Contributions FY 2017'!$A$2:$C$290,3,FALSE)</f>
        <v>1237270</v>
      </c>
      <c r="H220" s="731"/>
      <c r="I220" s="728">
        <v>135006</v>
      </c>
      <c r="J220" s="728">
        <v>2969337</v>
      </c>
      <c r="K220" s="728">
        <v>983889</v>
      </c>
      <c r="L220" s="731">
        <v>49468</v>
      </c>
      <c r="M220" s="731"/>
      <c r="N220" s="728">
        <v>203742</v>
      </c>
      <c r="O220" s="728">
        <v>2126512</v>
      </c>
      <c r="P220" s="728">
        <v>0</v>
      </c>
      <c r="Q220" s="731">
        <v>141488</v>
      </c>
      <c r="R220" s="731"/>
      <c r="S220" s="728">
        <v>1678314</v>
      </c>
      <c r="T220" s="732">
        <v>-79804</v>
      </c>
      <c r="U220" s="732">
        <v>1598510</v>
      </c>
    </row>
    <row r="221" spans="1:21" x14ac:dyDescent="0.25">
      <c r="A221" s="729">
        <v>36601</v>
      </c>
      <c r="B221" s="727" t="s">
        <v>984</v>
      </c>
      <c r="C221" s="730">
        <v>4.5150000000000002E-4</v>
      </c>
      <c r="D221" s="730">
        <v>4.0440000000000002E-4</v>
      </c>
      <c r="E221" s="728">
        <v>3716854</v>
      </c>
      <c r="F221" s="731">
        <v>3582400</v>
      </c>
      <c r="G221" s="728">
        <f>VLOOKUP(A221,'[3]TSERS Contributions FY 2017'!$A$2:$C$290,3,FALSE)</f>
        <v>529533</v>
      </c>
      <c r="H221" s="731"/>
      <c r="I221" s="728">
        <v>77660</v>
      </c>
      <c r="J221" s="728">
        <v>1708059</v>
      </c>
      <c r="K221" s="728">
        <v>565965</v>
      </c>
      <c r="L221" s="731">
        <v>245554</v>
      </c>
      <c r="M221" s="731"/>
      <c r="N221" s="728">
        <v>117199</v>
      </c>
      <c r="O221" s="728">
        <v>1223239</v>
      </c>
      <c r="P221" s="728">
        <v>0</v>
      </c>
      <c r="Q221" s="731">
        <v>0</v>
      </c>
      <c r="R221" s="731"/>
      <c r="S221" s="728">
        <v>965421</v>
      </c>
      <c r="T221" s="732">
        <v>126841</v>
      </c>
      <c r="U221" s="732">
        <v>1092262</v>
      </c>
    </row>
    <row r="222" spans="1:21" x14ac:dyDescent="0.25">
      <c r="A222" s="729">
        <v>36700</v>
      </c>
      <c r="B222" s="727" t="s">
        <v>985</v>
      </c>
      <c r="C222" s="730">
        <v>9.1883999999999993E-3</v>
      </c>
      <c r="D222" s="730">
        <v>9.1280000000000007E-3</v>
      </c>
      <c r="E222" s="728">
        <v>83895749</v>
      </c>
      <c r="F222" s="731">
        <v>72904818</v>
      </c>
      <c r="G222" s="728">
        <f>VLOOKUP(A222,'[3]TSERS Contributions FY 2017'!$A$2:$C$290,3,FALSE)</f>
        <v>12459213</v>
      </c>
      <c r="H222" s="731"/>
      <c r="I222" s="728">
        <v>1580442</v>
      </c>
      <c r="J222" s="728">
        <v>34760425</v>
      </c>
      <c r="K222" s="728">
        <v>11517862</v>
      </c>
      <c r="L222" s="731">
        <v>641940</v>
      </c>
      <c r="M222" s="731"/>
      <c r="N222" s="728">
        <v>2385097</v>
      </c>
      <c r="O222" s="728">
        <v>24893930</v>
      </c>
      <c r="P222" s="728">
        <v>0</v>
      </c>
      <c r="Q222" s="731">
        <v>1438682</v>
      </c>
      <c r="R222" s="731"/>
      <c r="S222" s="728">
        <v>19647115</v>
      </c>
      <c r="T222" s="732">
        <v>-70317</v>
      </c>
      <c r="U222" s="732">
        <v>19576797</v>
      </c>
    </row>
    <row r="223" spans="1:21" x14ac:dyDescent="0.25">
      <c r="A223" s="729">
        <v>36701</v>
      </c>
      <c r="B223" s="727" t="s">
        <v>986</v>
      </c>
      <c r="C223" s="730">
        <v>3.2400000000000001E-5</v>
      </c>
      <c r="D223" s="730">
        <v>4.6300000000000001E-5</v>
      </c>
      <c r="E223" s="728">
        <v>425545</v>
      </c>
      <c r="F223" s="731">
        <v>257076</v>
      </c>
      <c r="G223" s="728">
        <f>VLOOKUP(A223,'[3]TSERS Contributions FY 2017'!$A$2:$C$290,3,FALSE)</f>
        <v>34636</v>
      </c>
      <c r="H223" s="731"/>
      <c r="I223" s="728">
        <v>5573</v>
      </c>
      <c r="J223" s="728">
        <v>122572</v>
      </c>
      <c r="K223" s="728">
        <v>40614</v>
      </c>
      <c r="L223" s="731">
        <v>65078</v>
      </c>
      <c r="M223" s="731"/>
      <c r="N223" s="728">
        <v>8410</v>
      </c>
      <c r="O223" s="728">
        <v>87781</v>
      </c>
      <c r="P223" s="728">
        <v>0</v>
      </c>
      <c r="Q223" s="731">
        <v>60954</v>
      </c>
      <c r="R223" s="731"/>
      <c r="S223" s="728">
        <v>69279</v>
      </c>
      <c r="T223" s="732">
        <v>29165</v>
      </c>
      <c r="U223" s="732">
        <v>98444</v>
      </c>
    </row>
    <row r="224" spans="1:21" x14ac:dyDescent="0.25">
      <c r="A224" s="729">
        <v>36705</v>
      </c>
      <c r="B224" s="727" t="s">
        <v>987</v>
      </c>
      <c r="C224" s="730">
        <v>1.0859000000000001E-3</v>
      </c>
      <c r="D224" s="730">
        <v>1.0365999999999999E-3</v>
      </c>
      <c r="E224" s="728">
        <v>9527425</v>
      </c>
      <c r="F224" s="731">
        <v>8616009</v>
      </c>
      <c r="G224" s="728">
        <f>VLOOKUP(A224,'[3]TSERS Contributions FY 2017'!$A$2:$C$290,3,FALSE)</f>
        <v>1583552</v>
      </c>
      <c r="H224" s="731"/>
      <c r="I224" s="728">
        <v>186779</v>
      </c>
      <c r="J224" s="728">
        <v>4108043</v>
      </c>
      <c r="K224" s="728">
        <v>1361200</v>
      </c>
      <c r="L224" s="731">
        <v>260375</v>
      </c>
      <c r="M224" s="731"/>
      <c r="N224" s="728">
        <v>281875</v>
      </c>
      <c r="O224" s="728">
        <v>2942005</v>
      </c>
      <c r="P224" s="728">
        <v>0</v>
      </c>
      <c r="Q224" s="731">
        <v>24908</v>
      </c>
      <c r="R224" s="731"/>
      <c r="S224" s="728">
        <v>2321928</v>
      </c>
      <c r="T224" s="732">
        <v>63786</v>
      </c>
      <c r="U224" s="732">
        <v>2385714</v>
      </c>
    </row>
    <row r="225" spans="1:21" x14ac:dyDescent="0.25">
      <c r="A225" s="729">
        <v>36800</v>
      </c>
      <c r="B225" s="727" t="s">
        <v>988</v>
      </c>
      <c r="C225" s="730">
        <v>3.5022999999999999E-3</v>
      </c>
      <c r="D225" s="730">
        <v>3.4369000000000001E-3</v>
      </c>
      <c r="E225" s="728">
        <v>31588661</v>
      </c>
      <c r="F225" s="731">
        <v>27788793</v>
      </c>
      <c r="G225" s="728">
        <f>VLOOKUP(A225,'[3]TSERS Contributions FY 2017'!$A$2:$C$290,3,FALSE)</f>
        <v>5008222</v>
      </c>
      <c r="H225" s="731"/>
      <c r="I225" s="728">
        <v>602410</v>
      </c>
      <c r="J225" s="728">
        <v>13249471</v>
      </c>
      <c r="K225" s="728">
        <v>4390210</v>
      </c>
      <c r="L225" s="731">
        <v>569085</v>
      </c>
      <c r="M225" s="731"/>
      <c r="N225" s="728">
        <v>909117</v>
      </c>
      <c r="O225" s="728">
        <v>9488704</v>
      </c>
      <c r="P225" s="728">
        <v>0</v>
      </c>
      <c r="Q225" s="731">
        <v>30544</v>
      </c>
      <c r="R225" s="731"/>
      <c r="S225" s="728">
        <v>7488800</v>
      </c>
      <c r="T225" s="732">
        <v>195677</v>
      </c>
      <c r="U225" s="732">
        <v>7684477</v>
      </c>
    </row>
    <row r="226" spans="1:21" x14ac:dyDescent="0.25">
      <c r="A226" s="729">
        <v>36801</v>
      </c>
      <c r="B226" s="727" t="s">
        <v>989</v>
      </c>
      <c r="C226" s="730">
        <v>0</v>
      </c>
      <c r="D226" s="730">
        <v>0</v>
      </c>
      <c r="E226" s="728">
        <v>0</v>
      </c>
      <c r="F226" s="731">
        <v>0</v>
      </c>
      <c r="G226" s="728">
        <v>0</v>
      </c>
      <c r="H226" s="731"/>
      <c r="I226" s="728">
        <v>0</v>
      </c>
      <c r="J226" s="728">
        <v>0</v>
      </c>
      <c r="K226" s="728">
        <v>0</v>
      </c>
      <c r="L226" s="731">
        <v>0</v>
      </c>
      <c r="M226" s="731"/>
      <c r="N226" s="728">
        <v>0</v>
      </c>
      <c r="O226" s="728">
        <v>0</v>
      </c>
      <c r="P226" s="728">
        <v>0</v>
      </c>
      <c r="Q226" s="731">
        <v>162661</v>
      </c>
      <c r="R226" s="731"/>
      <c r="S226" s="728">
        <v>0</v>
      </c>
      <c r="T226" s="732">
        <v>-70677</v>
      </c>
      <c r="U226" s="732">
        <v>-70677</v>
      </c>
    </row>
    <row r="227" spans="1:21" x14ac:dyDescent="0.25">
      <c r="A227" s="729">
        <v>36802</v>
      </c>
      <c r="B227" s="727" t="s">
        <v>990</v>
      </c>
      <c r="C227" s="730">
        <v>1.2549999999999999E-4</v>
      </c>
      <c r="D227" s="730">
        <v>9.0199999999999997E-5</v>
      </c>
      <c r="E227" s="728">
        <v>829031</v>
      </c>
      <c r="F227" s="731">
        <v>995772</v>
      </c>
      <c r="G227" s="728">
        <f>VLOOKUP(A227,'[3]TSERS Contributions FY 2017'!$A$2:$C$290,3,FALSE)</f>
        <v>138917</v>
      </c>
      <c r="H227" s="731"/>
      <c r="I227" s="728">
        <v>21587</v>
      </c>
      <c r="J227" s="728">
        <v>474776</v>
      </c>
      <c r="K227" s="728">
        <v>157317</v>
      </c>
      <c r="L227" s="731">
        <v>102131</v>
      </c>
      <c r="M227" s="731"/>
      <c r="N227" s="728">
        <v>32577</v>
      </c>
      <c r="O227" s="728">
        <v>340014</v>
      </c>
      <c r="P227" s="728">
        <v>0</v>
      </c>
      <c r="Q227" s="731">
        <v>22784</v>
      </c>
      <c r="R227" s="731"/>
      <c r="S227" s="728">
        <v>268351</v>
      </c>
      <c r="T227" s="732">
        <v>12992</v>
      </c>
      <c r="U227" s="732">
        <v>281343</v>
      </c>
    </row>
    <row r="228" spans="1:21" x14ac:dyDescent="0.25">
      <c r="A228" s="729">
        <v>36810</v>
      </c>
      <c r="B228" s="727" t="s">
        <v>991</v>
      </c>
      <c r="C228" s="730">
        <v>6.5713000000000004E-3</v>
      </c>
      <c r="D228" s="730">
        <v>6.6347000000000003E-3</v>
      </c>
      <c r="E228" s="728">
        <v>60979747</v>
      </c>
      <c r="F228" s="731">
        <v>52139592</v>
      </c>
      <c r="G228" s="728">
        <f>VLOOKUP(A228,'[3]TSERS Contributions FY 2017'!$A$2:$C$290,3,FALSE)</f>
        <v>8961885</v>
      </c>
      <c r="H228" s="731"/>
      <c r="I228" s="728">
        <v>1130290</v>
      </c>
      <c r="J228" s="728">
        <v>24859734</v>
      </c>
      <c r="K228" s="728">
        <v>8237269</v>
      </c>
      <c r="L228" s="731">
        <v>317367</v>
      </c>
      <c r="M228" s="731"/>
      <c r="N228" s="728">
        <v>1705758</v>
      </c>
      <c r="O228" s="728">
        <v>17803479</v>
      </c>
      <c r="P228" s="728">
        <v>0</v>
      </c>
      <c r="Q228" s="731">
        <v>591784</v>
      </c>
      <c r="R228" s="731"/>
      <c r="S228" s="728">
        <v>14051095</v>
      </c>
      <c r="T228" s="732">
        <v>-6798</v>
      </c>
      <c r="U228" s="732">
        <v>14044297</v>
      </c>
    </row>
    <row r="229" spans="1:21" x14ac:dyDescent="0.25">
      <c r="A229" s="729">
        <v>36900</v>
      </c>
      <c r="B229" s="727" t="s">
        <v>992</v>
      </c>
      <c r="C229" s="730">
        <v>6.4899999999999995E-4</v>
      </c>
      <c r="D229" s="730">
        <v>6.5419999999999996E-4</v>
      </c>
      <c r="E229" s="728">
        <v>6012774</v>
      </c>
      <c r="F229" s="731">
        <v>5149452</v>
      </c>
      <c r="G229" s="728">
        <f>VLOOKUP(A229,'[3]TSERS Contributions FY 2017'!$A$2:$C$290,3,FALSE)</f>
        <v>923489</v>
      </c>
      <c r="H229" s="731"/>
      <c r="I229" s="728">
        <v>111631</v>
      </c>
      <c r="J229" s="728">
        <v>2455217</v>
      </c>
      <c r="K229" s="728">
        <v>813536</v>
      </c>
      <c r="L229" s="731">
        <v>48472</v>
      </c>
      <c r="M229" s="731"/>
      <c r="N229" s="728">
        <v>168465</v>
      </c>
      <c r="O229" s="728">
        <v>1758321</v>
      </c>
      <c r="P229" s="728">
        <v>0</v>
      </c>
      <c r="Q229" s="731">
        <v>25681</v>
      </c>
      <c r="R229" s="731"/>
      <c r="S229" s="728">
        <v>1387726</v>
      </c>
      <c r="T229" s="732">
        <v>13890</v>
      </c>
      <c r="U229" s="732">
        <v>1401616</v>
      </c>
    </row>
    <row r="230" spans="1:21" x14ac:dyDescent="0.25">
      <c r="A230" s="729">
        <v>36901</v>
      </c>
      <c r="B230" s="727" t="s">
        <v>993</v>
      </c>
      <c r="C230" s="730">
        <v>2.232E-4</v>
      </c>
      <c r="D230" s="730">
        <v>2.1709999999999999E-4</v>
      </c>
      <c r="E230" s="728">
        <v>1995373</v>
      </c>
      <c r="F230" s="731">
        <v>1770967</v>
      </c>
      <c r="G230" s="728">
        <f>VLOOKUP(A230,'[3]TSERS Contributions FY 2017'!$A$2:$C$290,3,FALSE)</f>
        <v>316089</v>
      </c>
      <c r="H230" s="731"/>
      <c r="I230" s="728">
        <v>38391</v>
      </c>
      <c r="J230" s="728">
        <v>844383</v>
      </c>
      <c r="K230" s="728">
        <v>279786</v>
      </c>
      <c r="L230" s="731">
        <v>84676</v>
      </c>
      <c r="M230" s="731"/>
      <c r="N230" s="728">
        <v>57938</v>
      </c>
      <c r="O230" s="728">
        <v>604711</v>
      </c>
      <c r="P230" s="728">
        <v>0</v>
      </c>
      <c r="Q230" s="731">
        <v>391</v>
      </c>
      <c r="R230" s="731"/>
      <c r="S230" s="728">
        <v>477258</v>
      </c>
      <c r="T230" s="732">
        <v>36646</v>
      </c>
      <c r="U230" s="732">
        <v>513904</v>
      </c>
    </row>
    <row r="231" spans="1:21" x14ac:dyDescent="0.25">
      <c r="A231" s="729">
        <v>36905</v>
      </c>
      <c r="B231" s="727" t="s">
        <v>994</v>
      </c>
      <c r="C231" s="730">
        <v>2.2240000000000001E-4</v>
      </c>
      <c r="D231" s="730">
        <v>2.084E-4</v>
      </c>
      <c r="E231" s="728">
        <v>1915411</v>
      </c>
      <c r="F231" s="731">
        <v>1764620</v>
      </c>
      <c r="G231" s="728">
        <f>VLOOKUP(A231,'[3]TSERS Contributions FY 2017'!$A$2:$C$290,3,FALSE)</f>
        <v>356645</v>
      </c>
      <c r="H231" s="731"/>
      <c r="I231" s="728">
        <v>38254</v>
      </c>
      <c r="J231" s="728">
        <v>841356</v>
      </c>
      <c r="K231" s="728">
        <v>278783</v>
      </c>
      <c r="L231" s="731">
        <v>131941</v>
      </c>
      <c r="M231" s="731"/>
      <c r="N231" s="728">
        <v>57730</v>
      </c>
      <c r="O231" s="728">
        <v>602543</v>
      </c>
      <c r="P231" s="728">
        <v>0</v>
      </c>
      <c r="Q231" s="731">
        <v>346</v>
      </c>
      <c r="R231" s="731"/>
      <c r="S231" s="728">
        <v>475547</v>
      </c>
      <c r="T231" s="732">
        <v>54536</v>
      </c>
      <c r="U231" s="732">
        <v>530084</v>
      </c>
    </row>
    <row r="232" spans="1:21" x14ac:dyDescent="0.25">
      <c r="A232" s="729">
        <v>37000</v>
      </c>
      <c r="B232" s="727" t="s">
        <v>995</v>
      </c>
      <c r="C232" s="730">
        <v>2.1825E-3</v>
      </c>
      <c r="D232" s="730">
        <v>2.2902999999999999E-3</v>
      </c>
      <c r="E232" s="728">
        <v>21050223</v>
      </c>
      <c r="F232" s="731">
        <v>17316917</v>
      </c>
      <c r="G232" s="728">
        <f>VLOOKUP(A232,'[3]TSERS Contributions FY 2017'!$A$2:$C$290,3,FALSE)</f>
        <v>3052554</v>
      </c>
      <c r="H232" s="731"/>
      <c r="I232" s="728">
        <v>375398.73</v>
      </c>
      <c r="J232" s="728">
        <v>8256566</v>
      </c>
      <c r="K232" s="728">
        <v>2735812</v>
      </c>
      <c r="L232" s="731">
        <v>348380</v>
      </c>
      <c r="M232" s="731"/>
      <c r="N232" s="728">
        <v>566527</v>
      </c>
      <c r="O232" s="728">
        <v>5912999</v>
      </c>
      <c r="P232" s="728">
        <v>0</v>
      </c>
      <c r="Q232" s="731">
        <v>542531</v>
      </c>
      <c r="R232" s="731"/>
      <c r="S232" s="728">
        <v>4666734.99</v>
      </c>
      <c r="T232" s="732">
        <v>-93290</v>
      </c>
      <c r="U232" s="732">
        <v>4573445</v>
      </c>
    </row>
    <row r="233" spans="1:21" x14ac:dyDescent="0.25">
      <c r="A233" s="729">
        <v>37001</v>
      </c>
      <c r="B233" s="727" t="s">
        <v>1150</v>
      </c>
      <c r="C233" s="730">
        <v>8.7800000000000006E-5</v>
      </c>
      <c r="D233" s="730">
        <v>4.4100000000000001E-5</v>
      </c>
      <c r="E233" s="728">
        <v>405325</v>
      </c>
      <c r="F233" s="731">
        <v>696644</v>
      </c>
      <c r="G233" s="728">
        <f>VLOOKUP(A233,'[3]TSERS Contributions FY 2017'!$A$2:$C$290,3,FALSE)</f>
        <v>102761</v>
      </c>
      <c r="H233" s="731"/>
      <c r="I233" s="728">
        <v>15102</v>
      </c>
      <c r="J233" s="728">
        <v>332154</v>
      </c>
      <c r="K233" s="728">
        <v>110059</v>
      </c>
      <c r="L233" s="731">
        <v>251793</v>
      </c>
      <c r="M233" s="731"/>
      <c r="N233" s="728">
        <v>22791</v>
      </c>
      <c r="O233" s="728">
        <v>237875</v>
      </c>
      <c r="P233" s="728">
        <v>0</v>
      </c>
      <c r="Q233" s="731">
        <v>0</v>
      </c>
      <c r="R233" s="731"/>
      <c r="S233" s="728">
        <v>187739</v>
      </c>
      <c r="T233" s="732">
        <v>91144</v>
      </c>
      <c r="U233" s="732">
        <v>278882</v>
      </c>
    </row>
    <row r="234" spans="1:21" x14ac:dyDescent="0.25">
      <c r="A234" s="729">
        <v>37005</v>
      </c>
      <c r="B234" s="727" t="s">
        <v>996</v>
      </c>
      <c r="C234" s="730">
        <v>5.287E-4</v>
      </c>
      <c r="D234" s="730">
        <v>5.3939999999999999E-4</v>
      </c>
      <c r="E234" s="728">
        <v>4957643</v>
      </c>
      <c r="F234" s="731">
        <v>4194939</v>
      </c>
      <c r="G234" s="728">
        <f>VLOOKUP(A234,'[3]TSERS Contributions FY 2017'!$A$2:$C$290,3,FALSE)</f>
        <v>843612</v>
      </c>
      <c r="H234" s="731"/>
      <c r="I234" s="728">
        <v>90939</v>
      </c>
      <c r="J234" s="728">
        <v>2000113</v>
      </c>
      <c r="K234" s="728">
        <v>662737</v>
      </c>
      <c r="L234" s="731">
        <v>68236</v>
      </c>
      <c r="M234" s="731"/>
      <c r="N234" s="728">
        <v>137238</v>
      </c>
      <c r="O234" s="728">
        <v>1432395</v>
      </c>
      <c r="P234" s="728">
        <v>0</v>
      </c>
      <c r="Q234" s="731">
        <v>0</v>
      </c>
      <c r="R234" s="731"/>
      <c r="S234" s="728">
        <v>1130494</v>
      </c>
      <c r="T234" s="732">
        <v>34631</v>
      </c>
      <c r="U234" s="732">
        <v>1165125</v>
      </c>
    </row>
    <row r="235" spans="1:21" x14ac:dyDescent="0.25">
      <c r="A235" s="729">
        <v>37100</v>
      </c>
      <c r="B235" s="727" t="s">
        <v>997</v>
      </c>
      <c r="C235" s="730">
        <v>3.2637999999999999E-3</v>
      </c>
      <c r="D235" s="730">
        <v>3.1722999999999999E-3</v>
      </c>
      <c r="E235" s="728">
        <v>29156714</v>
      </c>
      <c r="F235" s="731">
        <v>25896429</v>
      </c>
      <c r="G235" s="728">
        <f>VLOOKUP(A235,'[3]TSERS Contributions FY 2017'!$A$2:$C$290,3,FALSE)</f>
        <v>4383122</v>
      </c>
      <c r="H235" s="731"/>
      <c r="I235" s="728">
        <v>561387</v>
      </c>
      <c r="J235" s="728">
        <v>12347207</v>
      </c>
      <c r="K235" s="728">
        <v>4091245</v>
      </c>
      <c r="L235" s="731">
        <v>411091</v>
      </c>
      <c r="M235" s="731"/>
      <c r="N235" s="728">
        <v>847207</v>
      </c>
      <c r="O235" s="728">
        <v>8842542</v>
      </c>
      <c r="P235" s="728">
        <v>0</v>
      </c>
      <c r="Q235" s="731">
        <v>148829</v>
      </c>
      <c r="R235" s="731"/>
      <c r="S235" s="728">
        <v>6978827</v>
      </c>
      <c r="T235" s="732">
        <v>15996</v>
      </c>
      <c r="U235" s="732">
        <v>6994823</v>
      </c>
    </row>
    <row r="236" spans="1:21" x14ac:dyDescent="0.25">
      <c r="A236" s="729">
        <v>37200</v>
      </c>
      <c r="B236" s="727" t="s">
        <v>998</v>
      </c>
      <c r="C236" s="730">
        <v>7.2869999999999999E-4</v>
      </c>
      <c r="D236" s="730">
        <v>7.157E-4</v>
      </c>
      <c r="E236" s="728">
        <v>6578022</v>
      </c>
      <c r="F236" s="731">
        <v>5781827</v>
      </c>
      <c r="G236" s="728">
        <f>VLOOKUP(A236,'[3]TSERS Contributions FY 2017'!$A$2:$C$290,3,FALSE)</f>
        <v>1013602</v>
      </c>
      <c r="H236" s="731"/>
      <c r="I236" s="728">
        <v>125339</v>
      </c>
      <c r="J236" s="728">
        <v>2756728</v>
      </c>
      <c r="K236" s="728">
        <v>913441</v>
      </c>
      <c r="L236" s="731">
        <v>70931</v>
      </c>
      <c r="M236" s="731"/>
      <c r="N236" s="728">
        <v>189154</v>
      </c>
      <c r="O236" s="728">
        <v>1974251</v>
      </c>
      <c r="P236" s="728">
        <v>0</v>
      </c>
      <c r="Q236" s="731">
        <v>83365</v>
      </c>
      <c r="R236" s="731"/>
      <c r="S236" s="728">
        <v>1558144</v>
      </c>
      <c r="T236" s="732">
        <v>-15228</v>
      </c>
      <c r="U236" s="732">
        <v>1542916</v>
      </c>
    </row>
    <row r="237" spans="1:21" x14ac:dyDescent="0.25">
      <c r="A237" s="729">
        <v>37300</v>
      </c>
      <c r="B237" s="727" t="s">
        <v>999</v>
      </c>
      <c r="C237" s="730">
        <v>1.9358999999999999E-3</v>
      </c>
      <c r="D237" s="730">
        <v>1.8910000000000001E-3</v>
      </c>
      <c r="E237" s="728">
        <v>17380243</v>
      </c>
      <c r="F237" s="731">
        <v>15360284</v>
      </c>
      <c r="G237" s="728">
        <f>VLOOKUP(A237,'[3]TSERS Contributions FY 2017'!$A$2:$C$290,3,FALSE)</f>
        <v>2592788</v>
      </c>
      <c r="H237" s="731"/>
      <c r="I237" s="728">
        <v>332983</v>
      </c>
      <c r="J237" s="728">
        <v>7323659</v>
      </c>
      <c r="K237" s="728">
        <v>2426693</v>
      </c>
      <c r="L237" s="731">
        <v>101090</v>
      </c>
      <c r="M237" s="731"/>
      <c r="N237" s="728">
        <v>502515</v>
      </c>
      <c r="O237" s="728">
        <v>5244891</v>
      </c>
      <c r="P237" s="728">
        <v>0</v>
      </c>
      <c r="Q237" s="731">
        <v>180396</v>
      </c>
      <c r="R237" s="731"/>
      <c r="S237" s="728">
        <v>4139442</v>
      </c>
      <c r="T237" s="732">
        <v>-139993</v>
      </c>
      <c r="U237" s="732">
        <v>3999449</v>
      </c>
    </row>
    <row r="238" spans="1:21" x14ac:dyDescent="0.25">
      <c r="A238" s="729">
        <v>37301</v>
      </c>
      <c r="B238" s="727" t="s">
        <v>1000</v>
      </c>
      <c r="C238" s="730">
        <v>2.153E-4</v>
      </c>
      <c r="D238" s="730">
        <v>1.974E-4</v>
      </c>
      <c r="E238" s="728">
        <v>1814310</v>
      </c>
      <c r="F238" s="731">
        <v>1708285</v>
      </c>
      <c r="G238" s="728">
        <f>VLOOKUP(A238,'[3]TSERS Contributions FY 2017'!$A$2:$C$290,3,FALSE)</f>
        <v>283479</v>
      </c>
      <c r="H238" s="731"/>
      <c r="I238" s="728">
        <v>37032</v>
      </c>
      <c r="J238" s="728">
        <v>814496</v>
      </c>
      <c r="K238" s="728">
        <v>269883</v>
      </c>
      <c r="L238" s="731">
        <v>96079</v>
      </c>
      <c r="M238" s="731"/>
      <c r="N238" s="728">
        <v>55887</v>
      </c>
      <c r="O238" s="728">
        <v>583308</v>
      </c>
      <c r="P238" s="728">
        <v>0</v>
      </c>
      <c r="Q238" s="731">
        <v>914</v>
      </c>
      <c r="R238" s="731"/>
      <c r="S238" s="728">
        <v>460366</v>
      </c>
      <c r="T238" s="732">
        <v>49407</v>
      </c>
      <c r="U238" s="732">
        <v>509773</v>
      </c>
    </row>
    <row r="239" spans="1:21" x14ac:dyDescent="0.25">
      <c r="A239" s="729">
        <v>37305</v>
      </c>
      <c r="B239" s="727" t="s">
        <v>1001</v>
      </c>
      <c r="C239" s="730">
        <v>5.2039999999999996E-4</v>
      </c>
      <c r="D239" s="730">
        <v>5.6899999999999995E-4</v>
      </c>
      <c r="E239" s="728">
        <v>5229698</v>
      </c>
      <c r="F239" s="731">
        <v>4129083</v>
      </c>
      <c r="G239" s="728">
        <f>VLOOKUP(A239,'[3]TSERS Contributions FY 2017'!$A$2:$C$290,3,FALSE)</f>
        <v>895729</v>
      </c>
      <c r="H239" s="731"/>
      <c r="I239" s="728">
        <v>89511</v>
      </c>
      <c r="J239" s="728">
        <v>1968713</v>
      </c>
      <c r="K239" s="728">
        <v>652333</v>
      </c>
      <c r="L239" s="731">
        <v>0</v>
      </c>
      <c r="M239" s="731"/>
      <c r="N239" s="728">
        <v>135084</v>
      </c>
      <c r="O239" s="728">
        <v>1409908</v>
      </c>
      <c r="P239" s="728">
        <v>0</v>
      </c>
      <c r="Q239" s="731">
        <v>298640</v>
      </c>
      <c r="R239" s="731"/>
      <c r="S239" s="728">
        <v>1112746</v>
      </c>
      <c r="T239" s="732">
        <v>-164904</v>
      </c>
      <c r="U239" s="732">
        <v>947842</v>
      </c>
    </row>
    <row r="240" spans="1:21" x14ac:dyDescent="0.25">
      <c r="A240" s="729">
        <v>37400</v>
      </c>
      <c r="B240" s="727" t="s">
        <v>1002</v>
      </c>
      <c r="C240" s="730">
        <v>8.9949000000000001E-3</v>
      </c>
      <c r="D240" s="730">
        <v>9.1569000000000008E-3</v>
      </c>
      <c r="E240" s="728">
        <v>84161370</v>
      </c>
      <c r="F240" s="731">
        <v>71369503</v>
      </c>
      <c r="G240" s="728">
        <f>VLOOKUP(A240,'[3]TSERS Contributions FY 2017'!$A$2:$C$290,3,FALSE)</f>
        <v>11914832</v>
      </c>
      <c r="H240" s="731"/>
      <c r="I240" s="728">
        <v>1547159</v>
      </c>
      <c r="J240" s="728">
        <v>34028399</v>
      </c>
      <c r="K240" s="728">
        <v>11275305</v>
      </c>
      <c r="L240" s="731">
        <v>63116</v>
      </c>
      <c r="M240" s="731"/>
      <c r="N240" s="728">
        <v>2334869</v>
      </c>
      <c r="O240" s="728">
        <v>24369685</v>
      </c>
      <c r="P240" s="728">
        <v>0</v>
      </c>
      <c r="Q240" s="731">
        <v>2161810</v>
      </c>
      <c r="R240" s="731"/>
      <c r="S240" s="728">
        <v>19233363</v>
      </c>
      <c r="T240" s="732">
        <v>-859968</v>
      </c>
      <c r="U240" s="732">
        <v>18373395</v>
      </c>
    </row>
    <row r="241" spans="1:21" x14ac:dyDescent="0.25">
      <c r="A241" s="729">
        <v>37405</v>
      </c>
      <c r="B241" s="727" t="s">
        <v>1003</v>
      </c>
      <c r="C241" s="730">
        <v>2.1207999999999999E-3</v>
      </c>
      <c r="D241" s="730">
        <v>2.0752000000000001E-3</v>
      </c>
      <c r="E241" s="728">
        <v>19073232</v>
      </c>
      <c r="F241" s="731">
        <v>16827362</v>
      </c>
      <c r="G241" s="728">
        <f>VLOOKUP(A241,'[3]TSERS Contributions FY 2017'!$A$2:$C$290,3,FALSE)</f>
        <v>2900463</v>
      </c>
      <c r="H241" s="731"/>
      <c r="I241" s="728">
        <v>364786</v>
      </c>
      <c r="J241" s="728">
        <v>8023150</v>
      </c>
      <c r="K241" s="728">
        <v>2658469</v>
      </c>
      <c r="L241" s="731">
        <v>435489</v>
      </c>
      <c r="M241" s="731"/>
      <c r="N241" s="728">
        <v>550511</v>
      </c>
      <c r="O241" s="728">
        <v>5745837</v>
      </c>
      <c r="P241" s="728">
        <v>0</v>
      </c>
      <c r="Q241" s="731">
        <v>0</v>
      </c>
      <c r="R241" s="731"/>
      <c r="S241" s="728">
        <v>4534805</v>
      </c>
      <c r="T241" s="732">
        <v>247570</v>
      </c>
      <c r="U241" s="732">
        <v>4782375</v>
      </c>
    </row>
    <row r="242" spans="1:21" x14ac:dyDescent="0.25">
      <c r="A242" s="729">
        <v>37500</v>
      </c>
      <c r="B242" s="727" t="s">
        <v>1004</v>
      </c>
      <c r="C242" s="730">
        <v>1.0158000000000001E-3</v>
      </c>
      <c r="D242" s="730">
        <v>1.0169000000000001E-3</v>
      </c>
      <c r="E242" s="728">
        <v>9346361</v>
      </c>
      <c r="F242" s="731">
        <v>8059805</v>
      </c>
      <c r="G242" s="728">
        <f>VLOOKUP(A242,'[3]TSERS Contributions FY 2017'!$A$2:$C$290,3,FALSE)</f>
        <v>1476054</v>
      </c>
      <c r="H242" s="731"/>
      <c r="I242" s="728">
        <v>174722</v>
      </c>
      <c r="J242" s="728">
        <v>3842850</v>
      </c>
      <c r="K242" s="728">
        <v>1273328</v>
      </c>
      <c r="L242" s="731">
        <v>137315</v>
      </c>
      <c r="M242" s="731"/>
      <c r="N242" s="728">
        <v>263678</v>
      </c>
      <c r="O242" s="728">
        <v>2752085</v>
      </c>
      <c r="P242" s="728">
        <v>0</v>
      </c>
      <c r="Q242" s="731">
        <v>77195</v>
      </c>
      <c r="R242" s="731"/>
      <c r="S242" s="728">
        <v>2172036</v>
      </c>
      <c r="T242" s="732">
        <v>74652</v>
      </c>
      <c r="U242" s="732">
        <v>2246688</v>
      </c>
    </row>
    <row r="243" spans="1:21" x14ac:dyDescent="0.25">
      <c r="A243" s="729">
        <v>37600</v>
      </c>
      <c r="B243" s="727" t="s">
        <v>1005</v>
      </c>
      <c r="C243" s="730">
        <v>6.3562999999999996E-3</v>
      </c>
      <c r="D243" s="730">
        <v>6.4549000000000004E-3</v>
      </c>
      <c r="E243" s="728">
        <v>59327199</v>
      </c>
      <c r="F243" s="731">
        <v>50433687</v>
      </c>
      <c r="G243" s="728">
        <f>VLOOKUP(A243,'[3]TSERS Contributions FY 2017'!$A$2:$C$290,3,FALSE)</f>
        <v>8602849</v>
      </c>
      <c r="H243" s="731"/>
      <c r="I243" s="728">
        <v>1093309</v>
      </c>
      <c r="J243" s="728">
        <v>24046372</v>
      </c>
      <c r="K243" s="728">
        <v>7967762</v>
      </c>
      <c r="L243" s="731">
        <v>0</v>
      </c>
      <c r="M243" s="731"/>
      <c r="N243" s="728">
        <v>1649949</v>
      </c>
      <c r="O243" s="728">
        <v>17220984</v>
      </c>
      <c r="P243" s="728">
        <v>0</v>
      </c>
      <c r="Q243" s="731">
        <v>1477163</v>
      </c>
      <c r="R243" s="731"/>
      <c r="S243" s="728">
        <v>13591371</v>
      </c>
      <c r="T243" s="732">
        <v>-668463</v>
      </c>
      <c r="U243" s="732">
        <v>12922908</v>
      </c>
    </row>
    <row r="244" spans="1:21" x14ac:dyDescent="0.25">
      <c r="A244" s="729">
        <v>37601</v>
      </c>
      <c r="B244" s="727" t="s">
        <v>1006</v>
      </c>
      <c r="C244" s="730">
        <v>2.5470000000000001E-4</v>
      </c>
      <c r="D244" s="730">
        <v>2.029E-4</v>
      </c>
      <c r="E244" s="728">
        <v>1864861</v>
      </c>
      <c r="F244" s="731">
        <v>2020902</v>
      </c>
      <c r="G244" s="728">
        <f>VLOOKUP(A244,'[3]TSERS Contributions FY 2017'!$A$2:$C$290,3,FALSE)</f>
        <v>300480</v>
      </c>
      <c r="H244" s="731"/>
      <c r="I244" s="728">
        <v>43809</v>
      </c>
      <c r="J244" s="728">
        <v>963550</v>
      </c>
      <c r="K244" s="728">
        <v>319272</v>
      </c>
      <c r="L244" s="731">
        <v>528352</v>
      </c>
      <c r="M244" s="731"/>
      <c r="N244" s="728">
        <v>66114</v>
      </c>
      <c r="O244" s="728">
        <v>690053</v>
      </c>
      <c r="P244" s="728">
        <v>0</v>
      </c>
      <c r="Q244" s="731">
        <v>0</v>
      </c>
      <c r="R244" s="731"/>
      <c r="S244" s="728">
        <v>544613</v>
      </c>
      <c r="T244" s="732">
        <v>253475</v>
      </c>
      <c r="U244" s="732">
        <v>798087</v>
      </c>
    </row>
    <row r="245" spans="1:21" x14ac:dyDescent="0.25">
      <c r="A245" s="729">
        <v>37605</v>
      </c>
      <c r="B245" s="727" t="s">
        <v>1007</v>
      </c>
      <c r="C245" s="730">
        <v>7.8950000000000005E-4</v>
      </c>
      <c r="D245" s="730">
        <v>7.6970000000000001E-4</v>
      </c>
      <c r="E245" s="728">
        <v>7074338</v>
      </c>
      <c r="F245" s="731">
        <v>6264241</v>
      </c>
      <c r="G245" s="728">
        <f>VLOOKUP(A245,'[3]TSERS Contributions FY 2017'!$A$2:$C$290,3,FALSE)</f>
        <v>1079836</v>
      </c>
      <c r="H245" s="731"/>
      <c r="I245" s="728">
        <v>135797</v>
      </c>
      <c r="J245" s="728">
        <v>2986739</v>
      </c>
      <c r="K245" s="728">
        <v>989656</v>
      </c>
      <c r="L245" s="731">
        <v>93527</v>
      </c>
      <c r="M245" s="731"/>
      <c r="N245" s="728">
        <v>204936</v>
      </c>
      <c r="O245" s="728">
        <v>2138975</v>
      </c>
      <c r="P245" s="728">
        <v>0</v>
      </c>
      <c r="Q245" s="731">
        <v>12074</v>
      </c>
      <c r="R245" s="731"/>
      <c r="S245" s="728">
        <v>1688150</v>
      </c>
      <c r="T245" s="732">
        <v>26906</v>
      </c>
      <c r="U245" s="732">
        <v>1715056</v>
      </c>
    </row>
    <row r="246" spans="1:21" x14ac:dyDescent="0.25">
      <c r="A246" s="729">
        <v>37610</v>
      </c>
      <c r="B246" s="727" t="s">
        <v>1008</v>
      </c>
      <c r="C246" s="730">
        <v>1.9607000000000001E-3</v>
      </c>
      <c r="D246" s="730">
        <v>1.9426999999999999E-3</v>
      </c>
      <c r="E246" s="728">
        <v>17855420</v>
      </c>
      <c r="F246" s="731">
        <v>15557058</v>
      </c>
      <c r="G246" s="728">
        <f>VLOOKUP(A246,'[3]TSERS Contributions FY 2017'!$A$2:$C$290,3,FALSE)</f>
        <v>2525680</v>
      </c>
      <c r="H246" s="731"/>
      <c r="I246" s="728">
        <v>337248</v>
      </c>
      <c r="J246" s="728">
        <v>7417479</v>
      </c>
      <c r="K246" s="728">
        <v>2457781</v>
      </c>
      <c r="L246" s="731">
        <v>4595</v>
      </c>
      <c r="M246" s="731"/>
      <c r="N246" s="728">
        <v>508953</v>
      </c>
      <c r="O246" s="728">
        <v>5312081</v>
      </c>
      <c r="P246" s="728">
        <v>0</v>
      </c>
      <c r="Q246" s="731">
        <v>738729</v>
      </c>
      <c r="R246" s="731"/>
      <c r="S246" s="728">
        <v>4192471</v>
      </c>
      <c r="T246" s="732">
        <v>-311486</v>
      </c>
      <c r="U246" s="732">
        <v>3880985</v>
      </c>
    </row>
    <row r="247" spans="1:21" x14ac:dyDescent="0.25">
      <c r="A247" s="729">
        <v>37700</v>
      </c>
      <c r="B247" s="727" t="s">
        <v>1009</v>
      </c>
      <c r="C247" s="730">
        <v>2.6852E-3</v>
      </c>
      <c r="D247" s="730">
        <v>2.7463000000000001E-3</v>
      </c>
      <c r="E247" s="728">
        <v>25241334</v>
      </c>
      <c r="F247" s="731">
        <v>21305561</v>
      </c>
      <c r="G247" s="728">
        <f>VLOOKUP(A247,'[3]TSERS Contributions FY 2017'!$A$2:$C$290,3,FALSE)</f>
        <v>3779573</v>
      </c>
      <c r="H247" s="731"/>
      <c r="I247" s="728">
        <v>461865</v>
      </c>
      <c r="J247" s="728">
        <v>10158318</v>
      </c>
      <c r="K247" s="728">
        <v>3365957</v>
      </c>
      <c r="L247" s="731">
        <v>39388</v>
      </c>
      <c r="M247" s="731"/>
      <c r="N247" s="728">
        <v>697016</v>
      </c>
      <c r="O247" s="728">
        <v>7274953</v>
      </c>
      <c r="P247" s="728">
        <v>0</v>
      </c>
      <c r="Q247" s="731">
        <v>367641</v>
      </c>
      <c r="R247" s="731"/>
      <c r="S247" s="728">
        <v>5741634</v>
      </c>
      <c r="T247" s="732">
        <v>-169271</v>
      </c>
      <c r="U247" s="732">
        <v>5572363</v>
      </c>
    </row>
    <row r="248" spans="1:21" x14ac:dyDescent="0.25">
      <c r="A248" s="729">
        <v>37705</v>
      </c>
      <c r="B248" s="727" t="s">
        <v>1010</v>
      </c>
      <c r="C248" s="730">
        <v>8.0670000000000004E-4</v>
      </c>
      <c r="D248" s="730">
        <v>8.03E-4</v>
      </c>
      <c r="E248" s="728">
        <v>7380399</v>
      </c>
      <c r="F248" s="731">
        <v>6400714</v>
      </c>
      <c r="G248" s="728">
        <f>VLOOKUP(A248,'[3]TSERS Contributions FY 2017'!$A$2:$C$290,3,FALSE)</f>
        <v>1166864</v>
      </c>
      <c r="H248" s="731"/>
      <c r="I248" s="728">
        <v>138756</v>
      </c>
      <c r="J248" s="728">
        <v>3051808</v>
      </c>
      <c r="K248" s="728">
        <v>1011216</v>
      </c>
      <c r="L248" s="731">
        <v>115364</v>
      </c>
      <c r="M248" s="731"/>
      <c r="N248" s="728">
        <v>209401</v>
      </c>
      <c r="O248" s="728">
        <v>2185575</v>
      </c>
      <c r="P248" s="728">
        <v>0</v>
      </c>
      <c r="Q248" s="731">
        <v>1035</v>
      </c>
      <c r="R248" s="731"/>
      <c r="S248" s="728">
        <v>1724928</v>
      </c>
      <c r="T248" s="732">
        <v>111972</v>
      </c>
      <c r="U248" s="732">
        <v>1836900</v>
      </c>
    </row>
    <row r="249" spans="1:21" x14ac:dyDescent="0.25">
      <c r="A249" s="729">
        <v>37800</v>
      </c>
      <c r="B249" s="727" t="s">
        <v>1011</v>
      </c>
      <c r="C249" s="730">
        <v>8.3280000000000003E-3</v>
      </c>
      <c r="D249" s="730">
        <v>8.3046000000000005E-3</v>
      </c>
      <c r="E249" s="728">
        <v>76327853</v>
      </c>
      <c r="F249" s="731">
        <v>66078025</v>
      </c>
      <c r="G249" s="728">
        <f>VLOOKUP(A249,'[3]TSERS Contributions FY 2017'!$A$2:$C$290,3,FALSE)</f>
        <v>11790389</v>
      </c>
      <c r="H249" s="731"/>
      <c r="I249" s="728">
        <v>1432449</v>
      </c>
      <c r="J249" s="728">
        <v>31505465</v>
      </c>
      <c r="K249" s="728">
        <v>10439331</v>
      </c>
      <c r="L249" s="731">
        <v>102692</v>
      </c>
      <c r="M249" s="731"/>
      <c r="N249" s="728">
        <v>2161757</v>
      </c>
      <c r="O249" s="728">
        <v>22562867</v>
      </c>
      <c r="P249" s="728">
        <v>0</v>
      </c>
      <c r="Q249" s="731">
        <v>244809</v>
      </c>
      <c r="R249" s="731"/>
      <c r="S249" s="728">
        <v>17807363</v>
      </c>
      <c r="T249" s="732">
        <v>22825</v>
      </c>
      <c r="U249" s="732">
        <v>17830188</v>
      </c>
    </row>
    <row r="250" spans="1:21" x14ac:dyDescent="0.25">
      <c r="A250" s="729">
        <v>37801</v>
      </c>
      <c r="B250" s="727" t="s">
        <v>1012</v>
      </c>
      <c r="C250" s="730">
        <v>6.2799999999999995E-5</v>
      </c>
      <c r="D250" s="730">
        <v>5.3900000000000002E-5</v>
      </c>
      <c r="E250" s="728">
        <v>495397</v>
      </c>
      <c r="F250" s="731">
        <v>498283</v>
      </c>
      <c r="G250" s="728">
        <f>VLOOKUP(A250,'[3]TSERS Contributions FY 2017'!$A$2:$C$290,3,FALSE)</f>
        <v>71720</v>
      </c>
      <c r="H250" s="731"/>
      <c r="I250" s="728">
        <v>10802</v>
      </c>
      <c r="J250" s="728">
        <v>237577</v>
      </c>
      <c r="K250" s="728">
        <v>78721</v>
      </c>
      <c r="L250" s="731">
        <v>93850</v>
      </c>
      <c r="M250" s="731"/>
      <c r="N250" s="728">
        <v>16301</v>
      </c>
      <c r="O250" s="728">
        <v>170143</v>
      </c>
      <c r="P250" s="728">
        <v>0</v>
      </c>
      <c r="Q250" s="731">
        <v>9396</v>
      </c>
      <c r="R250" s="731"/>
      <c r="S250" s="728">
        <v>134282</v>
      </c>
      <c r="T250" s="732">
        <v>69393</v>
      </c>
      <c r="U250" s="732">
        <v>203676</v>
      </c>
    </row>
    <row r="251" spans="1:21" x14ac:dyDescent="0.25">
      <c r="A251" s="729">
        <v>37805</v>
      </c>
      <c r="B251" s="727" t="s">
        <v>1013</v>
      </c>
      <c r="C251" s="730">
        <v>6.332E-4</v>
      </c>
      <c r="D251" s="730">
        <v>6.6949999999999996E-4</v>
      </c>
      <c r="E251" s="728">
        <v>6153397</v>
      </c>
      <c r="F251" s="731">
        <v>5024088</v>
      </c>
      <c r="G251" s="728">
        <f>VLOOKUP(A251,'[3]TSERS Contributions FY 2017'!$A$2:$C$290,3,FALSE)</f>
        <v>964458</v>
      </c>
      <c r="H251" s="731"/>
      <c r="I251" s="728">
        <v>108913</v>
      </c>
      <c r="J251" s="728">
        <v>2395444</v>
      </c>
      <c r="K251" s="728">
        <v>793730</v>
      </c>
      <c r="L251" s="731">
        <v>34986</v>
      </c>
      <c r="M251" s="731"/>
      <c r="N251" s="728">
        <v>164364</v>
      </c>
      <c r="O251" s="728">
        <v>1715515</v>
      </c>
      <c r="P251" s="728">
        <v>0</v>
      </c>
      <c r="Q251" s="731">
        <v>394788</v>
      </c>
      <c r="R251" s="731"/>
      <c r="S251" s="728">
        <v>1353941</v>
      </c>
      <c r="T251" s="732">
        <v>-135447</v>
      </c>
      <c r="U251" s="732">
        <v>1218494</v>
      </c>
    </row>
    <row r="252" spans="1:21" x14ac:dyDescent="0.25">
      <c r="A252" s="729">
        <v>37900</v>
      </c>
      <c r="B252" s="727" t="s">
        <v>1014</v>
      </c>
      <c r="C252" s="730">
        <v>4.3984999999999996E-3</v>
      </c>
      <c r="D252" s="730">
        <v>4.5617000000000001E-3</v>
      </c>
      <c r="E252" s="728">
        <v>41926735</v>
      </c>
      <c r="F252" s="731">
        <v>34899639</v>
      </c>
      <c r="G252" s="728">
        <f>VLOOKUP(A252,'[3]TSERS Contributions FY 2017'!$A$2:$C$290,3,FALSE)</f>
        <v>6268610</v>
      </c>
      <c r="H252" s="731"/>
      <c r="I252" s="728">
        <v>756560</v>
      </c>
      <c r="J252" s="728">
        <v>16639864</v>
      </c>
      <c r="K252" s="728">
        <v>5513617</v>
      </c>
      <c r="L252" s="731">
        <v>38935</v>
      </c>
      <c r="M252" s="731"/>
      <c r="N252" s="728">
        <v>1141749</v>
      </c>
      <c r="O252" s="728">
        <v>11916759</v>
      </c>
      <c r="P252" s="728">
        <v>0</v>
      </c>
      <c r="Q252" s="731">
        <v>1476181</v>
      </c>
      <c r="R252" s="731"/>
      <c r="S252" s="728">
        <v>9405101</v>
      </c>
      <c r="T252" s="732">
        <v>-572498</v>
      </c>
      <c r="U252" s="732">
        <v>8832603</v>
      </c>
    </row>
    <row r="253" spans="1:21" x14ac:dyDescent="0.25">
      <c r="A253" s="729">
        <v>37901</v>
      </c>
      <c r="B253" s="727" t="s">
        <v>1015</v>
      </c>
      <c r="C253" s="730">
        <v>5.91E-5</v>
      </c>
      <c r="D253" s="730">
        <v>6.1799999999999998E-5</v>
      </c>
      <c r="E253" s="728">
        <v>568006</v>
      </c>
      <c r="F253" s="731">
        <v>468925</v>
      </c>
      <c r="G253" s="728">
        <f>VLOOKUP(A253,'[3]TSERS Contributions FY 2017'!$A$2:$C$290,3,FALSE)</f>
        <v>86751</v>
      </c>
      <c r="H253" s="731"/>
      <c r="I253" s="728">
        <v>10165</v>
      </c>
      <c r="J253" s="728">
        <v>223580</v>
      </c>
      <c r="K253" s="728">
        <v>74083</v>
      </c>
      <c r="L253" s="731">
        <v>279</v>
      </c>
      <c r="M253" s="731"/>
      <c r="N253" s="728">
        <v>15341</v>
      </c>
      <c r="O253" s="728">
        <v>160118</v>
      </c>
      <c r="P253" s="728">
        <v>0</v>
      </c>
      <c r="Q253" s="731">
        <v>17741</v>
      </c>
      <c r="R253" s="731"/>
      <c r="S253" s="728">
        <v>126371</v>
      </c>
      <c r="T253" s="732">
        <v>-6240</v>
      </c>
      <c r="U253" s="732">
        <v>120131</v>
      </c>
    </row>
    <row r="254" spans="1:21" x14ac:dyDescent="0.25">
      <c r="A254" s="729">
        <v>37905</v>
      </c>
      <c r="B254" s="727" t="s">
        <v>1016</v>
      </c>
      <c r="C254" s="730">
        <v>5.3850000000000002E-4</v>
      </c>
      <c r="D254" s="730">
        <v>5.1179999999999997E-4</v>
      </c>
      <c r="E254" s="728">
        <v>4703971</v>
      </c>
      <c r="F254" s="731">
        <v>4272696</v>
      </c>
      <c r="G254" s="728">
        <f>VLOOKUP(A254,'[3]TSERS Contributions FY 2017'!$A$2:$C$290,3,FALSE)</f>
        <v>834158</v>
      </c>
      <c r="H254" s="731"/>
      <c r="I254" s="728">
        <v>92624</v>
      </c>
      <c r="J254" s="728">
        <v>2037187</v>
      </c>
      <c r="K254" s="728">
        <v>675022</v>
      </c>
      <c r="L254" s="731">
        <v>170212</v>
      </c>
      <c r="M254" s="731"/>
      <c r="N254" s="728">
        <v>139782</v>
      </c>
      <c r="O254" s="728">
        <v>1458946</v>
      </c>
      <c r="P254" s="728">
        <v>0</v>
      </c>
      <c r="Q254" s="731">
        <v>27443</v>
      </c>
      <c r="R254" s="731"/>
      <c r="S254" s="728">
        <v>1151449</v>
      </c>
      <c r="T254" s="732">
        <v>42198</v>
      </c>
      <c r="U254" s="732">
        <v>1193647</v>
      </c>
    </row>
    <row r="255" spans="1:21" x14ac:dyDescent="0.25">
      <c r="A255" s="729">
        <v>38000</v>
      </c>
      <c r="B255" s="727" t="s">
        <v>1017</v>
      </c>
      <c r="C255" s="730">
        <v>7.2432E-3</v>
      </c>
      <c r="D255" s="730">
        <v>7.1815000000000004E-3</v>
      </c>
      <c r="E255" s="728">
        <v>66005403</v>
      </c>
      <c r="F255" s="731">
        <v>57470743</v>
      </c>
      <c r="G255" s="728">
        <f>VLOOKUP(A255,'[3]TSERS Contributions FY 2017'!$A$2:$C$290,3,FALSE)</f>
        <v>10014489</v>
      </c>
      <c r="H255" s="731"/>
      <c r="I255" s="728">
        <v>1245859</v>
      </c>
      <c r="J255" s="728">
        <v>27401583</v>
      </c>
      <c r="K255" s="728">
        <v>9079511</v>
      </c>
      <c r="L255" s="731">
        <v>0</v>
      </c>
      <c r="M255" s="731"/>
      <c r="N255" s="728">
        <v>1880168</v>
      </c>
      <c r="O255" s="728">
        <v>19623842</v>
      </c>
      <c r="P255" s="728">
        <v>0</v>
      </c>
      <c r="Q255" s="731">
        <v>771275</v>
      </c>
      <c r="R255" s="731"/>
      <c r="S255" s="728">
        <v>15487787</v>
      </c>
      <c r="T255" s="732">
        <v>-749663</v>
      </c>
      <c r="U255" s="732">
        <v>14738124</v>
      </c>
    </row>
    <row r="256" spans="1:21" x14ac:dyDescent="0.25">
      <c r="A256" s="729">
        <v>38005</v>
      </c>
      <c r="B256" s="727" t="s">
        <v>1018</v>
      </c>
      <c r="C256" s="730">
        <v>1.3967000000000001E-3</v>
      </c>
      <c r="D256" s="730">
        <v>1.4989000000000001E-3</v>
      </c>
      <c r="E256" s="728">
        <v>13776439</v>
      </c>
      <c r="F256" s="731">
        <v>11082034</v>
      </c>
      <c r="G256" s="728">
        <f>VLOOKUP(A256,'[3]TSERS Contributions FY 2017'!$A$2:$C$290,3,FALSE)</f>
        <v>2009661</v>
      </c>
      <c r="H256" s="731"/>
      <c r="I256" s="728">
        <v>240238</v>
      </c>
      <c r="J256" s="728">
        <v>5283824</v>
      </c>
      <c r="K256" s="728">
        <v>1750794</v>
      </c>
      <c r="L256" s="731">
        <v>244725</v>
      </c>
      <c r="M256" s="731"/>
      <c r="N256" s="728">
        <v>362551</v>
      </c>
      <c r="O256" s="728">
        <v>3784049</v>
      </c>
      <c r="P256" s="728">
        <v>0</v>
      </c>
      <c r="Q256" s="731">
        <v>379336</v>
      </c>
      <c r="R256" s="731"/>
      <c r="S256" s="728">
        <v>2986497</v>
      </c>
      <c r="T256" s="732">
        <v>26466</v>
      </c>
      <c r="U256" s="732">
        <v>3012962</v>
      </c>
    </row>
    <row r="257" spans="1:21" x14ac:dyDescent="0.25">
      <c r="A257" s="729">
        <v>38100</v>
      </c>
      <c r="B257" s="727" t="s">
        <v>1019</v>
      </c>
      <c r="C257" s="730">
        <v>3.2550999999999999E-3</v>
      </c>
      <c r="D257" s="730">
        <v>3.3161000000000002E-3</v>
      </c>
      <c r="E257" s="728">
        <v>30478385</v>
      </c>
      <c r="F257" s="731">
        <v>25827399</v>
      </c>
      <c r="G257" s="728">
        <f>VLOOKUP(A257,'[3]TSERS Contributions FY 2017'!$A$2:$C$290,3,FALSE)</f>
        <v>4654331</v>
      </c>
      <c r="H257" s="731"/>
      <c r="I257" s="728">
        <v>559890</v>
      </c>
      <c r="J257" s="728">
        <v>12314294</v>
      </c>
      <c r="K257" s="728">
        <v>4080339</v>
      </c>
      <c r="L257" s="731">
        <v>0</v>
      </c>
      <c r="M257" s="731"/>
      <c r="N257" s="728">
        <v>844949</v>
      </c>
      <c r="O257" s="728">
        <v>8818971</v>
      </c>
      <c r="P257" s="728">
        <v>0</v>
      </c>
      <c r="Q257" s="731">
        <v>488667</v>
      </c>
      <c r="R257" s="731"/>
      <c r="S257" s="728">
        <v>6960224</v>
      </c>
      <c r="T257" s="732">
        <v>-339176</v>
      </c>
      <c r="U257" s="732">
        <v>6621048</v>
      </c>
    </row>
    <row r="258" spans="1:21" x14ac:dyDescent="0.25">
      <c r="A258" s="729">
        <v>38105</v>
      </c>
      <c r="B258" s="727" t="s">
        <v>1020</v>
      </c>
      <c r="C258" s="730">
        <v>6.6710000000000001E-4</v>
      </c>
      <c r="D258" s="730">
        <v>6.8400000000000004E-4</v>
      </c>
      <c r="E258" s="728">
        <v>6286667</v>
      </c>
      <c r="F258" s="731">
        <v>5293066</v>
      </c>
      <c r="G258" s="728">
        <f>VLOOKUP(A258,'[3]TSERS Contributions FY 2017'!$A$2:$C$290,3,FALSE)</f>
        <v>942930</v>
      </c>
      <c r="H258" s="731"/>
      <c r="I258" s="728">
        <v>114744</v>
      </c>
      <c r="J258" s="728">
        <v>2523691</v>
      </c>
      <c r="K258" s="728">
        <v>836225</v>
      </c>
      <c r="L258" s="731">
        <v>0</v>
      </c>
      <c r="M258" s="731"/>
      <c r="N258" s="728">
        <v>173164</v>
      </c>
      <c r="O258" s="728">
        <v>1807359</v>
      </c>
      <c r="P258" s="728">
        <v>0</v>
      </c>
      <c r="Q258" s="731">
        <v>124418</v>
      </c>
      <c r="R258" s="731"/>
      <c r="S258" s="728">
        <v>1426428</v>
      </c>
      <c r="T258" s="732">
        <v>-57635</v>
      </c>
      <c r="U258" s="732">
        <v>1368793</v>
      </c>
    </row>
    <row r="259" spans="1:21" x14ac:dyDescent="0.25">
      <c r="A259" s="729">
        <v>38200</v>
      </c>
      <c r="B259" s="727" t="s">
        <v>1021</v>
      </c>
      <c r="C259" s="730">
        <v>3.1018E-3</v>
      </c>
      <c r="D259" s="730">
        <v>3.2125000000000001E-3</v>
      </c>
      <c r="E259" s="728">
        <v>29526194</v>
      </c>
      <c r="F259" s="731">
        <v>24611049</v>
      </c>
      <c r="G259" s="728">
        <f>VLOOKUP(A259,'[3]TSERS Contributions FY 2017'!$A$2:$C$290,3,FALSE)</f>
        <v>4275624</v>
      </c>
      <c r="H259" s="731"/>
      <c r="I259" s="728">
        <v>533522</v>
      </c>
      <c r="J259" s="728">
        <v>11734348</v>
      </c>
      <c r="K259" s="728">
        <v>3888175</v>
      </c>
      <c r="L259" s="731">
        <v>22177</v>
      </c>
      <c r="M259" s="731"/>
      <c r="N259" s="728">
        <v>805156</v>
      </c>
      <c r="O259" s="728">
        <v>8403639</v>
      </c>
      <c r="P259" s="728">
        <v>0</v>
      </c>
      <c r="Q259" s="731">
        <v>877789</v>
      </c>
      <c r="R259" s="731"/>
      <c r="S259" s="728">
        <v>6632430</v>
      </c>
      <c r="T259" s="732">
        <v>-294438</v>
      </c>
      <c r="U259" s="732">
        <v>6337992</v>
      </c>
    </row>
    <row r="260" spans="1:21" x14ac:dyDescent="0.25">
      <c r="A260" s="729">
        <v>38205</v>
      </c>
      <c r="B260" s="727" t="s">
        <v>1022</v>
      </c>
      <c r="C260" s="730">
        <v>4.6220000000000001E-4</v>
      </c>
      <c r="D260" s="730">
        <v>4.5439999999999999E-4</v>
      </c>
      <c r="E260" s="728">
        <v>4176405</v>
      </c>
      <c r="F260" s="731">
        <v>3667299</v>
      </c>
      <c r="G260" s="728">
        <f>VLOOKUP(A260,'[3]TSERS Contributions FY 2017'!$A$2:$C$290,3,FALSE)</f>
        <v>709041</v>
      </c>
      <c r="H260" s="731"/>
      <c r="I260" s="728">
        <v>79500</v>
      </c>
      <c r="J260" s="728">
        <v>1748538</v>
      </c>
      <c r="K260" s="728">
        <v>579378</v>
      </c>
      <c r="L260" s="731">
        <v>84715</v>
      </c>
      <c r="M260" s="731"/>
      <c r="N260" s="728">
        <v>119976</v>
      </c>
      <c r="O260" s="728">
        <v>1252228</v>
      </c>
      <c r="P260" s="728">
        <v>0</v>
      </c>
      <c r="Q260" s="731">
        <v>50075</v>
      </c>
      <c r="R260" s="731"/>
      <c r="S260" s="728">
        <v>988300</v>
      </c>
      <c r="T260" s="732">
        <v>-5093</v>
      </c>
      <c r="U260" s="732">
        <v>983207</v>
      </c>
    </row>
    <row r="261" spans="1:21" x14ac:dyDescent="0.25">
      <c r="A261" s="729">
        <v>38210</v>
      </c>
      <c r="B261" s="727" t="s">
        <v>1023</v>
      </c>
      <c r="C261" s="730">
        <v>1.1766000000000001E-3</v>
      </c>
      <c r="D261" s="730">
        <v>1.1793000000000001E-3</v>
      </c>
      <c r="E261" s="728">
        <v>10838985</v>
      </c>
      <c r="F261" s="731">
        <v>9335663</v>
      </c>
      <c r="G261" s="728">
        <f>VLOOKUP(A261,'[3]TSERS Contributions FY 2017'!$A$2:$C$290,3,FALSE)</f>
        <v>1608572</v>
      </c>
      <c r="H261" s="731"/>
      <c r="I261" s="728">
        <v>202380</v>
      </c>
      <c r="J261" s="728">
        <v>4451168</v>
      </c>
      <c r="K261" s="728">
        <v>1474894</v>
      </c>
      <c r="L261" s="731">
        <v>50509</v>
      </c>
      <c r="M261" s="731"/>
      <c r="N261" s="728">
        <v>305418</v>
      </c>
      <c r="O261" s="728">
        <v>3187736</v>
      </c>
      <c r="P261" s="728">
        <v>0</v>
      </c>
      <c r="Q261" s="731">
        <v>109353</v>
      </c>
      <c r="R261" s="731"/>
      <c r="S261" s="728">
        <v>2515867</v>
      </c>
      <c r="T261" s="732">
        <v>-10436</v>
      </c>
      <c r="U261" s="732">
        <v>2505432</v>
      </c>
    </row>
    <row r="262" spans="1:21" x14ac:dyDescent="0.25">
      <c r="A262" s="729">
        <v>38300</v>
      </c>
      <c r="B262" s="727" t="s">
        <v>1024</v>
      </c>
      <c r="C262" s="730">
        <v>2.4562E-3</v>
      </c>
      <c r="D262" s="730">
        <v>2.5320999999999998E-3</v>
      </c>
      <c r="E262" s="728">
        <v>23272615</v>
      </c>
      <c r="F262" s="731">
        <v>19488574</v>
      </c>
      <c r="G262" s="728">
        <f>VLOOKUP(A262,'[3]TSERS Contributions FY 2017'!$A$2:$C$290,3,FALSE)</f>
        <v>3424378</v>
      </c>
      <c r="H262" s="731"/>
      <c r="I262" s="728">
        <v>422476</v>
      </c>
      <c r="J262" s="728">
        <v>9291994</v>
      </c>
      <c r="K262" s="728">
        <v>3078901</v>
      </c>
      <c r="L262" s="731">
        <v>0</v>
      </c>
      <c r="M262" s="731"/>
      <c r="N262" s="728">
        <v>637573</v>
      </c>
      <c r="O262" s="728">
        <v>6654529</v>
      </c>
      <c r="P262" s="728">
        <v>0</v>
      </c>
      <c r="Q262" s="731">
        <v>602847</v>
      </c>
      <c r="R262" s="731"/>
      <c r="S262" s="728">
        <v>5251975</v>
      </c>
      <c r="T262" s="732">
        <v>-380451</v>
      </c>
      <c r="U262" s="732">
        <v>4871524</v>
      </c>
    </row>
    <row r="263" spans="1:21" x14ac:dyDescent="0.25">
      <c r="A263" s="729">
        <v>38400</v>
      </c>
      <c r="B263" s="727" t="s">
        <v>1025</v>
      </c>
      <c r="C263" s="730">
        <v>3.0192000000000001E-3</v>
      </c>
      <c r="D263" s="730">
        <v>3.1153999999999999E-3</v>
      </c>
      <c r="E263" s="728">
        <v>28633744</v>
      </c>
      <c r="F263" s="731">
        <v>23955664</v>
      </c>
      <c r="G263" s="728">
        <f>VLOOKUP(A263,'[3]TSERS Contributions FY 2017'!$A$2:$C$290,3,FALSE)</f>
        <v>4261269</v>
      </c>
      <c r="H263" s="731"/>
      <c r="I263" s="728">
        <v>519314</v>
      </c>
      <c r="J263" s="728">
        <v>11421866</v>
      </c>
      <c r="K263" s="728">
        <v>3784634</v>
      </c>
      <c r="L263" s="731">
        <v>5204</v>
      </c>
      <c r="M263" s="731"/>
      <c r="N263" s="728">
        <v>783715</v>
      </c>
      <c r="O263" s="728">
        <v>8179852</v>
      </c>
      <c r="P263" s="728">
        <v>0</v>
      </c>
      <c r="Q263" s="731">
        <v>902456</v>
      </c>
      <c r="R263" s="731"/>
      <c r="S263" s="728">
        <v>6455810</v>
      </c>
      <c r="T263" s="732">
        <v>-488226</v>
      </c>
      <c r="U263" s="732">
        <v>5967585</v>
      </c>
    </row>
    <row r="264" spans="1:21" x14ac:dyDescent="0.25">
      <c r="A264" s="729">
        <v>38402</v>
      </c>
      <c r="B264" s="727" t="s">
        <v>1026</v>
      </c>
      <c r="C264" s="730">
        <v>1.2290000000000001E-4</v>
      </c>
      <c r="D264" s="730">
        <v>1.052E-4</v>
      </c>
      <c r="E264" s="728">
        <v>966897</v>
      </c>
      <c r="F264" s="731">
        <v>975143</v>
      </c>
      <c r="G264" s="728">
        <f>VLOOKUP(A264,'[3]TSERS Contributions FY 2017'!$A$2:$C$290,3,FALSE)</f>
        <v>155241</v>
      </c>
      <c r="H264" s="731"/>
      <c r="I264" s="728">
        <v>21139</v>
      </c>
      <c r="J264" s="728">
        <v>464940</v>
      </c>
      <c r="K264" s="728">
        <v>154058</v>
      </c>
      <c r="L264" s="731">
        <v>59383</v>
      </c>
      <c r="M264" s="731"/>
      <c r="N264" s="728">
        <v>31902</v>
      </c>
      <c r="O264" s="728">
        <v>332970</v>
      </c>
      <c r="P264" s="728">
        <v>0</v>
      </c>
      <c r="Q264" s="731">
        <v>19264</v>
      </c>
      <c r="R264" s="731"/>
      <c r="S264" s="728">
        <v>262791</v>
      </c>
      <c r="T264" s="732">
        <v>18980</v>
      </c>
      <c r="U264" s="732">
        <v>281771</v>
      </c>
    </row>
    <row r="265" spans="1:21" x14ac:dyDescent="0.25">
      <c r="A265" s="729">
        <v>38405</v>
      </c>
      <c r="B265" s="727" t="s">
        <v>1027</v>
      </c>
      <c r="C265" s="730">
        <v>7.9290000000000003E-4</v>
      </c>
      <c r="D265" s="730">
        <v>7.6369999999999997E-4</v>
      </c>
      <c r="E265" s="728">
        <v>7019192</v>
      </c>
      <c r="F265" s="731">
        <v>6291218</v>
      </c>
      <c r="G265" s="728">
        <f>VLOOKUP(A265,'[3]TSERS Contributions FY 2017'!$A$2:$C$290,3,FALSE)</f>
        <v>1073554</v>
      </c>
      <c r="H265" s="731"/>
      <c r="I265" s="728">
        <v>136382</v>
      </c>
      <c r="J265" s="728">
        <v>2999602</v>
      </c>
      <c r="K265" s="728">
        <v>993918</v>
      </c>
      <c r="L265" s="731">
        <v>60718</v>
      </c>
      <c r="M265" s="731"/>
      <c r="N265" s="728">
        <v>205819</v>
      </c>
      <c r="O265" s="728">
        <v>2148187</v>
      </c>
      <c r="P265" s="728">
        <v>0</v>
      </c>
      <c r="Q265" s="731">
        <v>77577</v>
      </c>
      <c r="R265" s="731"/>
      <c r="S265" s="728">
        <v>1695420</v>
      </c>
      <c r="T265" s="732">
        <v>-38230</v>
      </c>
      <c r="U265" s="732">
        <v>1657190</v>
      </c>
    </row>
    <row r="266" spans="1:21" x14ac:dyDescent="0.25">
      <c r="A266" s="729">
        <v>38500</v>
      </c>
      <c r="B266" s="727" t="s">
        <v>1028</v>
      </c>
      <c r="C266" s="730">
        <v>2.3335999999999999E-3</v>
      </c>
      <c r="D266" s="730">
        <v>2.4922999999999998E-3</v>
      </c>
      <c r="E266" s="728">
        <v>22906812</v>
      </c>
      <c r="F266" s="731">
        <v>18515812</v>
      </c>
      <c r="G266" s="728">
        <f>VLOOKUP(A266,'[3]TSERS Contributions FY 2017'!$A$2:$C$290,3,FALSE)</f>
        <v>3336402</v>
      </c>
      <c r="H266" s="731"/>
      <c r="I266" s="728">
        <v>401389</v>
      </c>
      <c r="J266" s="728">
        <v>8828188</v>
      </c>
      <c r="K266" s="728">
        <v>2925219</v>
      </c>
      <c r="L266" s="731">
        <v>0</v>
      </c>
      <c r="M266" s="731"/>
      <c r="N266" s="728">
        <v>605749</v>
      </c>
      <c r="O266" s="728">
        <v>6322371</v>
      </c>
      <c r="P266" s="728">
        <v>0</v>
      </c>
      <c r="Q266" s="731">
        <v>1041228</v>
      </c>
      <c r="R266" s="731"/>
      <c r="S266" s="728">
        <v>4989825</v>
      </c>
      <c r="T266" s="732">
        <v>-448058</v>
      </c>
      <c r="U266" s="732">
        <v>4541767</v>
      </c>
    </row>
    <row r="267" spans="1:21" x14ac:dyDescent="0.25">
      <c r="A267" s="729">
        <v>38600</v>
      </c>
      <c r="B267" s="727" t="s">
        <v>1029</v>
      </c>
      <c r="C267" s="730">
        <v>3.0501E-3</v>
      </c>
      <c r="D267" s="730">
        <v>3.0961000000000001E-3</v>
      </c>
      <c r="E267" s="728">
        <v>28456357</v>
      </c>
      <c r="F267" s="731">
        <v>24200838</v>
      </c>
      <c r="G267" s="728">
        <f>VLOOKUP(A267,'[3]TSERS Contributions FY 2017'!$A$2:$C$290,3,FALSE)</f>
        <v>4235056</v>
      </c>
      <c r="H267" s="731"/>
      <c r="I267" s="728">
        <v>524629</v>
      </c>
      <c r="J267" s="728">
        <v>11538763</v>
      </c>
      <c r="K267" s="728">
        <v>3823367</v>
      </c>
      <c r="L267" s="731">
        <v>2557</v>
      </c>
      <c r="M267" s="731"/>
      <c r="N267" s="728">
        <v>791736</v>
      </c>
      <c r="O267" s="728">
        <v>8263569</v>
      </c>
      <c r="P267" s="728">
        <v>0</v>
      </c>
      <c r="Q267" s="731">
        <v>628553</v>
      </c>
      <c r="R267" s="731"/>
      <c r="S267" s="728">
        <v>6521882</v>
      </c>
      <c r="T267" s="732">
        <v>-377928</v>
      </c>
      <c r="U267" s="732">
        <v>6143955</v>
      </c>
    </row>
    <row r="268" spans="1:21" x14ac:dyDescent="0.25">
      <c r="A268" s="729">
        <v>38601</v>
      </c>
      <c r="B268" s="727" t="s">
        <v>1030</v>
      </c>
      <c r="C268" s="730">
        <v>3.4900000000000001E-5</v>
      </c>
      <c r="D268" s="730">
        <v>4.1300000000000001E-5</v>
      </c>
      <c r="E268" s="728">
        <v>379590</v>
      </c>
      <c r="F268" s="731">
        <v>276912</v>
      </c>
      <c r="G268" s="728">
        <f>VLOOKUP(A268,'[3]TSERS Contributions FY 2017'!$A$2:$C$290,3,FALSE)</f>
        <v>46120</v>
      </c>
      <c r="H268" s="731"/>
      <c r="I268" s="728">
        <v>6003</v>
      </c>
      <c r="J268" s="728">
        <v>132029</v>
      </c>
      <c r="K268" s="728">
        <v>43748</v>
      </c>
      <c r="L268" s="731">
        <v>12967</v>
      </c>
      <c r="M268" s="731"/>
      <c r="N268" s="728">
        <v>9059</v>
      </c>
      <c r="O268" s="728">
        <v>94554</v>
      </c>
      <c r="P268" s="728">
        <v>0</v>
      </c>
      <c r="Q268" s="731">
        <v>28596</v>
      </c>
      <c r="R268" s="731"/>
      <c r="S268" s="728">
        <v>74625</v>
      </c>
      <c r="T268" s="732">
        <v>1008</v>
      </c>
      <c r="U268" s="732">
        <v>75633</v>
      </c>
    </row>
    <row r="269" spans="1:21" x14ac:dyDescent="0.25">
      <c r="A269" s="729">
        <v>38602</v>
      </c>
      <c r="B269" s="727" t="s">
        <v>1031</v>
      </c>
      <c r="C269" s="730">
        <v>2.2479999999999999E-4</v>
      </c>
      <c r="D269" s="730">
        <v>1.83E-4</v>
      </c>
      <c r="E269" s="728">
        <v>1681959</v>
      </c>
      <c r="F269" s="731">
        <v>1783662</v>
      </c>
      <c r="G269" s="728">
        <f>VLOOKUP(A269,'[3]TSERS Contributions FY 2017'!$A$2:$C$290,3,FALSE)</f>
        <v>301498</v>
      </c>
      <c r="H269" s="731"/>
      <c r="I269" s="728">
        <v>38666</v>
      </c>
      <c r="J269" s="728">
        <v>850436</v>
      </c>
      <c r="K269" s="728">
        <v>281792</v>
      </c>
      <c r="L269" s="731">
        <v>204230</v>
      </c>
      <c r="M269" s="731"/>
      <c r="N269" s="728">
        <v>58353</v>
      </c>
      <c r="O269" s="728">
        <v>609046</v>
      </c>
      <c r="P269" s="728">
        <v>0</v>
      </c>
      <c r="Q269" s="731">
        <v>0</v>
      </c>
      <c r="R269" s="731"/>
      <c r="S269" s="728">
        <v>480679</v>
      </c>
      <c r="T269" s="732">
        <v>81319</v>
      </c>
      <c r="U269" s="732">
        <v>561998</v>
      </c>
    </row>
    <row r="270" spans="1:21" x14ac:dyDescent="0.25">
      <c r="A270" s="729">
        <v>38605</v>
      </c>
      <c r="B270" s="727" t="s">
        <v>1032</v>
      </c>
      <c r="C270" s="730">
        <v>8.4170000000000002E-4</v>
      </c>
      <c r="D270" s="730">
        <v>8.5070000000000002E-4</v>
      </c>
      <c r="E270" s="728">
        <v>7818812</v>
      </c>
      <c r="F270" s="731">
        <v>6678419</v>
      </c>
      <c r="G270" s="728">
        <f>VLOOKUP(A270,'[3]TSERS Contributions FY 2017'!$A$2:$C$290,3,FALSE)</f>
        <v>1192365</v>
      </c>
      <c r="H270" s="731"/>
      <c r="I270" s="728">
        <v>144776</v>
      </c>
      <c r="J270" s="728">
        <v>3184216</v>
      </c>
      <c r="K270" s="728">
        <v>1055089</v>
      </c>
      <c r="L270" s="731">
        <v>30278</v>
      </c>
      <c r="M270" s="731"/>
      <c r="N270" s="728">
        <v>218486</v>
      </c>
      <c r="O270" s="728">
        <v>2280399</v>
      </c>
      <c r="P270" s="728">
        <v>0</v>
      </c>
      <c r="Q270" s="731">
        <v>71938</v>
      </c>
      <c r="R270" s="731"/>
      <c r="S270" s="728">
        <v>1799767</v>
      </c>
      <c r="T270" s="732">
        <v>-5044</v>
      </c>
      <c r="U270" s="732">
        <v>1794722</v>
      </c>
    </row>
    <row r="271" spans="1:21" x14ac:dyDescent="0.25">
      <c r="A271" s="729">
        <v>38610</v>
      </c>
      <c r="B271" s="727" t="s">
        <v>1033</v>
      </c>
      <c r="C271" s="730">
        <v>5.9389999999999996E-4</v>
      </c>
      <c r="D271" s="730">
        <v>6.2620000000000004E-4</v>
      </c>
      <c r="E271" s="728">
        <v>5755425</v>
      </c>
      <c r="F271" s="731">
        <v>4712265</v>
      </c>
      <c r="G271" s="728">
        <f>VLOOKUP(A271,'[3]TSERS Contributions FY 2017'!$A$2:$C$290,3,FALSE)</f>
        <v>900463</v>
      </c>
      <c r="H271" s="731"/>
      <c r="I271" s="728">
        <v>102153</v>
      </c>
      <c r="J271" s="728">
        <v>2246769</v>
      </c>
      <c r="K271" s="728">
        <v>744467</v>
      </c>
      <c r="L271" s="731">
        <v>16155</v>
      </c>
      <c r="M271" s="731"/>
      <c r="N271" s="728">
        <v>154163</v>
      </c>
      <c r="O271" s="728">
        <v>1609040</v>
      </c>
      <c r="P271" s="728">
        <v>0</v>
      </c>
      <c r="Q271" s="731">
        <v>104003</v>
      </c>
      <c r="R271" s="731"/>
      <c r="S271" s="728">
        <v>1269908</v>
      </c>
      <c r="T271" s="732">
        <v>-15740</v>
      </c>
      <c r="U271" s="732">
        <v>1254168</v>
      </c>
    </row>
    <row r="272" spans="1:21" x14ac:dyDescent="0.25">
      <c r="A272" s="729">
        <v>38620</v>
      </c>
      <c r="B272" s="727" t="s">
        <v>1034</v>
      </c>
      <c r="C272" s="730">
        <v>4.9620000000000003E-4</v>
      </c>
      <c r="D272" s="730">
        <v>5.3479999999999999E-4</v>
      </c>
      <c r="E272" s="728">
        <v>4915364</v>
      </c>
      <c r="F272" s="731">
        <v>3937070</v>
      </c>
      <c r="G272" s="728">
        <f>VLOOKUP(A272,'[3]TSERS Contributions FY 2017'!$A$2:$C$290,3,FALSE)</f>
        <v>709716</v>
      </c>
      <c r="H272" s="731"/>
      <c r="I272" s="728">
        <v>85348</v>
      </c>
      <c r="J272" s="728">
        <v>1877163</v>
      </c>
      <c r="K272" s="728">
        <v>621998</v>
      </c>
      <c r="L272" s="731">
        <v>61666</v>
      </c>
      <c r="M272" s="731"/>
      <c r="N272" s="728">
        <v>128802</v>
      </c>
      <c r="O272" s="728">
        <v>1344344</v>
      </c>
      <c r="P272" s="728">
        <v>0</v>
      </c>
      <c r="Q272" s="731">
        <v>146532</v>
      </c>
      <c r="R272" s="731"/>
      <c r="S272" s="728">
        <v>1061001</v>
      </c>
      <c r="T272" s="732">
        <v>-9763</v>
      </c>
      <c r="U272" s="732">
        <v>1051237</v>
      </c>
    </row>
    <row r="273" spans="1:21" x14ac:dyDescent="0.25">
      <c r="A273" s="729">
        <v>38700</v>
      </c>
      <c r="B273" s="727" t="s">
        <v>1035</v>
      </c>
      <c r="C273" s="730">
        <v>9.0870000000000002E-4</v>
      </c>
      <c r="D273" s="730">
        <v>9.167E-4</v>
      </c>
      <c r="E273" s="728">
        <v>8425420</v>
      </c>
      <c r="F273" s="731">
        <v>7210027</v>
      </c>
      <c r="G273" s="728">
        <f>VLOOKUP(A273,'[3]TSERS Contributions FY 2017'!$A$2:$C$290,3,FALSE)</f>
        <v>1220318</v>
      </c>
      <c r="H273" s="731"/>
      <c r="I273" s="728">
        <v>156300</v>
      </c>
      <c r="J273" s="728">
        <v>3437682</v>
      </c>
      <c r="K273" s="728">
        <v>1139075</v>
      </c>
      <c r="L273" s="731">
        <v>133328</v>
      </c>
      <c r="M273" s="731"/>
      <c r="N273" s="728">
        <v>235878</v>
      </c>
      <c r="O273" s="728">
        <v>2461921</v>
      </c>
      <c r="P273" s="728">
        <v>0</v>
      </c>
      <c r="Q273" s="731">
        <v>93181</v>
      </c>
      <c r="R273" s="731"/>
      <c r="S273" s="728">
        <v>1943030</v>
      </c>
      <c r="T273" s="732">
        <v>56683</v>
      </c>
      <c r="U273" s="732">
        <v>1999713</v>
      </c>
    </row>
    <row r="274" spans="1:21" x14ac:dyDescent="0.25">
      <c r="A274" s="729">
        <v>38701</v>
      </c>
      <c r="B274" s="727" t="s">
        <v>1036</v>
      </c>
      <c r="C274" s="730">
        <v>5.2200000000000002E-5</v>
      </c>
      <c r="D274" s="730">
        <v>6.2899999999999997E-5</v>
      </c>
      <c r="E274" s="728">
        <v>578116</v>
      </c>
      <c r="F274" s="731">
        <v>414178</v>
      </c>
      <c r="G274" s="728">
        <f>VLOOKUP(A274,'[3]TSERS Contributions FY 2017'!$A$2:$C$290,3,FALSE)</f>
        <v>81826</v>
      </c>
      <c r="H274" s="731"/>
      <c r="I274" s="728">
        <v>8979</v>
      </c>
      <c r="J274" s="728">
        <v>197477</v>
      </c>
      <c r="K274" s="728">
        <v>65434</v>
      </c>
      <c r="L274" s="731">
        <v>4621</v>
      </c>
      <c r="M274" s="731"/>
      <c r="N274" s="728">
        <v>13550</v>
      </c>
      <c r="O274" s="728">
        <v>141424</v>
      </c>
      <c r="P274" s="728">
        <v>0</v>
      </c>
      <c r="Q274" s="731">
        <v>52553</v>
      </c>
      <c r="R274" s="731"/>
      <c r="S274" s="728">
        <v>111617</v>
      </c>
      <c r="T274" s="732">
        <v>-26611</v>
      </c>
      <c r="U274" s="732">
        <v>85006</v>
      </c>
    </row>
    <row r="275" spans="1:21" x14ac:dyDescent="0.25">
      <c r="A275" s="729">
        <v>38800</v>
      </c>
      <c r="B275" s="727" t="s">
        <v>1037</v>
      </c>
      <c r="C275" s="730">
        <v>1.5397E-3</v>
      </c>
      <c r="D275" s="730">
        <v>1.5732999999999999E-3</v>
      </c>
      <c r="E275" s="728">
        <v>14460252</v>
      </c>
      <c r="F275" s="731">
        <v>12216659</v>
      </c>
      <c r="G275" s="728">
        <f>VLOOKUP(A275,'[3]TSERS Contributions FY 2017'!$A$2:$C$290,3,FALSE)</f>
        <v>2128019</v>
      </c>
      <c r="H275" s="731"/>
      <c r="I275" s="728">
        <v>264835</v>
      </c>
      <c r="J275" s="728">
        <v>5824804</v>
      </c>
      <c r="K275" s="728">
        <v>1930048</v>
      </c>
      <c r="L275" s="731">
        <v>81485</v>
      </c>
      <c r="M275" s="731"/>
      <c r="N275" s="728">
        <v>399671</v>
      </c>
      <c r="O275" s="728">
        <v>4171475</v>
      </c>
      <c r="P275" s="728">
        <v>0</v>
      </c>
      <c r="Q275" s="731">
        <v>197723</v>
      </c>
      <c r="R275" s="731"/>
      <c r="S275" s="728">
        <v>3292267</v>
      </c>
      <c r="T275" s="732">
        <v>-27601</v>
      </c>
      <c r="U275" s="732">
        <v>3264665</v>
      </c>
    </row>
    <row r="276" spans="1:21" x14ac:dyDescent="0.25">
      <c r="A276" s="729">
        <v>38801</v>
      </c>
      <c r="B276" s="727" t="s">
        <v>1038</v>
      </c>
      <c r="C276" s="730">
        <v>1.261E-4</v>
      </c>
      <c r="D276" s="730">
        <v>1.1069999999999999E-4</v>
      </c>
      <c r="E276" s="728">
        <v>1017447</v>
      </c>
      <c r="F276" s="731">
        <v>1000533</v>
      </c>
      <c r="G276" s="728">
        <f>VLOOKUP(A276,'[3]TSERS Contributions FY 2017'!$A$2:$C$290,3,FALSE)</f>
        <v>150779</v>
      </c>
      <c r="H276" s="731"/>
      <c r="I276" s="728">
        <v>21690</v>
      </c>
      <c r="J276" s="728">
        <v>477046</v>
      </c>
      <c r="K276" s="728">
        <v>158069</v>
      </c>
      <c r="L276" s="731">
        <v>98190</v>
      </c>
      <c r="M276" s="731"/>
      <c r="N276" s="728">
        <v>32733</v>
      </c>
      <c r="O276" s="728">
        <v>341640</v>
      </c>
      <c r="P276" s="728">
        <v>0</v>
      </c>
      <c r="Q276" s="731">
        <v>20168</v>
      </c>
      <c r="R276" s="731"/>
      <c r="S276" s="728">
        <v>269634</v>
      </c>
      <c r="T276" s="732">
        <v>45290</v>
      </c>
      <c r="U276" s="732">
        <v>314923</v>
      </c>
    </row>
    <row r="277" spans="1:21" x14ac:dyDescent="0.25">
      <c r="A277" s="729">
        <v>38900</v>
      </c>
      <c r="B277" s="727" t="s">
        <v>1039</v>
      </c>
      <c r="C277" s="730">
        <v>3.3700000000000001E-4</v>
      </c>
      <c r="D277" s="730">
        <v>3.5940000000000001E-4</v>
      </c>
      <c r="E277" s="728">
        <v>3303257</v>
      </c>
      <c r="F277" s="731">
        <v>2673907</v>
      </c>
      <c r="G277" s="728">
        <f>VLOOKUP(A277,'[3]TSERS Contributions FY 2017'!$A$2:$C$290,3,FALSE)</f>
        <v>476883</v>
      </c>
      <c r="H277" s="731"/>
      <c r="I277" s="728">
        <v>57965</v>
      </c>
      <c r="J277" s="728">
        <v>1274897</v>
      </c>
      <c r="K277" s="728">
        <v>422437</v>
      </c>
      <c r="L277" s="731">
        <v>48935</v>
      </c>
      <c r="M277" s="731"/>
      <c r="N277" s="728">
        <v>87477</v>
      </c>
      <c r="O277" s="728">
        <v>913027</v>
      </c>
      <c r="P277" s="728">
        <v>0</v>
      </c>
      <c r="Q277" s="731">
        <v>110590</v>
      </c>
      <c r="R277" s="731"/>
      <c r="S277" s="728">
        <v>720591</v>
      </c>
      <c r="T277" s="732">
        <v>-34893</v>
      </c>
      <c r="U277" s="732">
        <v>685698</v>
      </c>
    </row>
    <row r="278" spans="1:21" x14ac:dyDescent="0.25">
      <c r="A278" s="729">
        <v>39000</v>
      </c>
      <c r="B278" s="727" t="s">
        <v>1040</v>
      </c>
      <c r="C278" s="730">
        <v>1.5960100000000001E-2</v>
      </c>
      <c r="D278" s="730">
        <v>1.5830199999999999E-2</v>
      </c>
      <c r="E278" s="728">
        <v>145495891</v>
      </c>
      <c r="F278" s="731">
        <v>126634472</v>
      </c>
      <c r="G278" s="728">
        <f>VLOOKUP(A278,'[3]TSERS Contributions FY 2017'!$A$2:$C$290,3,FALSE)</f>
        <v>20871983</v>
      </c>
      <c r="H278" s="731"/>
      <c r="I278" s="728">
        <v>2745201</v>
      </c>
      <c r="J278" s="728">
        <v>60378287</v>
      </c>
      <c r="K278" s="728">
        <v>20006336</v>
      </c>
      <c r="L278" s="731">
        <v>397060</v>
      </c>
      <c r="M278" s="731"/>
      <c r="N278" s="728">
        <v>4142875</v>
      </c>
      <c r="O278" s="728">
        <v>43240348</v>
      </c>
      <c r="P278" s="728">
        <v>0</v>
      </c>
      <c r="Q278" s="731">
        <v>2008728</v>
      </c>
      <c r="R278" s="731"/>
      <c r="S278" s="728">
        <v>34126716</v>
      </c>
      <c r="T278" s="732">
        <v>-845475</v>
      </c>
      <c r="U278" s="732">
        <v>33281241</v>
      </c>
    </row>
    <row r="279" spans="1:21" x14ac:dyDescent="0.25">
      <c r="A279" s="729">
        <v>39100</v>
      </c>
      <c r="B279" s="727" t="s">
        <v>1041</v>
      </c>
      <c r="C279" s="730">
        <v>2.3486000000000002E-3</v>
      </c>
      <c r="D279" s="730">
        <v>2.4624E-3</v>
      </c>
      <c r="E279" s="728">
        <v>22632000</v>
      </c>
      <c r="F279" s="731">
        <v>18634828</v>
      </c>
      <c r="G279" s="728">
        <f>VLOOKUP(A279,'[3]TSERS Contributions FY 2017'!$A$2:$C$290,3,FALSE)</f>
        <v>3530602</v>
      </c>
      <c r="H279" s="731"/>
      <c r="I279" s="728">
        <v>403969</v>
      </c>
      <c r="J279" s="728">
        <v>8884935</v>
      </c>
      <c r="K279" s="728">
        <v>2944022</v>
      </c>
      <c r="L279" s="731">
        <v>0</v>
      </c>
      <c r="M279" s="731"/>
      <c r="N279" s="728">
        <v>609643</v>
      </c>
      <c r="O279" s="728">
        <v>6363010</v>
      </c>
      <c r="P279" s="728">
        <v>0</v>
      </c>
      <c r="Q279" s="731">
        <v>369824</v>
      </c>
      <c r="R279" s="731"/>
      <c r="S279" s="728">
        <v>5021899</v>
      </c>
      <c r="T279" s="732">
        <v>-175449</v>
      </c>
      <c r="U279" s="732">
        <v>4846449</v>
      </c>
    </row>
    <row r="280" spans="1:21" x14ac:dyDescent="0.25">
      <c r="A280" s="729">
        <v>39101</v>
      </c>
      <c r="B280" s="727" t="s">
        <v>1042</v>
      </c>
      <c r="C280" s="730">
        <v>1.9579999999999999E-4</v>
      </c>
      <c r="D280" s="730">
        <v>1.7560000000000001E-4</v>
      </c>
      <c r="E280" s="728">
        <v>1613945</v>
      </c>
      <c r="F280" s="731">
        <v>1553564</v>
      </c>
      <c r="G280" s="728">
        <f>VLOOKUP(A280,'[3]TSERS Contributions FY 2017'!$A$2:$C$290,3,FALSE)</f>
        <v>282346</v>
      </c>
      <c r="H280" s="731"/>
      <c r="I280" s="728">
        <v>33678</v>
      </c>
      <c r="J280" s="728">
        <v>740726</v>
      </c>
      <c r="K280" s="728">
        <v>245440</v>
      </c>
      <c r="L280" s="731">
        <v>76558</v>
      </c>
      <c r="M280" s="731"/>
      <c r="N280" s="728">
        <v>50825</v>
      </c>
      <c r="O280" s="728">
        <v>530477</v>
      </c>
      <c r="P280" s="728">
        <v>0</v>
      </c>
      <c r="Q280" s="731">
        <v>15840</v>
      </c>
      <c r="R280" s="731"/>
      <c r="S280" s="728">
        <v>418670</v>
      </c>
      <c r="T280" s="732">
        <v>14667</v>
      </c>
      <c r="U280" s="732">
        <v>433337</v>
      </c>
    </row>
    <row r="281" spans="1:21" x14ac:dyDescent="0.25">
      <c r="A281" s="729">
        <v>39105</v>
      </c>
      <c r="B281" s="727" t="s">
        <v>1043</v>
      </c>
      <c r="C281" s="730">
        <v>9.7019999999999995E-4</v>
      </c>
      <c r="D281" s="730">
        <v>1.0095E-3</v>
      </c>
      <c r="E281" s="728">
        <v>9278348</v>
      </c>
      <c r="F281" s="731">
        <v>7697995</v>
      </c>
      <c r="G281" s="728">
        <f>VLOOKUP(A281,'[3]TSERS Contributions FY 2017'!$A$2:$C$290,3,FALSE)</f>
        <v>1406215</v>
      </c>
      <c r="H281" s="731"/>
      <c r="I281" s="728">
        <v>166878</v>
      </c>
      <c r="J281" s="728">
        <v>3670341</v>
      </c>
      <c r="K281" s="728">
        <v>1216167</v>
      </c>
      <c r="L281" s="731">
        <v>47077</v>
      </c>
      <c r="M281" s="731"/>
      <c r="N281" s="728">
        <v>251842</v>
      </c>
      <c r="O281" s="728">
        <v>2628542</v>
      </c>
      <c r="P281" s="728">
        <v>0</v>
      </c>
      <c r="Q281" s="731">
        <v>190492</v>
      </c>
      <c r="R281" s="731"/>
      <c r="S281" s="728">
        <v>2074532</v>
      </c>
      <c r="T281" s="732">
        <v>-24204</v>
      </c>
      <c r="U281" s="732">
        <v>2050328</v>
      </c>
    </row>
    <row r="282" spans="1:21" x14ac:dyDescent="0.25">
      <c r="A282" s="729">
        <v>39200</v>
      </c>
      <c r="B282" s="727" t="s">
        <v>1044</v>
      </c>
      <c r="C282" s="730">
        <v>6.5650399999999998E-2</v>
      </c>
      <c r="D282" s="730">
        <v>6.4350400000000002E-2</v>
      </c>
      <c r="E282" s="728">
        <v>591446650</v>
      </c>
      <c r="F282" s="731">
        <v>520899225</v>
      </c>
      <c r="G282" s="728">
        <f>VLOOKUP(A282,'[3]TSERS Contributions FY 2017'!$A$2:$C$290,3,FALSE)</f>
        <v>87215438</v>
      </c>
      <c r="H282" s="731"/>
      <c r="I282" s="728">
        <v>11292131</v>
      </c>
      <c r="J282" s="728">
        <v>248360518</v>
      </c>
      <c r="K282" s="728">
        <v>82294221</v>
      </c>
      <c r="L282" s="731">
        <v>6065557</v>
      </c>
      <c r="M282" s="731"/>
      <c r="N282" s="728">
        <v>17041334</v>
      </c>
      <c r="O282" s="728">
        <v>177865184</v>
      </c>
      <c r="P282" s="728">
        <v>0</v>
      </c>
      <c r="Q282" s="731">
        <v>411890</v>
      </c>
      <c r="R282" s="731"/>
      <c r="S282" s="728">
        <v>140377099</v>
      </c>
      <c r="T282" s="732">
        <v>2848192</v>
      </c>
      <c r="U282" s="732">
        <v>143225291</v>
      </c>
    </row>
    <row r="283" spans="1:21" x14ac:dyDescent="0.25">
      <c r="A283" s="729">
        <v>39201</v>
      </c>
      <c r="B283" s="727" t="s">
        <v>1045</v>
      </c>
      <c r="C283" s="730">
        <v>1.94E-4</v>
      </c>
      <c r="D283" s="730">
        <v>1.94E-4</v>
      </c>
      <c r="E283" s="728">
        <v>1783060</v>
      </c>
      <c r="F283" s="731">
        <v>1539282</v>
      </c>
      <c r="G283" s="728">
        <f>VLOOKUP(A283,'[3]TSERS Contributions FY 2017'!$A$2:$C$290,3,FALSE)</f>
        <v>214022</v>
      </c>
      <c r="H283" s="731"/>
      <c r="I283" s="728">
        <v>33369</v>
      </c>
      <c r="J283" s="728">
        <v>733917</v>
      </c>
      <c r="K283" s="728">
        <v>243183</v>
      </c>
      <c r="L283" s="731">
        <v>28511</v>
      </c>
      <c r="M283" s="731"/>
      <c r="N283" s="728">
        <v>50358</v>
      </c>
      <c r="O283" s="728">
        <v>525600</v>
      </c>
      <c r="P283" s="728">
        <v>0</v>
      </c>
      <c r="Q283" s="731">
        <v>71543</v>
      </c>
      <c r="R283" s="731"/>
      <c r="S283" s="728">
        <v>414821</v>
      </c>
      <c r="T283" s="732">
        <v>-11463</v>
      </c>
      <c r="U283" s="732">
        <v>403358</v>
      </c>
    </row>
    <row r="284" spans="1:21" x14ac:dyDescent="0.25">
      <c r="A284" s="729">
        <v>39204</v>
      </c>
      <c r="B284" s="727" t="s">
        <v>1046</v>
      </c>
      <c r="C284" s="730">
        <v>1.8000000000000001E-4</v>
      </c>
      <c r="D284" s="730">
        <v>1.3359999999999999E-4</v>
      </c>
      <c r="E284" s="728">
        <v>1227922</v>
      </c>
      <c r="F284" s="731">
        <v>1428199</v>
      </c>
      <c r="G284" s="728">
        <f>VLOOKUP(A284,'[3]TSERS Contributions FY 2017'!$A$2:$C$290,3,FALSE)</f>
        <v>216940</v>
      </c>
      <c r="H284" s="731"/>
      <c r="I284" s="728">
        <v>30960.720000000001</v>
      </c>
      <c r="J284" s="728">
        <v>680953.86</v>
      </c>
      <c r="K284" s="728">
        <v>225634</v>
      </c>
      <c r="L284" s="731">
        <v>264275</v>
      </c>
      <c r="M284" s="731"/>
      <c r="N284" s="728">
        <v>46723.86</v>
      </c>
      <c r="O284" s="728">
        <v>487670</v>
      </c>
      <c r="P284" s="728">
        <v>0</v>
      </c>
      <c r="Q284" s="731">
        <v>0</v>
      </c>
      <c r="R284" s="731"/>
      <c r="S284" s="728">
        <v>384885</v>
      </c>
      <c r="T284" s="732">
        <v>128505</v>
      </c>
      <c r="U284" s="732">
        <v>513390</v>
      </c>
    </row>
    <row r="285" spans="1:21" x14ac:dyDescent="0.25">
      <c r="A285" s="729">
        <v>39205</v>
      </c>
      <c r="B285" s="727" t="s">
        <v>1047</v>
      </c>
      <c r="C285" s="730">
        <v>5.4140000000000004E-3</v>
      </c>
      <c r="D285" s="730">
        <v>5.0689000000000003E-3</v>
      </c>
      <c r="E285" s="728">
        <v>46588427</v>
      </c>
      <c r="F285" s="731">
        <v>42957064</v>
      </c>
      <c r="G285" s="728">
        <f>VLOOKUP(A285,'[3]TSERS Contributions FY 2017'!$A$2:$C$290,3,FALSE)</f>
        <v>7736895</v>
      </c>
      <c r="H285" s="731"/>
      <c r="I285" s="728">
        <v>931230</v>
      </c>
      <c r="J285" s="728">
        <v>20481579</v>
      </c>
      <c r="K285" s="728">
        <v>6786568</v>
      </c>
      <c r="L285" s="731">
        <v>3014951</v>
      </c>
      <c r="M285" s="731"/>
      <c r="N285" s="728">
        <v>1405350</v>
      </c>
      <c r="O285" s="728">
        <v>14668031</v>
      </c>
      <c r="P285" s="728">
        <v>0</v>
      </c>
      <c r="Q285" s="731">
        <v>0</v>
      </c>
      <c r="R285" s="731"/>
      <c r="S285" s="728">
        <v>11576496</v>
      </c>
      <c r="T285" s="732">
        <v>1600573</v>
      </c>
      <c r="U285" s="732">
        <v>13177070</v>
      </c>
    </row>
    <row r="286" spans="1:21" x14ac:dyDescent="0.25">
      <c r="A286" s="729">
        <v>39208</v>
      </c>
      <c r="B286" s="727" t="s">
        <v>1048</v>
      </c>
      <c r="C286" s="730">
        <v>3.835E-4</v>
      </c>
      <c r="D286" s="730">
        <v>4.0460000000000002E-4</v>
      </c>
      <c r="E286" s="728">
        <v>3718692</v>
      </c>
      <c r="F286" s="731">
        <v>3042858</v>
      </c>
      <c r="G286" s="728">
        <f>VLOOKUP(A286,'[3]TSERS Contributions FY 2017'!$A$2:$C$290,3,FALSE)</f>
        <v>462825</v>
      </c>
      <c r="H286" s="731"/>
      <c r="I286" s="728">
        <v>65964</v>
      </c>
      <c r="J286" s="728">
        <v>1450810</v>
      </c>
      <c r="K286" s="728">
        <v>480726</v>
      </c>
      <c r="L286" s="731">
        <v>0</v>
      </c>
      <c r="M286" s="731"/>
      <c r="N286" s="728">
        <v>99548</v>
      </c>
      <c r="O286" s="728">
        <v>1039008</v>
      </c>
      <c r="P286" s="728">
        <v>0</v>
      </c>
      <c r="Q286" s="731">
        <v>225042</v>
      </c>
      <c r="R286" s="731"/>
      <c r="S286" s="728">
        <v>820020</v>
      </c>
      <c r="T286" s="732">
        <v>-115122</v>
      </c>
      <c r="U286" s="732">
        <v>704897</v>
      </c>
    </row>
    <row r="287" spans="1:21" x14ac:dyDescent="0.25">
      <c r="A287" s="729">
        <v>39209</v>
      </c>
      <c r="B287" s="727" t="s">
        <v>1049</v>
      </c>
      <c r="C287" s="730">
        <v>2.1379999999999999E-4</v>
      </c>
      <c r="D287" s="730">
        <v>2.0369999999999999E-4</v>
      </c>
      <c r="E287" s="728">
        <v>1872213</v>
      </c>
      <c r="F287" s="731">
        <v>1696383</v>
      </c>
      <c r="G287" s="728">
        <f>VLOOKUP(A287,'[3]TSERS Contributions FY 2017'!$A$2:$C$290,3,FALSE)</f>
        <v>241365</v>
      </c>
      <c r="H287" s="731"/>
      <c r="I287" s="728">
        <v>36774</v>
      </c>
      <c r="J287" s="728">
        <v>808822</v>
      </c>
      <c r="K287" s="728">
        <v>268003</v>
      </c>
      <c r="L287" s="731">
        <v>54013</v>
      </c>
      <c r="M287" s="731"/>
      <c r="N287" s="728">
        <v>55498</v>
      </c>
      <c r="O287" s="728">
        <v>579244</v>
      </c>
      <c r="P287" s="728">
        <v>0</v>
      </c>
      <c r="Q287" s="731">
        <v>25607</v>
      </c>
      <c r="R287" s="731"/>
      <c r="S287" s="728">
        <v>457158</v>
      </c>
      <c r="T287" s="732">
        <v>4272</v>
      </c>
      <c r="U287" s="732">
        <v>461430</v>
      </c>
    </row>
    <row r="288" spans="1:21" x14ac:dyDescent="0.25">
      <c r="A288" s="729">
        <v>39300</v>
      </c>
      <c r="B288" s="727" t="s">
        <v>1050</v>
      </c>
      <c r="C288" s="730">
        <v>8.6319999999999995E-4</v>
      </c>
      <c r="D288" s="730">
        <v>9.5830000000000004E-4</v>
      </c>
      <c r="E288" s="728">
        <v>8807767</v>
      </c>
      <c r="F288" s="731">
        <v>6849009</v>
      </c>
      <c r="G288" s="728">
        <f>VLOOKUP(A288,'[3]TSERS Contributions FY 2017'!$A$2:$C$290,3,FALSE)</f>
        <v>1288531</v>
      </c>
      <c r="H288" s="731"/>
      <c r="I288" s="728">
        <v>148474</v>
      </c>
      <c r="J288" s="728">
        <v>3265552</v>
      </c>
      <c r="K288" s="728">
        <v>1082040</v>
      </c>
      <c r="L288" s="731">
        <v>56440</v>
      </c>
      <c r="M288" s="731"/>
      <c r="N288" s="728">
        <v>224067</v>
      </c>
      <c r="O288" s="728">
        <v>2338649</v>
      </c>
      <c r="P288" s="728">
        <v>0</v>
      </c>
      <c r="Q288" s="731">
        <v>332866</v>
      </c>
      <c r="R288" s="731"/>
      <c r="S288" s="728">
        <v>1845739</v>
      </c>
      <c r="T288" s="732">
        <v>-93448</v>
      </c>
      <c r="U288" s="732">
        <v>1752292</v>
      </c>
    </row>
    <row r="289" spans="1:21" x14ac:dyDescent="0.25">
      <c r="A289" s="729">
        <v>39301</v>
      </c>
      <c r="B289" s="727" t="s">
        <v>1051</v>
      </c>
      <c r="C289" s="730">
        <v>6.0099999999999997E-5</v>
      </c>
      <c r="D289" s="730">
        <v>5.2299999999999997E-5</v>
      </c>
      <c r="E289" s="728">
        <v>480691</v>
      </c>
      <c r="F289" s="731">
        <v>476860</v>
      </c>
      <c r="G289" s="728">
        <f>VLOOKUP(A289,'[3]TSERS Contributions FY 2017'!$A$2:$C$290,3,FALSE)</f>
        <v>80537</v>
      </c>
      <c r="H289" s="731"/>
      <c r="I289" s="728">
        <v>10337</v>
      </c>
      <c r="J289" s="728">
        <v>227363</v>
      </c>
      <c r="K289" s="728">
        <v>75337</v>
      </c>
      <c r="L289" s="731">
        <v>39536</v>
      </c>
      <c r="M289" s="731"/>
      <c r="N289" s="728">
        <v>15601</v>
      </c>
      <c r="O289" s="728">
        <v>162828</v>
      </c>
      <c r="P289" s="728">
        <v>0</v>
      </c>
      <c r="Q289" s="731">
        <v>43991</v>
      </c>
      <c r="R289" s="731"/>
      <c r="S289" s="728">
        <v>128509</v>
      </c>
      <c r="T289" s="732">
        <v>5647</v>
      </c>
      <c r="U289" s="732">
        <v>134156</v>
      </c>
    </row>
    <row r="290" spans="1:21" x14ac:dyDescent="0.25">
      <c r="A290" s="729">
        <v>39400</v>
      </c>
      <c r="B290" s="727" t="s">
        <v>1052</v>
      </c>
      <c r="C290" s="730">
        <v>6.1859999999999997E-4</v>
      </c>
      <c r="D290" s="730">
        <v>6.5919999999999998E-4</v>
      </c>
      <c r="E290" s="728">
        <v>6058729</v>
      </c>
      <c r="F290" s="731">
        <v>4908245</v>
      </c>
      <c r="G290" s="728">
        <f>VLOOKUP(A290,'[3]TSERS Contributions FY 2017'!$A$2:$C$290,3,FALSE)</f>
        <v>980162</v>
      </c>
      <c r="H290" s="731"/>
      <c r="I290" s="728">
        <v>106402</v>
      </c>
      <c r="J290" s="728">
        <v>2340211</v>
      </c>
      <c r="K290" s="728">
        <v>775429</v>
      </c>
      <c r="L290" s="731">
        <v>67163</v>
      </c>
      <c r="M290" s="731"/>
      <c r="N290" s="728">
        <v>160574</v>
      </c>
      <c r="O290" s="728">
        <v>1675959</v>
      </c>
      <c r="P290" s="728">
        <v>0</v>
      </c>
      <c r="Q290" s="731">
        <v>148112</v>
      </c>
      <c r="R290" s="731"/>
      <c r="S290" s="728">
        <v>1322723</v>
      </c>
      <c r="T290" s="732">
        <v>23786</v>
      </c>
      <c r="U290" s="732">
        <v>1346508</v>
      </c>
    </row>
    <row r="291" spans="1:21" x14ac:dyDescent="0.25">
      <c r="A291" s="729">
        <v>39401</v>
      </c>
      <c r="B291" s="727" t="s">
        <v>1053</v>
      </c>
      <c r="C291" s="730">
        <v>3.213E-4</v>
      </c>
      <c r="D291" s="730">
        <v>2.22E-4</v>
      </c>
      <c r="E291" s="728">
        <v>2040409</v>
      </c>
      <c r="F291" s="731">
        <v>2549336</v>
      </c>
      <c r="G291" s="728">
        <f>VLOOKUP(A291,'[3]TSERS Contributions FY 2017'!$A$2:$C$290,3,FALSE)</f>
        <v>350218</v>
      </c>
      <c r="H291" s="731"/>
      <c r="I291" s="728">
        <v>55265</v>
      </c>
      <c r="J291" s="728">
        <v>1215503</v>
      </c>
      <c r="K291" s="728">
        <v>402757</v>
      </c>
      <c r="L291" s="731">
        <v>510098</v>
      </c>
      <c r="M291" s="731"/>
      <c r="N291" s="728">
        <v>83402</v>
      </c>
      <c r="O291" s="728">
        <v>870491</v>
      </c>
      <c r="P291" s="728">
        <v>0</v>
      </c>
      <c r="Q291" s="731">
        <v>0</v>
      </c>
      <c r="R291" s="731"/>
      <c r="S291" s="728">
        <v>687020</v>
      </c>
      <c r="T291" s="732">
        <v>227395</v>
      </c>
      <c r="U291" s="732">
        <v>914415</v>
      </c>
    </row>
    <row r="292" spans="1:21" x14ac:dyDescent="0.25">
      <c r="A292" s="729">
        <v>39500</v>
      </c>
      <c r="B292" s="727" t="s">
        <v>1054</v>
      </c>
      <c r="C292" s="730">
        <v>1.9737000000000001E-3</v>
      </c>
      <c r="D292" s="730">
        <v>1.9851000000000001E-3</v>
      </c>
      <c r="E292" s="728">
        <v>18245120</v>
      </c>
      <c r="F292" s="731">
        <v>15660206</v>
      </c>
      <c r="G292" s="728">
        <f>VLOOKUP(A292,'[3]TSERS Contributions FY 2017'!$A$2:$C$290,3,FALSE)</f>
        <v>2743386</v>
      </c>
      <c r="H292" s="731"/>
      <c r="I292" s="728">
        <v>339484</v>
      </c>
      <c r="J292" s="728">
        <v>7466659</v>
      </c>
      <c r="K292" s="728">
        <v>2474076</v>
      </c>
      <c r="L292" s="731">
        <v>37702</v>
      </c>
      <c r="M292" s="731"/>
      <c r="N292" s="728">
        <v>512327</v>
      </c>
      <c r="O292" s="728">
        <v>5347302</v>
      </c>
      <c r="P292" s="728">
        <v>0</v>
      </c>
      <c r="Q292" s="731">
        <v>141935</v>
      </c>
      <c r="R292" s="731"/>
      <c r="S292" s="728">
        <v>4220268</v>
      </c>
      <c r="T292" s="732">
        <v>-26315</v>
      </c>
      <c r="U292" s="732">
        <v>4193953</v>
      </c>
    </row>
    <row r="293" spans="1:21" x14ac:dyDescent="0.25">
      <c r="A293" s="729">
        <v>39501</v>
      </c>
      <c r="B293" s="727" t="s">
        <v>1055</v>
      </c>
      <c r="C293" s="730">
        <v>6.7600000000000003E-5</v>
      </c>
      <c r="D293" s="730">
        <v>6.41E-5</v>
      </c>
      <c r="E293" s="728">
        <v>589145</v>
      </c>
      <c r="F293" s="731">
        <v>536368</v>
      </c>
      <c r="G293" s="728">
        <f>VLOOKUP(A293,'[3]TSERS Contributions FY 2017'!$A$2:$C$290,3,FALSE)</f>
        <v>86173</v>
      </c>
      <c r="H293" s="731"/>
      <c r="I293" s="728">
        <v>11627</v>
      </c>
      <c r="J293" s="728">
        <v>255736</v>
      </c>
      <c r="K293" s="728">
        <v>84738</v>
      </c>
      <c r="L293" s="731">
        <v>7622</v>
      </c>
      <c r="M293" s="731"/>
      <c r="N293" s="728">
        <v>17547</v>
      </c>
      <c r="O293" s="728">
        <v>183147</v>
      </c>
      <c r="P293" s="728">
        <v>0</v>
      </c>
      <c r="Q293" s="731">
        <v>20117</v>
      </c>
      <c r="R293" s="731"/>
      <c r="S293" s="728">
        <v>144546</v>
      </c>
      <c r="T293" s="732">
        <v>-5225</v>
      </c>
      <c r="U293" s="732">
        <v>139321</v>
      </c>
    </row>
    <row r="294" spans="1:21" x14ac:dyDescent="0.25">
      <c r="A294" s="729">
        <v>39600</v>
      </c>
      <c r="B294" s="727" t="s">
        <v>1056</v>
      </c>
      <c r="C294" s="730">
        <v>6.5113000000000002E-3</v>
      </c>
      <c r="D294" s="730">
        <v>6.5063999999999999E-3</v>
      </c>
      <c r="E294" s="728">
        <v>59800537</v>
      </c>
      <c r="F294" s="731">
        <v>51663526</v>
      </c>
      <c r="G294" s="728">
        <f>VLOOKUP(A294,'[3]TSERS Contributions FY 2017'!$A$2:$C$290,3,FALSE)</f>
        <v>9361508</v>
      </c>
      <c r="H294" s="731"/>
      <c r="I294" s="728">
        <v>1119970</v>
      </c>
      <c r="J294" s="728">
        <v>24632749</v>
      </c>
      <c r="K294" s="728">
        <v>8162058</v>
      </c>
      <c r="L294" s="731">
        <v>104260</v>
      </c>
      <c r="M294" s="731"/>
      <c r="N294" s="728">
        <v>1690184</v>
      </c>
      <c r="O294" s="728">
        <v>17640922</v>
      </c>
      <c r="P294" s="728">
        <v>0</v>
      </c>
      <c r="Q294" s="731">
        <v>275141</v>
      </c>
      <c r="R294" s="731"/>
      <c r="S294" s="728">
        <v>13922800</v>
      </c>
      <c r="T294" s="732">
        <v>-296819</v>
      </c>
      <c r="U294" s="732">
        <v>13625981</v>
      </c>
    </row>
    <row r="295" spans="1:21" x14ac:dyDescent="0.25">
      <c r="A295" s="729">
        <v>39605</v>
      </c>
      <c r="B295" s="727" t="s">
        <v>1057</v>
      </c>
      <c r="C295" s="730">
        <v>9.6020000000000003E-4</v>
      </c>
      <c r="D295" s="730">
        <v>9.4019999999999998E-4</v>
      </c>
      <c r="E295" s="728">
        <v>8641409</v>
      </c>
      <c r="F295" s="731">
        <v>7618650</v>
      </c>
      <c r="G295" s="728">
        <f>VLOOKUP(A295,'[3]TSERS Contributions FY 2017'!$A$2:$C$290,3,FALSE)</f>
        <v>1388420</v>
      </c>
      <c r="H295" s="731"/>
      <c r="I295" s="728">
        <v>165158</v>
      </c>
      <c r="J295" s="728">
        <v>3632511</v>
      </c>
      <c r="K295" s="728">
        <v>1203632</v>
      </c>
      <c r="L295" s="731">
        <v>173425</v>
      </c>
      <c r="M295" s="731"/>
      <c r="N295" s="728">
        <v>249246</v>
      </c>
      <c r="O295" s="728">
        <v>2601449</v>
      </c>
      <c r="P295" s="728">
        <v>0</v>
      </c>
      <c r="Q295" s="731">
        <v>8892</v>
      </c>
      <c r="R295" s="731"/>
      <c r="S295" s="728">
        <v>2053150</v>
      </c>
      <c r="T295" s="732">
        <v>101530</v>
      </c>
      <c r="U295" s="732">
        <v>2154680</v>
      </c>
    </row>
    <row r="296" spans="1:21" x14ac:dyDescent="0.25">
      <c r="A296" s="729">
        <v>39700</v>
      </c>
      <c r="B296" s="727" t="s">
        <v>1058</v>
      </c>
      <c r="C296" s="730">
        <v>3.7607000000000001E-3</v>
      </c>
      <c r="D296" s="730">
        <v>3.8947000000000001E-3</v>
      </c>
      <c r="E296" s="728">
        <v>35796316</v>
      </c>
      <c r="F296" s="731">
        <v>29839052</v>
      </c>
      <c r="G296" s="728">
        <f>VLOOKUP(A296,'[3]TSERS Contributions FY 2017'!$A$2:$C$290,3,FALSE)</f>
        <v>5174963</v>
      </c>
      <c r="H296" s="731"/>
      <c r="I296" s="728">
        <v>646855</v>
      </c>
      <c r="J296" s="728">
        <v>14227018</v>
      </c>
      <c r="K296" s="728">
        <v>4714120</v>
      </c>
      <c r="L296" s="731">
        <v>165659</v>
      </c>
      <c r="M296" s="731"/>
      <c r="N296" s="728">
        <v>976191</v>
      </c>
      <c r="O296" s="728">
        <v>10188782</v>
      </c>
      <c r="P296" s="728">
        <v>0</v>
      </c>
      <c r="Q296" s="731">
        <v>1026492</v>
      </c>
      <c r="R296" s="731"/>
      <c r="S296" s="728">
        <v>8041324</v>
      </c>
      <c r="T296" s="732">
        <v>-329498</v>
      </c>
      <c r="U296" s="732">
        <v>7711826</v>
      </c>
    </row>
    <row r="297" spans="1:21" x14ac:dyDescent="0.25">
      <c r="A297" s="729">
        <v>39703</v>
      </c>
      <c r="B297" s="727" t="s">
        <v>1059</v>
      </c>
      <c r="C297" s="730">
        <v>1.5559999999999999E-4</v>
      </c>
      <c r="D297" s="730">
        <v>1.199E-4</v>
      </c>
      <c r="E297" s="728">
        <v>1102005</v>
      </c>
      <c r="F297" s="731">
        <v>1234599</v>
      </c>
      <c r="G297" s="728">
        <f>VLOOKUP(A297,'[3]TSERS Contributions FY 2017'!$A$2:$C$290,3,FALSE)</f>
        <v>176927</v>
      </c>
      <c r="H297" s="731"/>
      <c r="I297" s="728">
        <v>26764</v>
      </c>
      <c r="J297" s="728">
        <v>588647</v>
      </c>
      <c r="K297" s="728">
        <v>195048</v>
      </c>
      <c r="L297" s="731">
        <v>262738</v>
      </c>
      <c r="M297" s="731"/>
      <c r="N297" s="728">
        <v>40390</v>
      </c>
      <c r="O297" s="728">
        <v>421564</v>
      </c>
      <c r="P297" s="728">
        <v>0</v>
      </c>
      <c r="Q297" s="731">
        <v>0</v>
      </c>
      <c r="R297" s="731"/>
      <c r="S297" s="728">
        <v>332712</v>
      </c>
      <c r="T297" s="732">
        <v>161253</v>
      </c>
      <c r="U297" s="732">
        <v>493965</v>
      </c>
    </row>
    <row r="298" spans="1:21" x14ac:dyDescent="0.25">
      <c r="A298" s="729">
        <v>39705</v>
      </c>
      <c r="B298" s="727" t="s">
        <v>1060</v>
      </c>
      <c r="C298" s="730">
        <v>9.0359999999999995E-4</v>
      </c>
      <c r="D298" s="730">
        <v>9.0930000000000004E-4</v>
      </c>
      <c r="E298" s="728">
        <v>8357406</v>
      </c>
      <c r="F298" s="731">
        <v>7169561</v>
      </c>
      <c r="G298" s="728">
        <f>VLOOKUP(A298,'[3]TSERS Contributions FY 2017'!$A$2:$C$290,3,FALSE)</f>
        <v>1363369</v>
      </c>
      <c r="H298" s="731"/>
      <c r="I298" s="728">
        <v>155423</v>
      </c>
      <c r="J298" s="728">
        <v>3418388</v>
      </c>
      <c r="K298" s="728">
        <v>1132682</v>
      </c>
      <c r="L298" s="731">
        <v>148579</v>
      </c>
      <c r="M298" s="731"/>
      <c r="N298" s="728">
        <v>234554</v>
      </c>
      <c r="O298" s="728">
        <v>2448104</v>
      </c>
      <c r="P298" s="728">
        <v>0</v>
      </c>
      <c r="Q298" s="731">
        <v>0</v>
      </c>
      <c r="R298" s="731"/>
      <c r="S298" s="728">
        <v>1932125</v>
      </c>
      <c r="T298" s="732">
        <v>111073</v>
      </c>
      <c r="U298" s="732">
        <v>2043197</v>
      </c>
    </row>
    <row r="299" spans="1:21" x14ac:dyDescent="0.25">
      <c r="A299" s="729">
        <v>39800</v>
      </c>
      <c r="B299" s="727" t="s">
        <v>1061</v>
      </c>
      <c r="C299" s="730">
        <v>4.2407E-3</v>
      </c>
      <c r="D299" s="730">
        <v>4.3068999999999998E-3</v>
      </c>
      <c r="E299" s="728">
        <v>39584860</v>
      </c>
      <c r="F299" s="731">
        <v>33647584</v>
      </c>
      <c r="G299" s="728">
        <f>VLOOKUP(A299,'[3]TSERS Contributions FY 2017'!$A$2:$C$290,3,FALSE)</f>
        <v>6020873</v>
      </c>
      <c r="H299" s="731"/>
      <c r="I299" s="728">
        <v>729417</v>
      </c>
      <c r="J299" s="728">
        <v>16042895</v>
      </c>
      <c r="K299" s="728">
        <v>5315811</v>
      </c>
      <c r="L299" s="731">
        <v>0</v>
      </c>
      <c r="M299" s="731"/>
      <c r="N299" s="728">
        <v>1100788</v>
      </c>
      <c r="O299" s="728">
        <v>11489235</v>
      </c>
      <c r="P299" s="728">
        <v>0</v>
      </c>
      <c r="Q299" s="731">
        <v>753192</v>
      </c>
      <c r="R299" s="731"/>
      <c r="S299" s="728">
        <v>9067685</v>
      </c>
      <c r="T299" s="732">
        <v>-464619</v>
      </c>
      <c r="U299" s="732">
        <v>8603066</v>
      </c>
    </row>
    <row r="300" spans="1:21" x14ac:dyDescent="0.25">
      <c r="A300" s="729">
        <v>39805</v>
      </c>
      <c r="B300" s="727" t="s">
        <v>1062</v>
      </c>
      <c r="C300" s="730">
        <v>5.0589999999999999E-4</v>
      </c>
      <c r="D300" s="730">
        <v>4.8710000000000002E-4</v>
      </c>
      <c r="E300" s="728">
        <v>4476952</v>
      </c>
      <c r="F300" s="731">
        <v>4014034</v>
      </c>
      <c r="G300" s="728">
        <f>VLOOKUP(A300,'[3]TSERS Contributions FY 2017'!$A$2:$C$290,3,FALSE)</f>
        <v>763058</v>
      </c>
      <c r="H300" s="731"/>
      <c r="I300" s="728">
        <v>87017</v>
      </c>
      <c r="J300" s="728">
        <v>1913859</v>
      </c>
      <c r="K300" s="728">
        <v>634157</v>
      </c>
      <c r="L300" s="731">
        <v>138940</v>
      </c>
      <c r="M300" s="731"/>
      <c r="N300" s="728">
        <v>131320</v>
      </c>
      <c r="O300" s="728">
        <v>1370624</v>
      </c>
      <c r="P300" s="728">
        <v>0</v>
      </c>
      <c r="Q300" s="731">
        <v>15722</v>
      </c>
      <c r="R300" s="731"/>
      <c r="S300" s="728">
        <v>1081742</v>
      </c>
      <c r="T300" s="732">
        <v>32304</v>
      </c>
      <c r="U300" s="732">
        <v>1114045</v>
      </c>
    </row>
    <row r="301" spans="1:21" x14ac:dyDescent="0.25">
      <c r="A301" s="729">
        <v>39900</v>
      </c>
      <c r="B301" s="727" t="s">
        <v>1063</v>
      </c>
      <c r="C301" s="730">
        <v>2.1381E-3</v>
      </c>
      <c r="D301" s="730">
        <v>2.1467000000000001E-3</v>
      </c>
      <c r="E301" s="728">
        <v>19730391</v>
      </c>
      <c r="F301" s="731">
        <v>16964628</v>
      </c>
      <c r="G301" s="728">
        <f>VLOOKUP(A301,'[3]TSERS Contributions FY 2017'!$A$2:$C$290,3,FALSE)</f>
        <v>3062723</v>
      </c>
      <c r="H301" s="731"/>
      <c r="I301" s="728">
        <v>367762</v>
      </c>
      <c r="J301" s="728">
        <v>8088597</v>
      </c>
      <c r="K301" s="728">
        <v>2680155</v>
      </c>
      <c r="L301" s="731">
        <v>62913</v>
      </c>
      <c r="M301" s="731"/>
      <c r="N301" s="728">
        <v>555002</v>
      </c>
      <c r="O301" s="728">
        <v>5792707</v>
      </c>
      <c r="P301" s="728">
        <v>0</v>
      </c>
      <c r="Q301" s="731">
        <v>167207</v>
      </c>
      <c r="R301" s="731"/>
      <c r="S301" s="728">
        <v>4571797</v>
      </c>
      <c r="T301" s="732">
        <v>-110419</v>
      </c>
      <c r="U301" s="732">
        <v>4461378</v>
      </c>
    </row>
    <row r="302" spans="1:21" x14ac:dyDescent="0.25">
      <c r="A302" s="729">
        <v>51000</v>
      </c>
      <c r="B302" s="727" t="s">
        <v>1151</v>
      </c>
      <c r="C302" s="730">
        <v>3.04433E-2</v>
      </c>
      <c r="D302" s="730">
        <v>3.3725400000000003E-2</v>
      </c>
      <c r="E302" s="728">
        <v>309971264</v>
      </c>
      <c r="F302" s="731">
        <v>241550568</v>
      </c>
      <c r="G302" s="728">
        <f>VLOOKUP(A302,'[3]TSERS Contributions FY 2017'!$A$2:$C$290,3,FALSE)</f>
        <v>52824372</v>
      </c>
      <c r="H302" s="731"/>
      <c r="I302" s="728">
        <v>5236369</v>
      </c>
      <c r="J302" s="728">
        <v>115169348</v>
      </c>
      <c r="K302" s="728">
        <v>38161346</v>
      </c>
      <c r="L302" s="731">
        <v>1019124</v>
      </c>
      <c r="M302" s="731"/>
      <c r="N302" s="728">
        <v>7902380</v>
      </c>
      <c r="O302" s="728">
        <v>82479363</v>
      </c>
      <c r="P302" s="728">
        <v>0</v>
      </c>
      <c r="Q302" s="731">
        <v>8708097</v>
      </c>
      <c r="R302" s="731"/>
      <c r="S302" s="728">
        <v>65095447</v>
      </c>
      <c r="T302" s="732">
        <v>-1903221</v>
      </c>
      <c r="U302" s="732">
        <v>63192226</v>
      </c>
    </row>
    <row r="303" spans="1:21" x14ac:dyDescent="0.25">
      <c r="A303" s="729">
        <v>51000.2</v>
      </c>
      <c r="B303" s="727" t="s">
        <v>1152</v>
      </c>
      <c r="C303" s="730">
        <v>1.95E-5</v>
      </c>
      <c r="D303" s="730">
        <v>2.34E-5</v>
      </c>
      <c r="E303" s="728">
        <v>215070</v>
      </c>
      <c r="F303" s="731">
        <v>154722</v>
      </c>
      <c r="G303" s="728">
        <v>0</v>
      </c>
      <c r="H303" s="731"/>
      <c r="I303" s="728">
        <v>3354</v>
      </c>
      <c r="J303" s="728">
        <v>73770</v>
      </c>
      <c r="K303" s="728">
        <v>24444</v>
      </c>
      <c r="L303" s="731">
        <v>1148</v>
      </c>
      <c r="M303" s="731"/>
      <c r="N303" s="728">
        <v>5062</v>
      </c>
      <c r="O303" s="728">
        <v>52831</v>
      </c>
      <c r="P303" s="728">
        <v>0</v>
      </c>
      <c r="Q303" s="731">
        <v>36236</v>
      </c>
      <c r="R303" s="731"/>
      <c r="S303" s="728">
        <v>41696</v>
      </c>
      <c r="T303" s="732">
        <v>-13152</v>
      </c>
      <c r="U303" s="732">
        <v>28543</v>
      </c>
    </row>
    <row r="304" spans="1:21" x14ac:dyDescent="0.25">
      <c r="A304" s="729">
        <v>51000.3</v>
      </c>
      <c r="B304" s="727" t="s">
        <v>1153</v>
      </c>
      <c r="C304" s="730">
        <v>7.3510000000000003E-4</v>
      </c>
      <c r="D304" s="730">
        <v>7.8580000000000002E-4</v>
      </c>
      <c r="E304" s="728">
        <v>7222314</v>
      </c>
      <c r="F304" s="731">
        <v>5832608</v>
      </c>
      <c r="G304" s="728">
        <v>0</v>
      </c>
      <c r="H304" s="731"/>
      <c r="I304" s="728">
        <v>126440</v>
      </c>
      <c r="J304" s="728">
        <v>2780940</v>
      </c>
      <c r="K304" s="728">
        <v>921464</v>
      </c>
      <c r="L304" s="731">
        <v>23698</v>
      </c>
      <c r="M304" s="731"/>
      <c r="N304" s="728">
        <v>190815</v>
      </c>
      <c r="O304" s="728">
        <v>1991590</v>
      </c>
      <c r="P304" s="728">
        <v>0</v>
      </c>
      <c r="Q304" s="731">
        <v>64487</v>
      </c>
      <c r="R304" s="731"/>
      <c r="S304" s="728">
        <v>1571829</v>
      </c>
      <c r="T304" s="732">
        <v>4125</v>
      </c>
      <c r="U304" s="732">
        <v>1575954</v>
      </c>
    </row>
    <row r="305" spans="1:21" x14ac:dyDescent="0.25">
      <c r="A305" s="729" t="s">
        <v>1141</v>
      </c>
      <c r="B305" s="727" t="s">
        <v>1145</v>
      </c>
      <c r="C305" s="730">
        <v>3.4900000000000001E-5</v>
      </c>
      <c r="D305" s="730">
        <v>4.1300000000000001E-5</v>
      </c>
      <c r="E305" s="728">
        <v>379590</v>
      </c>
      <c r="F305" s="731">
        <v>276912</v>
      </c>
      <c r="G305" s="728">
        <v>46120</v>
      </c>
      <c r="H305" s="731"/>
      <c r="I305" s="728">
        <v>6003</v>
      </c>
      <c r="J305" s="728">
        <v>132029</v>
      </c>
      <c r="K305" s="728">
        <v>43748</v>
      </c>
      <c r="L305" s="731">
        <v>12967</v>
      </c>
      <c r="M305" s="731"/>
      <c r="N305" s="728">
        <v>9059</v>
      </c>
      <c r="O305" s="728">
        <v>94554</v>
      </c>
      <c r="P305" s="728">
        <v>0</v>
      </c>
      <c r="Q305" s="731">
        <v>28596</v>
      </c>
      <c r="R305" s="731"/>
      <c r="S305" s="728">
        <v>74625</v>
      </c>
      <c r="T305" s="732">
        <v>1008</v>
      </c>
      <c r="U305" s="732">
        <v>75633</v>
      </c>
    </row>
    <row r="307" spans="1:21" s="735" customFormat="1" x14ac:dyDescent="0.25">
      <c r="C307" s="736">
        <v>1</v>
      </c>
      <c r="D307" s="736">
        <v>1</v>
      </c>
      <c r="E307" s="737">
        <v>9191032996</v>
      </c>
      <c r="F307" s="737">
        <v>7934441000</v>
      </c>
      <c r="G307" s="737">
        <f>SUM(G4:G304)</f>
        <v>1435701943</v>
      </c>
      <c r="H307" s="738"/>
      <c r="I307" s="737">
        <v>172004000</v>
      </c>
      <c r="J307" s="737">
        <v>3783077000</v>
      </c>
      <c r="K307" s="737">
        <v>1253522000</v>
      </c>
      <c r="L307" s="737">
        <v>115997289</v>
      </c>
      <c r="M307" s="738"/>
      <c r="N307" s="737">
        <v>259577000</v>
      </c>
      <c r="O307" s="737">
        <v>2709278000</v>
      </c>
      <c r="P307" s="737">
        <v>0</v>
      </c>
      <c r="Q307" s="737">
        <v>115997085</v>
      </c>
      <c r="R307" s="738"/>
      <c r="S307" s="737">
        <v>2138252000</v>
      </c>
      <c r="T307" s="737">
        <v>143</v>
      </c>
      <c r="U307" s="737">
        <v>2138252143</v>
      </c>
    </row>
    <row r="310" spans="1:21" x14ac:dyDescent="0.25">
      <c r="B310" s="723" t="s">
        <v>1527</v>
      </c>
      <c r="C310" s="723" t="s">
        <v>521</v>
      </c>
    </row>
    <row r="311" spans="1:21" x14ac:dyDescent="0.25">
      <c r="B311" s="727" t="s">
        <v>911</v>
      </c>
      <c r="C311" s="734">
        <v>33501</v>
      </c>
      <c r="L311" s="732"/>
    </row>
    <row r="312" spans="1:21" x14ac:dyDescent="0.25">
      <c r="B312" s="727" t="s">
        <v>974</v>
      </c>
      <c r="C312" s="729">
        <v>36301</v>
      </c>
    </row>
    <row r="313" spans="1:21" x14ac:dyDescent="0.25">
      <c r="B313" s="727" t="s">
        <v>779</v>
      </c>
      <c r="C313" s="729">
        <v>10800</v>
      </c>
    </row>
    <row r="314" spans="1:21" x14ac:dyDescent="0.25">
      <c r="B314" s="727" t="s">
        <v>835</v>
      </c>
      <c r="C314" s="729">
        <v>30105</v>
      </c>
    </row>
    <row r="315" spans="1:21" x14ac:dyDescent="0.25">
      <c r="B315" s="727" t="s">
        <v>831</v>
      </c>
      <c r="C315" s="729">
        <v>30100</v>
      </c>
    </row>
    <row r="316" spans="1:21" x14ac:dyDescent="0.25">
      <c r="B316" s="727" t="s">
        <v>836</v>
      </c>
      <c r="C316" s="729">
        <v>30200</v>
      </c>
    </row>
    <row r="317" spans="1:21" x14ac:dyDescent="0.25">
      <c r="B317" s="727" t="s">
        <v>837</v>
      </c>
      <c r="C317" s="729">
        <v>30300</v>
      </c>
    </row>
    <row r="318" spans="1:21" x14ac:dyDescent="0.25">
      <c r="B318" s="727" t="s">
        <v>935</v>
      </c>
      <c r="C318" s="729">
        <v>34901</v>
      </c>
    </row>
    <row r="319" spans="1:21" x14ac:dyDescent="0.25">
      <c r="B319" s="727" t="s">
        <v>838</v>
      </c>
      <c r="C319" s="729">
        <v>30400</v>
      </c>
    </row>
    <row r="320" spans="1:21" x14ac:dyDescent="0.25">
      <c r="B320" s="727" t="s">
        <v>810</v>
      </c>
      <c r="C320" s="729">
        <v>20100</v>
      </c>
    </row>
    <row r="321" spans="2:3" x14ac:dyDescent="0.25">
      <c r="B321" s="727" t="s">
        <v>993</v>
      </c>
      <c r="C321" s="729">
        <v>36901</v>
      </c>
    </row>
    <row r="322" spans="2:3" x14ac:dyDescent="0.25">
      <c r="B322" s="727" t="s">
        <v>907</v>
      </c>
      <c r="C322" s="729">
        <v>33402</v>
      </c>
    </row>
    <row r="323" spans="2:3" x14ac:dyDescent="0.25">
      <c r="B323" s="727" t="s">
        <v>840</v>
      </c>
      <c r="C323" s="729">
        <v>30500</v>
      </c>
    </row>
    <row r="324" spans="2:3" x14ac:dyDescent="0.25">
      <c r="B324" s="727" t="s">
        <v>1008</v>
      </c>
      <c r="C324" s="729">
        <v>37610</v>
      </c>
    </row>
    <row r="325" spans="2:3" x14ac:dyDescent="0.25">
      <c r="B325" s="727" t="s">
        <v>854</v>
      </c>
      <c r="C325" s="729">
        <v>31110</v>
      </c>
    </row>
    <row r="326" spans="2:3" x14ac:dyDescent="0.25">
      <c r="B326" s="727" t="s">
        <v>853</v>
      </c>
      <c r="C326" s="729">
        <v>31105</v>
      </c>
    </row>
    <row r="327" spans="2:3" x14ac:dyDescent="0.25">
      <c r="B327" s="727" t="s">
        <v>841</v>
      </c>
      <c r="C327" s="729">
        <v>30600</v>
      </c>
    </row>
    <row r="328" spans="2:3" x14ac:dyDescent="0.25">
      <c r="B328" s="727" t="s">
        <v>802</v>
      </c>
      <c r="C328" s="729">
        <v>18600</v>
      </c>
    </row>
    <row r="329" spans="2:3" x14ac:dyDescent="0.25">
      <c r="B329" s="727" t="s">
        <v>903</v>
      </c>
      <c r="C329" s="729">
        <v>33206</v>
      </c>
    </row>
    <row r="330" spans="2:3" x14ac:dyDescent="0.25">
      <c r="B330" s="727" t="s">
        <v>844</v>
      </c>
      <c r="C330" s="729">
        <v>30705</v>
      </c>
    </row>
    <row r="331" spans="2:3" x14ac:dyDescent="0.25">
      <c r="B331" s="727" t="s">
        <v>843</v>
      </c>
      <c r="C331" s="729">
        <v>30700</v>
      </c>
    </row>
    <row r="332" spans="2:3" x14ac:dyDescent="0.25">
      <c r="B332" s="727" t="s">
        <v>845</v>
      </c>
      <c r="C332" s="729">
        <v>30800</v>
      </c>
    </row>
    <row r="333" spans="2:3" x14ac:dyDescent="0.25">
      <c r="B333" s="727" t="s">
        <v>1015</v>
      </c>
      <c r="C333" s="729">
        <v>37901</v>
      </c>
    </row>
    <row r="334" spans="2:3" x14ac:dyDescent="0.25">
      <c r="B334" s="727" t="s">
        <v>847</v>
      </c>
      <c r="C334" s="729">
        <v>30905</v>
      </c>
    </row>
    <row r="335" spans="2:3" x14ac:dyDescent="0.25">
      <c r="B335" s="727" t="s">
        <v>846</v>
      </c>
      <c r="C335" s="729">
        <v>30900</v>
      </c>
    </row>
    <row r="336" spans="2:3" x14ac:dyDescent="0.25">
      <c r="B336" s="727" t="s">
        <v>929</v>
      </c>
      <c r="C336" s="729">
        <v>34505</v>
      </c>
    </row>
    <row r="337" spans="2:3" x14ac:dyDescent="0.25">
      <c r="B337" s="727" t="s">
        <v>1038</v>
      </c>
      <c r="C337" s="729">
        <v>38801</v>
      </c>
    </row>
    <row r="338" spans="2:3" x14ac:dyDescent="0.25">
      <c r="B338" s="727" t="s">
        <v>1030</v>
      </c>
      <c r="C338" s="729">
        <v>38601</v>
      </c>
    </row>
    <row r="339" spans="2:3" x14ac:dyDescent="0.25">
      <c r="B339" s="727" t="s">
        <v>849</v>
      </c>
      <c r="C339" s="729">
        <v>31005</v>
      </c>
    </row>
    <row r="340" spans="2:3" x14ac:dyDescent="0.25">
      <c r="B340" s="727" t="s">
        <v>848</v>
      </c>
      <c r="C340" s="729">
        <v>31000</v>
      </c>
    </row>
    <row r="341" spans="2:3" x14ac:dyDescent="0.25">
      <c r="B341" s="727" t="s">
        <v>850</v>
      </c>
      <c r="C341" s="729">
        <v>31100</v>
      </c>
    </row>
    <row r="342" spans="2:3" x14ac:dyDescent="0.25">
      <c r="B342" s="727" t="s">
        <v>855</v>
      </c>
      <c r="C342" s="729">
        <v>31200</v>
      </c>
    </row>
    <row r="343" spans="2:3" x14ac:dyDescent="0.25">
      <c r="B343" s="727" t="s">
        <v>857</v>
      </c>
      <c r="C343" s="729">
        <v>31300</v>
      </c>
    </row>
    <row r="344" spans="2:3" x14ac:dyDescent="0.25">
      <c r="B344" s="727" t="s">
        <v>861</v>
      </c>
      <c r="C344" s="729">
        <v>31405</v>
      </c>
    </row>
    <row r="345" spans="2:3" x14ac:dyDescent="0.25">
      <c r="B345" s="727" t="s">
        <v>860</v>
      </c>
      <c r="C345" s="729">
        <v>31400</v>
      </c>
    </row>
    <row r="346" spans="2:3" x14ac:dyDescent="0.25">
      <c r="B346" s="727" t="s">
        <v>862</v>
      </c>
      <c r="C346" s="729">
        <v>31500</v>
      </c>
    </row>
    <row r="347" spans="2:3" x14ac:dyDescent="0.25">
      <c r="B347" s="727" t="s">
        <v>982</v>
      </c>
      <c r="C347" s="729">
        <v>36505</v>
      </c>
    </row>
    <row r="348" spans="2:3" x14ac:dyDescent="0.25">
      <c r="B348" s="727" t="s">
        <v>980</v>
      </c>
      <c r="C348" s="729">
        <v>36501</v>
      </c>
    </row>
    <row r="349" spans="2:3" x14ac:dyDescent="0.25">
      <c r="B349" s="727" t="s">
        <v>864</v>
      </c>
      <c r="C349" s="729">
        <v>31601</v>
      </c>
    </row>
    <row r="350" spans="2:3" x14ac:dyDescent="0.25">
      <c r="B350" s="727" t="s">
        <v>858</v>
      </c>
      <c r="C350" s="729">
        <v>31301</v>
      </c>
    </row>
    <row r="351" spans="2:3" x14ac:dyDescent="0.25">
      <c r="B351" s="727" t="s">
        <v>865</v>
      </c>
      <c r="C351" s="729">
        <v>31605</v>
      </c>
    </row>
    <row r="352" spans="2:3" x14ac:dyDescent="0.25">
      <c r="B352" s="727" t="s">
        <v>863</v>
      </c>
      <c r="C352" s="729">
        <v>31600</v>
      </c>
    </row>
    <row r="353" spans="2:3" x14ac:dyDescent="0.25">
      <c r="B353" s="727" t="s">
        <v>1049</v>
      </c>
      <c r="C353" s="729">
        <v>39209</v>
      </c>
    </row>
    <row r="354" spans="2:3" x14ac:dyDescent="0.25">
      <c r="B354" s="727" t="s">
        <v>866</v>
      </c>
      <c r="C354" s="729">
        <v>31700</v>
      </c>
    </row>
    <row r="355" spans="2:3" x14ac:dyDescent="0.25">
      <c r="B355" s="727" t="s">
        <v>867</v>
      </c>
      <c r="C355" s="729">
        <v>31800</v>
      </c>
    </row>
    <row r="356" spans="2:3" x14ac:dyDescent="0.25">
      <c r="B356" s="727" t="s">
        <v>868</v>
      </c>
      <c r="C356" s="729">
        <v>31805</v>
      </c>
    </row>
    <row r="357" spans="2:3" x14ac:dyDescent="0.25">
      <c r="B357" s="727" t="s">
        <v>946</v>
      </c>
      <c r="C357" s="729">
        <v>35305</v>
      </c>
    </row>
    <row r="358" spans="2:3" x14ac:dyDescent="0.25">
      <c r="B358" s="727" t="s">
        <v>899</v>
      </c>
      <c r="C358" s="729">
        <v>33202</v>
      </c>
    </row>
    <row r="359" spans="2:3" x14ac:dyDescent="0.25">
      <c r="B359" s="727" t="s">
        <v>963</v>
      </c>
      <c r="C359" s="729">
        <v>36005</v>
      </c>
    </row>
    <row r="360" spans="2:3" x14ac:dyDescent="0.25">
      <c r="B360" s="727" t="s">
        <v>991</v>
      </c>
      <c r="C360" s="729">
        <v>36810</v>
      </c>
    </row>
    <row r="361" spans="2:3" x14ac:dyDescent="0.25">
      <c r="B361" s="727" t="s">
        <v>967</v>
      </c>
      <c r="C361" s="729">
        <v>36009</v>
      </c>
    </row>
    <row r="362" spans="2:3" x14ac:dyDescent="0.25">
      <c r="B362" s="727" t="s">
        <v>958</v>
      </c>
      <c r="C362" s="729">
        <v>36000</v>
      </c>
    </row>
    <row r="363" spans="2:3" x14ac:dyDescent="0.25">
      <c r="B363" s="727" t="s">
        <v>871</v>
      </c>
      <c r="C363" s="729">
        <v>31900</v>
      </c>
    </row>
    <row r="364" spans="2:3" x14ac:dyDescent="0.25">
      <c r="B364" s="727" t="s">
        <v>872</v>
      </c>
      <c r="C364" s="729">
        <v>32000</v>
      </c>
    </row>
    <row r="365" spans="2:3" x14ac:dyDescent="0.25">
      <c r="B365" s="727" t="s">
        <v>948</v>
      </c>
      <c r="C365" s="729">
        <v>35401</v>
      </c>
    </row>
    <row r="366" spans="2:3" x14ac:dyDescent="0.25">
      <c r="B366" s="727" t="s">
        <v>875</v>
      </c>
      <c r="C366" s="729">
        <v>32200</v>
      </c>
    </row>
    <row r="367" spans="2:3" x14ac:dyDescent="0.25">
      <c r="B367" s="727" t="s">
        <v>876</v>
      </c>
      <c r="C367" s="729">
        <v>32300</v>
      </c>
    </row>
    <row r="368" spans="2:3" x14ac:dyDescent="0.25">
      <c r="B368" s="727" t="s">
        <v>877</v>
      </c>
      <c r="C368" s="729">
        <v>32305</v>
      </c>
    </row>
    <row r="369" spans="2:3" x14ac:dyDescent="0.25">
      <c r="B369" s="727" t="s">
        <v>1023</v>
      </c>
      <c r="C369" s="729">
        <v>38210</v>
      </c>
    </row>
    <row r="370" spans="2:3" x14ac:dyDescent="0.25">
      <c r="B370" s="727" t="s">
        <v>832</v>
      </c>
      <c r="C370" s="729">
        <v>30102</v>
      </c>
    </row>
    <row r="371" spans="2:3" x14ac:dyDescent="0.25">
      <c r="B371" s="727" t="s">
        <v>987</v>
      </c>
      <c r="C371" s="729">
        <v>36705</v>
      </c>
    </row>
    <row r="372" spans="2:3" x14ac:dyDescent="0.25">
      <c r="B372" s="727" t="s">
        <v>996</v>
      </c>
      <c r="C372" s="729">
        <v>37005</v>
      </c>
    </row>
    <row r="373" spans="2:3" x14ac:dyDescent="0.25">
      <c r="B373" s="727" t="s">
        <v>878</v>
      </c>
      <c r="C373" s="729">
        <v>32400</v>
      </c>
    </row>
    <row r="374" spans="2:3" x14ac:dyDescent="0.25">
      <c r="B374" s="727" t="s">
        <v>959</v>
      </c>
      <c r="C374" s="729">
        <v>36001</v>
      </c>
    </row>
    <row r="375" spans="2:3" x14ac:dyDescent="0.25">
      <c r="B375" s="727" t="s">
        <v>808</v>
      </c>
      <c r="C375" s="729">
        <v>19005</v>
      </c>
    </row>
    <row r="376" spans="2:3" x14ac:dyDescent="0.25">
      <c r="B376" s="727" t="s">
        <v>961</v>
      </c>
      <c r="C376" s="729">
        <v>36003</v>
      </c>
    </row>
    <row r="377" spans="2:3" x14ac:dyDescent="0.25">
      <c r="B377" s="727" t="s">
        <v>895</v>
      </c>
      <c r="C377" s="729">
        <v>33027</v>
      </c>
    </row>
    <row r="378" spans="2:3" x14ac:dyDescent="0.25">
      <c r="B378" s="727" t="s">
        <v>962</v>
      </c>
      <c r="C378" s="729">
        <v>36004</v>
      </c>
    </row>
    <row r="379" spans="2:3" x14ac:dyDescent="0.25">
      <c r="B379" s="727" t="s">
        <v>883</v>
      </c>
      <c r="C379" s="729">
        <v>32505</v>
      </c>
    </row>
    <row r="380" spans="2:3" x14ac:dyDescent="0.25">
      <c r="B380" s="727" t="s">
        <v>884</v>
      </c>
      <c r="C380" s="729">
        <v>32600</v>
      </c>
    </row>
    <row r="381" spans="2:3" x14ac:dyDescent="0.25">
      <c r="B381" s="727" t="s">
        <v>886</v>
      </c>
      <c r="C381" s="729">
        <v>32700</v>
      </c>
    </row>
    <row r="382" spans="2:3" x14ac:dyDescent="0.25">
      <c r="B382" s="727" t="s">
        <v>887</v>
      </c>
      <c r="C382" s="729">
        <v>32800</v>
      </c>
    </row>
    <row r="383" spans="2:3" x14ac:dyDescent="0.25">
      <c r="B383" s="727" t="s">
        <v>890</v>
      </c>
      <c r="C383" s="729">
        <v>32905</v>
      </c>
    </row>
    <row r="384" spans="2:3" x14ac:dyDescent="0.25">
      <c r="B384" s="727" t="s">
        <v>888</v>
      </c>
      <c r="C384" s="729">
        <v>32900</v>
      </c>
    </row>
    <row r="385" spans="2:3" x14ac:dyDescent="0.25">
      <c r="B385" s="727" t="s">
        <v>893</v>
      </c>
      <c r="C385" s="729">
        <v>33000</v>
      </c>
    </row>
    <row r="386" spans="2:3" x14ac:dyDescent="0.25">
      <c r="B386" s="727" t="s">
        <v>781</v>
      </c>
      <c r="C386" s="729">
        <v>10900</v>
      </c>
    </row>
    <row r="387" spans="2:3" x14ac:dyDescent="0.25">
      <c r="B387" s="727" t="s">
        <v>801</v>
      </c>
      <c r="C387" s="729">
        <v>18400</v>
      </c>
    </row>
    <row r="388" spans="2:3" x14ac:dyDescent="0.25">
      <c r="B388" s="727" t="s">
        <v>794</v>
      </c>
      <c r="C388" s="729">
        <v>12510</v>
      </c>
    </row>
    <row r="389" spans="2:3" x14ac:dyDescent="0.25">
      <c r="B389" s="727" t="s">
        <v>778</v>
      </c>
      <c r="C389" s="729">
        <v>10700</v>
      </c>
    </row>
    <row r="390" spans="2:3" x14ac:dyDescent="0.25">
      <c r="B390" s="727" t="s">
        <v>776</v>
      </c>
      <c r="C390" s="729">
        <v>10400</v>
      </c>
    </row>
    <row r="391" spans="2:3" x14ac:dyDescent="0.25">
      <c r="B391" s="727" t="s">
        <v>826</v>
      </c>
      <c r="C391" s="729">
        <v>22000</v>
      </c>
    </row>
    <row r="392" spans="2:3" x14ac:dyDescent="0.25">
      <c r="B392" s="727" t="s">
        <v>809</v>
      </c>
      <c r="C392" s="729">
        <v>19100</v>
      </c>
    </row>
    <row r="393" spans="2:3" x14ac:dyDescent="0.25">
      <c r="B393" s="727" t="s">
        <v>908</v>
      </c>
      <c r="C393" s="729">
        <v>33403</v>
      </c>
    </row>
    <row r="394" spans="2:3" x14ac:dyDescent="0.25">
      <c r="B394" s="727" t="s">
        <v>896</v>
      </c>
      <c r="C394" s="729">
        <v>33100</v>
      </c>
    </row>
    <row r="395" spans="2:3" x14ac:dyDescent="0.25">
      <c r="B395" s="727" t="s">
        <v>898</v>
      </c>
      <c r="C395" s="729">
        <v>33200</v>
      </c>
    </row>
    <row r="396" spans="2:3" x14ac:dyDescent="0.25">
      <c r="B396" s="727" t="s">
        <v>902</v>
      </c>
      <c r="C396" s="729">
        <v>33205</v>
      </c>
    </row>
    <row r="397" spans="2:3" x14ac:dyDescent="0.25">
      <c r="B397" s="727" t="s">
        <v>812</v>
      </c>
      <c r="C397" s="729">
        <v>20300</v>
      </c>
    </row>
    <row r="398" spans="2:3" x14ac:dyDescent="0.25">
      <c r="B398" s="727" t="s">
        <v>1048</v>
      </c>
      <c r="C398" s="729">
        <v>39208</v>
      </c>
    </row>
    <row r="399" spans="2:3" x14ac:dyDescent="0.25">
      <c r="B399" s="727" t="s">
        <v>874</v>
      </c>
      <c r="C399" s="729">
        <v>32100</v>
      </c>
    </row>
    <row r="400" spans="2:3" x14ac:dyDescent="0.25">
      <c r="B400" s="727" t="s">
        <v>904</v>
      </c>
      <c r="C400" s="729">
        <v>33300</v>
      </c>
    </row>
    <row r="401" spans="2:3" x14ac:dyDescent="0.25">
      <c r="B401" s="727" t="s">
        <v>905</v>
      </c>
      <c r="C401" s="729">
        <v>33305</v>
      </c>
    </row>
    <row r="402" spans="2:3" x14ac:dyDescent="0.25">
      <c r="B402" s="727" t="s">
        <v>995</v>
      </c>
      <c r="C402" s="729">
        <v>37000</v>
      </c>
    </row>
    <row r="403" spans="2:3" x14ac:dyDescent="0.25">
      <c r="B403" s="727" t="s">
        <v>813</v>
      </c>
      <c r="C403" s="729">
        <v>20400</v>
      </c>
    </row>
    <row r="404" spans="2:3" x14ac:dyDescent="0.25">
      <c r="B404" s="727" t="s">
        <v>1034</v>
      </c>
      <c r="C404" s="729">
        <v>38620</v>
      </c>
    </row>
    <row r="405" spans="2:3" x14ac:dyDescent="0.25">
      <c r="B405" s="727" t="s">
        <v>1045</v>
      </c>
      <c r="C405" s="729">
        <v>39201</v>
      </c>
    </row>
    <row r="406" spans="2:3" x14ac:dyDescent="0.25">
      <c r="B406" s="727" t="s">
        <v>786</v>
      </c>
      <c r="C406" s="729">
        <v>11300</v>
      </c>
    </row>
    <row r="407" spans="2:3" x14ac:dyDescent="0.25">
      <c r="B407" s="727" t="s">
        <v>852</v>
      </c>
      <c r="C407" s="729">
        <v>31102</v>
      </c>
    </row>
    <row r="408" spans="2:3" x14ac:dyDescent="0.25">
      <c r="B408" s="727" t="s">
        <v>851</v>
      </c>
      <c r="C408" s="729">
        <v>31101</v>
      </c>
    </row>
    <row r="409" spans="2:3" x14ac:dyDescent="0.25">
      <c r="B409" s="727" t="s">
        <v>814</v>
      </c>
      <c r="C409" s="729">
        <v>20600</v>
      </c>
    </row>
    <row r="410" spans="2:3" x14ac:dyDescent="0.25">
      <c r="B410" s="727" t="s">
        <v>885</v>
      </c>
      <c r="C410" s="729">
        <v>32605</v>
      </c>
    </row>
    <row r="411" spans="2:3" x14ac:dyDescent="0.25">
      <c r="B411" s="727" t="s">
        <v>1539</v>
      </c>
      <c r="C411" s="733">
        <v>36310</v>
      </c>
    </row>
    <row r="412" spans="2:3" x14ac:dyDescent="0.25">
      <c r="B412" s="727" t="s">
        <v>909</v>
      </c>
      <c r="C412" s="729">
        <v>33405</v>
      </c>
    </row>
    <row r="413" spans="2:3" x14ac:dyDescent="0.25">
      <c r="B413" s="727" t="s">
        <v>910</v>
      </c>
      <c r="C413" s="734">
        <v>33500</v>
      </c>
    </row>
    <row r="414" spans="2:3" x14ac:dyDescent="0.25">
      <c r="B414" s="727" t="s">
        <v>913</v>
      </c>
      <c r="C414" s="729">
        <v>33605</v>
      </c>
    </row>
    <row r="415" spans="2:3" x14ac:dyDescent="0.25">
      <c r="B415" s="727" t="s">
        <v>984</v>
      </c>
      <c r="C415" s="729">
        <v>36601</v>
      </c>
    </row>
    <row r="416" spans="2:3" x14ac:dyDescent="0.25">
      <c r="B416" s="727" t="s">
        <v>912</v>
      </c>
      <c r="C416" s="734">
        <v>33600</v>
      </c>
    </row>
    <row r="417" spans="2:3" x14ac:dyDescent="0.25">
      <c r="B417" s="727" t="s">
        <v>914</v>
      </c>
      <c r="C417" s="729">
        <v>33700</v>
      </c>
    </row>
    <row r="418" spans="2:3" x14ac:dyDescent="0.25">
      <c r="B418" s="727" t="s">
        <v>792</v>
      </c>
      <c r="C418" s="729">
        <v>12160</v>
      </c>
    </row>
    <row r="419" spans="2:3" x14ac:dyDescent="0.25">
      <c r="B419" s="727" t="s">
        <v>790</v>
      </c>
      <c r="C419" s="729">
        <v>12100</v>
      </c>
    </row>
    <row r="420" spans="2:3" x14ac:dyDescent="0.25">
      <c r="B420" s="727" t="s">
        <v>915</v>
      </c>
      <c r="C420" s="729">
        <v>33800</v>
      </c>
    </row>
    <row r="421" spans="2:3" x14ac:dyDescent="0.25">
      <c r="B421" s="727" t="s">
        <v>842</v>
      </c>
      <c r="C421" s="729">
        <v>30601</v>
      </c>
    </row>
    <row r="422" spans="2:3" x14ac:dyDescent="0.25">
      <c r="B422" s="727" t="s">
        <v>916</v>
      </c>
      <c r="C422" s="729">
        <v>33900</v>
      </c>
    </row>
    <row r="423" spans="2:3" x14ac:dyDescent="0.25">
      <c r="B423" s="727" t="s">
        <v>1026</v>
      </c>
      <c r="C423" s="729">
        <v>38402</v>
      </c>
    </row>
    <row r="424" spans="2:3" x14ac:dyDescent="0.25">
      <c r="B424" s="727" t="s">
        <v>917</v>
      </c>
      <c r="C424" s="729">
        <v>34000</v>
      </c>
    </row>
    <row r="425" spans="2:3" x14ac:dyDescent="0.25">
      <c r="B425" s="727" t="s">
        <v>918</v>
      </c>
      <c r="C425" s="729">
        <v>34100</v>
      </c>
    </row>
    <row r="426" spans="2:3" x14ac:dyDescent="0.25">
      <c r="B426" s="727" t="s">
        <v>919</v>
      </c>
      <c r="C426" s="729">
        <v>34105</v>
      </c>
    </row>
    <row r="427" spans="2:3" x14ac:dyDescent="0.25">
      <c r="B427" s="727" t="s">
        <v>921</v>
      </c>
      <c r="C427" s="729">
        <v>34205</v>
      </c>
    </row>
    <row r="428" spans="2:3" x14ac:dyDescent="0.25">
      <c r="B428" s="727" t="s">
        <v>920</v>
      </c>
      <c r="C428" s="729">
        <v>34200</v>
      </c>
    </row>
    <row r="429" spans="2:3" x14ac:dyDescent="0.25">
      <c r="B429" s="727" t="s">
        <v>1051</v>
      </c>
      <c r="C429" s="729">
        <v>39301</v>
      </c>
    </row>
    <row r="430" spans="2:3" x14ac:dyDescent="0.25">
      <c r="B430" s="727" t="s">
        <v>924</v>
      </c>
      <c r="C430" s="729">
        <v>34300</v>
      </c>
    </row>
    <row r="431" spans="2:3" x14ac:dyDescent="0.25">
      <c r="B431" s="727" t="s">
        <v>925</v>
      </c>
      <c r="C431" s="729">
        <v>34400</v>
      </c>
    </row>
    <row r="432" spans="2:3" x14ac:dyDescent="0.25">
      <c r="B432" s="727" t="s">
        <v>926</v>
      </c>
      <c r="C432" s="729">
        <v>34405</v>
      </c>
    </row>
    <row r="433" spans="2:3" x14ac:dyDescent="0.25">
      <c r="B433" s="727" t="s">
        <v>793</v>
      </c>
      <c r="C433" s="729">
        <v>12220</v>
      </c>
    </row>
    <row r="434" spans="2:3" x14ac:dyDescent="0.25">
      <c r="B434" s="727" t="s">
        <v>900</v>
      </c>
      <c r="C434" s="729">
        <v>33203</v>
      </c>
    </row>
    <row r="435" spans="2:3" x14ac:dyDescent="0.25">
      <c r="B435" s="727" t="s">
        <v>1053</v>
      </c>
      <c r="C435" s="729">
        <v>39401</v>
      </c>
    </row>
    <row r="436" spans="2:3" x14ac:dyDescent="0.25">
      <c r="B436" s="727" t="s">
        <v>927</v>
      </c>
      <c r="C436" s="729">
        <v>34500</v>
      </c>
    </row>
    <row r="437" spans="2:3" x14ac:dyDescent="0.25">
      <c r="B437" s="727" t="s">
        <v>930</v>
      </c>
      <c r="C437" s="729">
        <v>34600</v>
      </c>
    </row>
    <row r="438" spans="2:3" x14ac:dyDescent="0.25">
      <c r="B438" s="727" t="s">
        <v>869</v>
      </c>
      <c r="C438" s="729">
        <v>31810</v>
      </c>
    </row>
    <row r="439" spans="2:3" x14ac:dyDescent="0.25">
      <c r="B439" s="727" t="s">
        <v>1152</v>
      </c>
      <c r="C439" s="729">
        <v>51000.2</v>
      </c>
    </row>
    <row r="440" spans="2:3" x14ac:dyDescent="0.25">
      <c r="B440" s="727" t="s">
        <v>1153</v>
      </c>
      <c r="C440" s="729">
        <v>51000.3</v>
      </c>
    </row>
    <row r="441" spans="2:3" x14ac:dyDescent="0.25">
      <c r="B441" s="727" t="s">
        <v>1151</v>
      </c>
      <c r="C441" s="729">
        <v>51000</v>
      </c>
    </row>
    <row r="442" spans="2:3" x14ac:dyDescent="0.25">
      <c r="B442" s="727" t="s">
        <v>932</v>
      </c>
      <c r="C442" s="729">
        <v>34700</v>
      </c>
    </row>
    <row r="443" spans="2:3" x14ac:dyDescent="0.25">
      <c r="B443" s="727" t="s">
        <v>933</v>
      </c>
      <c r="C443" s="729">
        <v>34800</v>
      </c>
    </row>
    <row r="444" spans="2:3" x14ac:dyDescent="0.25">
      <c r="B444" s="727" t="s">
        <v>783</v>
      </c>
      <c r="C444" s="729">
        <v>10930</v>
      </c>
    </row>
    <row r="445" spans="2:3" x14ac:dyDescent="0.25">
      <c r="B445" s="727" t="s">
        <v>795</v>
      </c>
      <c r="C445" s="729">
        <v>12600</v>
      </c>
    </row>
    <row r="446" spans="2:3" x14ac:dyDescent="0.25">
      <c r="B446" s="727" t="s">
        <v>1117</v>
      </c>
      <c r="C446" s="729">
        <v>33207</v>
      </c>
    </row>
    <row r="447" spans="2:3" x14ac:dyDescent="0.25">
      <c r="B447" s="727" t="s">
        <v>889</v>
      </c>
      <c r="C447" s="729">
        <v>32901</v>
      </c>
    </row>
    <row r="448" spans="2:3" x14ac:dyDescent="0.25">
      <c r="B448" s="727" t="s">
        <v>934</v>
      </c>
      <c r="C448" s="729">
        <v>34900</v>
      </c>
    </row>
    <row r="449" spans="2:3" x14ac:dyDescent="0.25">
      <c r="B449" s="727" t="s">
        <v>1020</v>
      </c>
      <c r="C449" s="729">
        <v>38105</v>
      </c>
    </row>
    <row r="450" spans="2:3" x14ac:dyDescent="0.25">
      <c r="B450" s="727" t="s">
        <v>939</v>
      </c>
      <c r="C450" s="729">
        <v>35000</v>
      </c>
    </row>
    <row r="451" spans="2:3" x14ac:dyDescent="0.25">
      <c r="B451" s="727" t="s">
        <v>897</v>
      </c>
      <c r="C451" s="729">
        <v>33105</v>
      </c>
    </row>
    <row r="452" spans="2:3" x14ac:dyDescent="0.25">
      <c r="B452" s="727" t="s">
        <v>941</v>
      </c>
      <c r="C452" s="729">
        <v>35100</v>
      </c>
    </row>
    <row r="453" spans="2:3" x14ac:dyDescent="0.25">
      <c r="B453" s="727" t="s">
        <v>942</v>
      </c>
      <c r="C453" s="729">
        <v>35105</v>
      </c>
    </row>
    <row r="454" spans="2:3" x14ac:dyDescent="0.25">
      <c r="B454" s="727" t="s">
        <v>944</v>
      </c>
      <c r="C454" s="729">
        <v>35200</v>
      </c>
    </row>
    <row r="455" spans="2:3" x14ac:dyDescent="0.25">
      <c r="B455" s="727" t="s">
        <v>859</v>
      </c>
      <c r="C455" s="729">
        <v>31320</v>
      </c>
    </row>
    <row r="456" spans="2:3" x14ac:dyDescent="0.25">
      <c r="B456" s="727" t="s">
        <v>960</v>
      </c>
      <c r="C456" s="729">
        <v>36002</v>
      </c>
    </row>
    <row r="457" spans="2:3" x14ac:dyDescent="0.25">
      <c r="B457" s="727" t="s">
        <v>949</v>
      </c>
      <c r="C457" s="729">
        <v>35402</v>
      </c>
    </row>
    <row r="458" spans="2:3" x14ac:dyDescent="0.25">
      <c r="B458" s="727" t="s">
        <v>969</v>
      </c>
      <c r="C458" s="729">
        <v>36102</v>
      </c>
    </row>
    <row r="459" spans="2:3" x14ac:dyDescent="0.25">
      <c r="B459" s="727" t="s">
        <v>1118</v>
      </c>
      <c r="C459" s="729">
        <v>33208</v>
      </c>
    </row>
    <row r="460" spans="2:3" x14ac:dyDescent="0.25">
      <c r="B460" s="727" t="s">
        <v>796</v>
      </c>
      <c r="C460" s="729">
        <v>12700</v>
      </c>
    </row>
    <row r="461" spans="2:3" x14ac:dyDescent="0.25">
      <c r="B461" s="727" t="s">
        <v>964</v>
      </c>
      <c r="C461" s="729">
        <v>36006</v>
      </c>
    </row>
    <row r="462" spans="2:3" x14ac:dyDescent="0.25">
      <c r="B462" s="727" t="s">
        <v>950</v>
      </c>
      <c r="C462" s="729">
        <v>35405</v>
      </c>
    </row>
    <row r="463" spans="2:3" x14ac:dyDescent="0.25">
      <c r="B463" s="727" t="s">
        <v>947</v>
      </c>
      <c r="C463" s="729">
        <v>35400</v>
      </c>
    </row>
    <row r="464" spans="2:3" x14ac:dyDescent="0.25">
      <c r="B464" s="727" t="s">
        <v>891</v>
      </c>
      <c r="C464" s="729">
        <v>32910</v>
      </c>
    </row>
    <row r="465" spans="2:3" x14ac:dyDescent="0.25">
      <c r="B465" s="727" t="s">
        <v>951</v>
      </c>
      <c r="C465" s="729">
        <v>35500</v>
      </c>
    </row>
    <row r="466" spans="2:3" x14ac:dyDescent="0.25">
      <c r="B466" s="727" t="s">
        <v>791</v>
      </c>
      <c r="C466" s="729">
        <v>12150</v>
      </c>
    </row>
    <row r="467" spans="2:3" x14ac:dyDescent="0.25">
      <c r="B467" s="727" t="s">
        <v>952</v>
      </c>
      <c r="C467" s="729">
        <v>35600</v>
      </c>
    </row>
    <row r="468" spans="2:3" x14ac:dyDescent="0.25">
      <c r="B468" s="727" t="s">
        <v>953</v>
      </c>
      <c r="C468" s="729">
        <v>35700</v>
      </c>
    </row>
    <row r="469" spans="2:3" x14ac:dyDescent="0.25">
      <c r="B469" s="727" t="s">
        <v>955</v>
      </c>
      <c r="C469" s="729">
        <v>35805</v>
      </c>
    </row>
    <row r="470" spans="2:3" x14ac:dyDescent="0.25">
      <c r="B470" s="727" t="s">
        <v>954</v>
      </c>
      <c r="C470" s="729">
        <v>35800</v>
      </c>
    </row>
    <row r="471" spans="2:3" x14ac:dyDescent="0.25">
      <c r="B471" s="727" t="s">
        <v>970</v>
      </c>
      <c r="C471" s="729">
        <v>36105</v>
      </c>
    </row>
    <row r="472" spans="2:3" x14ac:dyDescent="0.25">
      <c r="B472" s="727" t="s">
        <v>956</v>
      </c>
      <c r="C472" s="729">
        <v>35900</v>
      </c>
    </row>
    <row r="473" spans="2:3" x14ac:dyDescent="0.25">
      <c r="B473" s="727" t="s">
        <v>957</v>
      </c>
      <c r="C473" s="729">
        <v>35905</v>
      </c>
    </row>
    <row r="474" spans="2:3" x14ac:dyDescent="0.25">
      <c r="B474" s="727" t="s">
        <v>1031</v>
      </c>
      <c r="C474" s="729">
        <v>38602</v>
      </c>
    </row>
    <row r="475" spans="2:3" x14ac:dyDescent="0.25">
      <c r="B475" s="727" t="s">
        <v>937</v>
      </c>
      <c r="C475" s="729">
        <v>34905</v>
      </c>
    </row>
    <row r="476" spans="2:3" x14ac:dyDescent="0.25">
      <c r="B476" s="727" t="s">
        <v>968</v>
      </c>
      <c r="C476" s="729">
        <v>36100</v>
      </c>
    </row>
    <row r="477" spans="2:3" x14ac:dyDescent="0.25">
      <c r="B477" s="727" t="s">
        <v>972</v>
      </c>
      <c r="C477" s="729">
        <v>36205</v>
      </c>
    </row>
    <row r="478" spans="2:3" x14ac:dyDescent="0.25">
      <c r="B478" s="727" t="s">
        <v>971</v>
      </c>
      <c r="C478" s="729">
        <v>36200</v>
      </c>
    </row>
    <row r="479" spans="2:3" x14ac:dyDescent="0.25">
      <c r="B479" s="727" t="s">
        <v>973</v>
      </c>
      <c r="C479" s="729">
        <v>36300</v>
      </c>
    </row>
    <row r="480" spans="2:3" x14ac:dyDescent="0.25">
      <c r="B480" s="727" t="s">
        <v>938</v>
      </c>
      <c r="C480" s="729">
        <v>34910</v>
      </c>
    </row>
    <row r="481" spans="2:3" x14ac:dyDescent="0.25">
      <c r="B481" s="727" t="s">
        <v>1033</v>
      </c>
      <c r="C481" s="729">
        <v>38610</v>
      </c>
    </row>
    <row r="482" spans="2:3" x14ac:dyDescent="0.25">
      <c r="B482" s="727" t="s">
        <v>928</v>
      </c>
      <c r="C482" s="729">
        <v>34501</v>
      </c>
    </row>
    <row r="483" spans="2:3" x14ac:dyDescent="0.25">
      <c r="B483" s="727" t="s">
        <v>1036</v>
      </c>
      <c r="C483" s="729">
        <v>38701</v>
      </c>
    </row>
    <row r="484" spans="2:3" x14ac:dyDescent="0.25">
      <c r="B484" s="727" t="s">
        <v>806</v>
      </c>
      <c r="C484" s="729">
        <v>18740</v>
      </c>
    </row>
    <row r="485" spans="2:3" x14ac:dyDescent="0.25">
      <c r="B485" s="727" t="s">
        <v>816</v>
      </c>
      <c r="C485" s="729">
        <v>20800</v>
      </c>
    </row>
    <row r="486" spans="2:3" x14ac:dyDescent="0.25">
      <c r="B486" s="727" t="s">
        <v>805</v>
      </c>
      <c r="C486" s="729">
        <v>18690</v>
      </c>
    </row>
    <row r="487" spans="2:3" x14ac:dyDescent="0.25">
      <c r="B487" s="727" t="s">
        <v>785</v>
      </c>
      <c r="C487" s="729">
        <v>10950</v>
      </c>
    </row>
    <row r="488" spans="2:3" x14ac:dyDescent="0.25">
      <c r="B488" s="727" t="s">
        <v>811</v>
      </c>
      <c r="C488" s="729">
        <v>20200</v>
      </c>
    </row>
    <row r="489" spans="2:3" x14ac:dyDescent="0.25">
      <c r="B489" s="727" t="s">
        <v>807</v>
      </c>
      <c r="C489" s="729">
        <v>18780</v>
      </c>
    </row>
    <row r="490" spans="2:3" x14ac:dyDescent="0.25">
      <c r="B490" s="727" t="s">
        <v>819</v>
      </c>
      <c r="C490" s="729">
        <v>21300</v>
      </c>
    </row>
    <row r="491" spans="2:3" x14ac:dyDescent="0.25">
      <c r="B491" s="727" t="s">
        <v>1150</v>
      </c>
      <c r="C491" s="729">
        <v>37001</v>
      </c>
    </row>
    <row r="492" spans="2:3" x14ac:dyDescent="0.25">
      <c r="B492" s="727" t="s">
        <v>894</v>
      </c>
      <c r="C492" s="729">
        <v>33001</v>
      </c>
    </row>
    <row r="493" spans="2:3" x14ac:dyDescent="0.25">
      <c r="B493" s="727" t="s">
        <v>978</v>
      </c>
      <c r="C493" s="729">
        <v>36405</v>
      </c>
    </row>
    <row r="494" spans="2:3" x14ac:dyDescent="0.25">
      <c r="B494" s="727" t="s">
        <v>977</v>
      </c>
      <c r="C494" s="729">
        <v>36400</v>
      </c>
    </row>
    <row r="495" spans="2:3" x14ac:dyDescent="0.25">
      <c r="B495" s="727" t="s">
        <v>815</v>
      </c>
      <c r="C495" s="729">
        <v>20700</v>
      </c>
    </row>
    <row r="496" spans="2:3" x14ac:dyDescent="0.25">
      <c r="B496" s="727" t="s">
        <v>799</v>
      </c>
      <c r="C496" s="729">
        <v>14200</v>
      </c>
    </row>
    <row r="497" spans="2:3" x14ac:dyDescent="0.25">
      <c r="B497" s="727" t="s">
        <v>787</v>
      </c>
      <c r="C497" s="729">
        <v>11310</v>
      </c>
    </row>
    <row r="498" spans="2:3" x14ac:dyDescent="0.25">
      <c r="B498" s="727" t="s">
        <v>943</v>
      </c>
      <c r="C498" s="729">
        <v>35106</v>
      </c>
    </row>
    <row r="499" spans="2:3" x14ac:dyDescent="0.25">
      <c r="B499" s="727" t="s">
        <v>882</v>
      </c>
      <c r="C499" s="729">
        <v>32500</v>
      </c>
    </row>
    <row r="500" spans="2:3" x14ac:dyDescent="0.25">
      <c r="B500" s="727" t="s">
        <v>979</v>
      </c>
      <c r="C500" s="729">
        <v>36500</v>
      </c>
    </row>
    <row r="501" spans="2:3" x14ac:dyDescent="0.25">
      <c r="B501" s="727" t="s">
        <v>870</v>
      </c>
      <c r="C501" s="729">
        <v>31820</v>
      </c>
    </row>
    <row r="502" spans="2:3" x14ac:dyDescent="0.25">
      <c r="B502" s="727" t="s">
        <v>803</v>
      </c>
      <c r="C502" s="729">
        <v>18640</v>
      </c>
    </row>
    <row r="503" spans="2:3" x14ac:dyDescent="0.25">
      <c r="B503" s="727" t="s">
        <v>775</v>
      </c>
      <c r="C503" s="729">
        <v>10200</v>
      </c>
    </row>
    <row r="504" spans="2:3" x14ac:dyDescent="0.25">
      <c r="B504" s="727" t="s">
        <v>983</v>
      </c>
      <c r="C504" s="729">
        <v>36600</v>
      </c>
    </row>
    <row r="505" spans="2:3" x14ac:dyDescent="0.25">
      <c r="B505" s="727" t="s">
        <v>780</v>
      </c>
      <c r="C505" s="729">
        <v>10850</v>
      </c>
    </row>
    <row r="506" spans="2:3" x14ac:dyDescent="0.25">
      <c r="B506" s="727" t="s">
        <v>782</v>
      </c>
      <c r="C506" s="729">
        <v>10910</v>
      </c>
    </row>
    <row r="507" spans="2:3" x14ac:dyDescent="0.25">
      <c r="B507" s="727" t="s">
        <v>784</v>
      </c>
      <c r="C507" s="729">
        <v>10940</v>
      </c>
    </row>
    <row r="508" spans="2:3" x14ac:dyDescent="0.25">
      <c r="B508" s="727" t="s">
        <v>985</v>
      </c>
      <c r="C508" s="729">
        <v>36700</v>
      </c>
    </row>
    <row r="509" spans="2:3" x14ac:dyDescent="0.25">
      <c r="B509" s="727" t="s">
        <v>990</v>
      </c>
      <c r="C509" s="729">
        <v>36802</v>
      </c>
    </row>
    <row r="510" spans="2:3" x14ac:dyDescent="0.25">
      <c r="B510" s="727" t="s">
        <v>988</v>
      </c>
      <c r="C510" s="729">
        <v>36800</v>
      </c>
    </row>
    <row r="511" spans="2:3" x14ac:dyDescent="0.25">
      <c r="B511" s="727" t="s">
        <v>989</v>
      </c>
      <c r="C511" s="729">
        <v>36801</v>
      </c>
    </row>
    <row r="512" spans="2:3" x14ac:dyDescent="0.25">
      <c r="B512" s="727" t="s">
        <v>994</v>
      </c>
      <c r="C512" s="729">
        <v>36905</v>
      </c>
    </row>
    <row r="513" spans="2:3" x14ac:dyDescent="0.25">
      <c r="B513" s="727" t="s">
        <v>992</v>
      </c>
      <c r="C513" s="729">
        <v>36900</v>
      </c>
    </row>
    <row r="514" spans="2:3" x14ac:dyDescent="0.25">
      <c r="B514" s="727" t="s">
        <v>997</v>
      </c>
      <c r="C514" s="729">
        <v>37100</v>
      </c>
    </row>
    <row r="515" spans="2:3" x14ac:dyDescent="0.25">
      <c r="B515" s="727" t="s">
        <v>998</v>
      </c>
      <c r="C515" s="729">
        <v>37200</v>
      </c>
    </row>
    <row r="516" spans="2:3" x14ac:dyDescent="0.25">
      <c r="B516" s="727" t="s">
        <v>999</v>
      </c>
      <c r="C516" s="729">
        <v>37300</v>
      </c>
    </row>
    <row r="517" spans="2:3" x14ac:dyDescent="0.25">
      <c r="B517" s="727" t="s">
        <v>1001</v>
      </c>
      <c r="C517" s="729">
        <v>37305</v>
      </c>
    </row>
    <row r="518" spans="2:3" x14ac:dyDescent="0.25">
      <c r="B518" s="727" t="s">
        <v>966</v>
      </c>
      <c r="C518" s="729">
        <v>36008</v>
      </c>
    </row>
    <row r="519" spans="2:3" x14ac:dyDescent="0.25">
      <c r="B519" s="727" t="s">
        <v>1059</v>
      </c>
      <c r="C519" s="729">
        <v>39703</v>
      </c>
    </row>
    <row r="520" spans="2:3" x14ac:dyDescent="0.25">
      <c r="B520" s="727" t="s">
        <v>1119</v>
      </c>
      <c r="C520" s="729">
        <v>33209</v>
      </c>
    </row>
    <row r="521" spans="2:3" x14ac:dyDescent="0.25">
      <c r="B521" s="727" t="s">
        <v>1003</v>
      </c>
      <c r="C521" s="729">
        <v>37405</v>
      </c>
    </row>
    <row r="522" spans="2:3" x14ac:dyDescent="0.25">
      <c r="B522" s="727" t="s">
        <v>1002</v>
      </c>
      <c r="C522" s="729">
        <v>37400</v>
      </c>
    </row>
    <row r="523" spans="2:3" x14ac:dyDescent="0.25">
      <c r="B523" s="727" t="s">
        <v>1004</v>
      </c>
      <c r="C523" s="729">
        <v>37500</v>
      </c>
    </row>
    <row r="524" spans="2:3" x14ac:dyDescent="0.25">
      <c r="B524" s="727" t="s">
        <v>1007</v>
      </c>
      <c r="C524" s="729">
        <v>37605</v>
      </c>
    </row>
    <row r="525" spans="2:3" x14ac:dyDescent="0.25">
      <c r="B525" s="727" t="s">
        <v>1005</v>
      </c>
      <c r="C525" s="729">
        <v>37600</v>
      </c>
    </row>
    <row r="526" spans="2:3" x14ac:dyDescent="0.25">
      <c r="B526" s="727" t="s">
        <v>797</v>
      </c>
      <c r="C526" s="729">
        <v>13500</v>
      </c>
    </row>
    <row r="527" spans="2:3" x14ac:dyDescent="0.25">
      <c r="B527" s="727" t="s">
        <v>1009</v>
      </c>
      <c r="C527" s="729">
        <v>37700</v>
      </c>
    </row>
    <row r="528" spans="2:3" x14ac:dyDescent="0.25">
      <c r="B528" s="727" t="s">
        <v>1010</v>
      </c>
      <c r="C528" s="729">
        <v>37705</v>
      </c>
    </row>
    <row r="529" spans="2:3" x14ac:dyDescent="0.25">
      <c r="B529" s="727" t="s">
        <v>833</v>
      </c>
      <c r="C529" s="729">
        <v>30103</v>
      </c>
    </row>
    <row r="530" spans="2:3" x14ac:dyDescent="0.25">
      <c r="B530" s="727" t="s">
        <v>922</v>
      </c>
      <c r="C530" s="729">
        <v>34220</v>
      </c>
    </row>
    <row r="531" spans="2:3" x14ac:dyDescent="0.25">
      <c r="B531" s="727" t="s">
        <v>931</v>
      </c>
      <c r="C531" s="729">
        <v>34605</v>
      </c>
    </row>
    <row r="532" spans="2:3" x14ac:dyDescent="0.25">
      <c r="B532" s="727" t="s">
        <v>1013</v>
      </c>
      <c r="C532" s="729">
        <v>37805</v>
      </c>
    </row>
    <row r="533" spans="2:3" x14ac:dyDescent="0.25">
      <c r="B533" s="727" t="s">
        <v>1011</v>
      </c>
      <c r="C533" s="729">
        <v>37800</v>
      </c>
    </row>
    <row r="534" spans="2:3" x14ac:dyDescent="0.25">
      <c r="B534" s="727" t="s">
        <v>1016</v>
      </c>
      <c r="C534" s="729">
        <v>37905</v>
      </c>
    </row>
    <row r="535" spans="2:3" x14ac:dyDescent="0.25">
      <c r="B535" s="727" t="s">
        <v>1014</v>
      </c>
      <c r="C535" s="729">
        <v>37900</v>
      </c>
    </row>
    <row r="536" spans="2:3" x14ac:dyDescent="0.25">
      <c r="B536" s="727" t="s">
        <v>1018</v>
      </c>
      <c r="C536" s="729">
        <v>38005</v>
      </c>
    </row>
    <row r="537" spans="2:3" x14ac:dyDescent="0.25">
      <c r="B537" s="727" t="s">
        <v>1017</v>
      </c>
      <c r="C537" s="729">
        <v>38000</v>
      </c>
    </row>
    <row r="538" spans="2:3" x14ac:dyDescent="0.25">
      <c r="B538" s="727" t="s">
        <v>1000</v>
      </c>
      <c r="C538" s="729">
        <v>37301</v>
      </c>
    </row>
    <row r="539" spans="2:3" x14ac:dyDescent="0.25">
      <c r="B539" s="727" t="s">
        <v>1019</v>
      </c>
      <c r="C539" s="729">
        <v>38100</v>
      </c>
    </row>
    <row r="540" spans="2:3" x14ac:dyDescent="0.25">
      <c r="B540" s="727" t="s">
        <v>1022</v>
      </c>
      <c r="C540" s="729">
        <v>38205</v>
      </c>
    </row>
    <row r="541" spans="2:3" x14ac:dyDescent="0.25">
      <c r="B541" s="727" t="s">
        <v>1021</v>
      </c>
      <c r="C541" s="729">
        <v>38200</v>
      </c>
    </row>
    <row r="542" spans="2:3" x14ac:dyDescent="0.25">
      <c r="B542" s="727" t="s">
        <v>976</v>
      </c>
      <c r="C542" s="729">
        <v>36305</v>
      </c>
    </row>
    <row r="543" spans="2:3" x14ac:dyDescent="0.25">
      <c r="B543" s="727" t="s">
        <v>945</v>
      </c>
      <c r="C543" s="729">
        <v>35300</v>
      </c>
    </row>
    <row r="544" spans="2:3" x14ac:dyDescent="0.25">
      <c r="B544" s="727" t="s">
        <v>1024</v>
      </c>
      <c r="C544" s="729">
        <v>38300</v>
      </c>
    </row>
    <row r="545" spans="2:3" x14ac:dyDescent="0.25">
      <c r="B545" s="727" t="s">
        <v>798</v>
      </c>
      <c r="C545" s="729">
        <v>13700</v>
      </c>
    </row>
    <row r="546" spans="2:3" x14ac:dyDescent="0.25">
      <c r="B546" s="727" t="s">
        <v>881</v>
      </c>
      <c r="C546" s="729">
        <v>32420</v>
      </c>
    </row>
    <row r="547" spans="2:3" x14ac:dyDescent="0.25">
      <c r="B547" s="727" t="s">
        <v>965</v>
      </c>
      <c r="C547" s="729">
        <v>36007</v>
      </c>
    </row>
    <row r="548" spans="2:3" x14ac:dyDescent="0.25">
      <c r="B548" s="727" t="s">
        <v>839</v>
      </c>
      <c r="C548" s="729">
        <v>30405</v>
      </c>
    </row>
    <row r="549" spans="2:3" x14ac:dyDescent="0.25">
      <c r="B549" s="727" t="s">
        <v>1012</v>
      </c>
      <c r="C549" s="729">
        <v>37801</v>
      </c>
    </row>
    <row r="550" spans="2:3" x14ac:dyDescent="0.25">
      <c r="B550" s="727" t="s">
        <v>879</v>
      </c>
      <c r="C550" s="729">
        <v>32405</v>
      </c>
    </row>
    <row r="551" spans="2:3" x14ac:dyDescent="0.25">
      <c r="B551" s="727" t="s">
        <v>1046</v>
      </c>
      <c r="C551" s="729">
        <v>39204</v>
      </c>
    </row>
    <row r="552" spans="2:3" x14ac:dyDescent="0.25">
      <c r="B552" s="727" t="s">
        <v>940</v>
      </c>
      <c r="C552" s="729">
        <v>35005</v>
      </c>
    </row>
    <row r="553" spans="2:3" x14ac:dyDescent="0.25">
      <c r="B553" s="727" t="s">
        <v>1027</v>
      </c>
      <c r="C553" s="729">
        <v>38405</v>
      </c>
    </row>
    <row r="554" spans="2:3" x14ac:dyDescent="0.25">
      <c r="B554" s="727" t="s">
        <v>1025</v>
      </c>
      <c r="C554" s="729">
        <v>38400</v>
      </c>
    </row>
    <row r="555" spans="2:3" x14ac:dyDescent="0.25">
      <c r="B555" s="727" t="s">
        <v>975</v>
      </c>
      <c r="C555" s="729">
        <v>36302</v>
      </c>
    </row>
    <row r="556" spans="2:3" x14ac:dyDescent="0.25">
      <c r="B556" s="727" t="s">
        <v>777</v>
      </c>
      <c r="C556" s="729">
        <v>10500</v>
      </c>
    </row>
    <row r="557" spans="2:3" x14ac:dyDescent="0.25">
      <c r="B557" s="727" t="s">
        <v>789</v>
      </c>
      <c r="C557" s="729">
        <v>11900</v>
      </c>
    </row>
    <row r="558" spans="2:3" x14ac:dyDescent="0.25">
      <c r="B558" s="727" t="s">
        <v>804</v>
      </c>
      <c r="C558" s="729">
        <v>18670</v>
      </c>
    </row>
    <row r="559" spans="2:3" x14ac:dyDescent="0.25">
      <c r="B559" s="727" t="s">
        <v>1529</v>
      </c>
      <c r="C559" s="733">
        <v>12200</v>
      </c>
    </row>
    <row r="560" spans="2:3" x14ac:dyDescent="0.25">
      <c r="B560" s="727" t="s">
        <v>1147</v>
      </c>
      <c r="C560" s="729">
        <v>14300.2</v>
      </c>
    </row>
    <row r="561" spans="2:3" x14ac:dyDescent="0.25">
      <c r="B561" s="727" t="s">
        <v>1146</v>
      </c>
      <c r="C561" s="729">
        <v>14300</v>
      </c>
    </row>
    <row r="562" spans="2:3" x14ac:dyDescent="0.25">
      <c r="B562" s="727" t="s">
        <v>1028</v>
      </c>
      <c r="C562" s="729">
        <v>38500</v>
      </c>
    </row>
    <row r="563" spans="2:3" x14ac:dyDescent="0.25">
      <c r="B563" s="727" t="s">
        <v>936</v>
      </c>
      <c r="C563" s="729">
        <v>34903</v>
      </c>
    </row>
    <row r="564" spans="2:3" x14ac:dyDescent="0.25">
      <c r="B564" s="727" t="s">
        <v>1032</v>
      </c>
      <c r="C564" s="729">
        <v>38605</v>
      </c>
    </row>
    <row r="565" spans="2:3" x14ac:dyDescent="0.25">
      <c r="B565" s="727" t="s">
        <v>1029</v>
      </c>
      <c r="C565" s="729">
        <v>38600</v>
      </c>
    </row>
    <row r="566" spans="2:3" x14ac:dyDescent="0.25">
      <c r="B566" s="727" t="s">
        <v>1035</v>
      </c>
      <c r="C566" s="729">
        <v>38700</v>
      </c>
    </row>
    <row r="567" spans="2:3" x14ac:dyDescent="0.25">
      <c r="B567" s="727" t="s">
        <v>834</v>
      </c>
      <c r="C567" s="729">
        <v>30104</v>
      </c>
    </row>
    <row r="568" spans="2:3" x14ac:dyDescent="0.25">
      <c r="B568" s="727" t="s">
        <v>892</v>
      </c>
      <c r="C568" s="729">
        <v>32920</v>
      </c>
    </row>
    <row r="569" spans="2:3" x14ac:dyDescent="0.25">
      <c r="B569" s="727" t="s">
        <v>1037</v>
      </c>
      <c r="C569" s="729">
        <v>38800</v>
      </c>
    </row>
    <row r="570" spans="2:3" x14ac:dyDescent="0.25">
      <c r="B570" s="727" t="s">
        <v>873</v>
      </c>
      <c r="C570" s="729">
        <v>32005</v>
      </c>
    </row>
    <row r="571" spans="2:3" x14ac:dyDescent="0.25">
      <c r="B571" s="727" t="s">
        <v>1055</v>
      </c>
      <c r="C571" s="729">
        <v>39501</v>
      </c>
    </row>
    <row r="572" spans="2:3" x14ac:dyDescent="0.25">
      <c r="B572" s="727" t="s">
        <v>1039</v>
      </c>
      <c r="C572" s="729">
        <v>38900</v>
      </c>
    </row>
    <row r="573" spans="2:3" x14ac:dyDescent="0.25">
      <c r="B573" s="727" t="s">
        <v>818</v>
      </c>
      <c r="C573" s="729">
        <v>21200</v>
      </c>
    </row>
    <row r="574" spans="2:3" x14ac:dyDescent="0.25">
      <c r="B574" s="727" t="s">
        <v>822</v>
      </c>
      <c r="C574" s="729">
        <v>21550</v>
      </c>
    </row>
    <row r="575" spans="2:3" x14ac:dyDescent="0.25">
      <c r="B575" s="727" t="s">
        <v>820</v>
      </c>
      <c r="C575" s="729">
        <v>21520</v>
      </c>
    </row>
    <row r="576" spans="2:3" x14ac:dyDescent="0.25">
      <c r="B576" s="727" t="s">
        <v>1149</v>
      </c>
      <c r="C576" s="729">
        <v>21525.200000000001</v>
      </c>
    </row>
    <row r="577" spans="2:3" x14ac:dyDescent="0.25">
      <c r="B577" s="727" t="s">
        <v>1148</v>
      </c>
      <c r="C577" s="729">
        <v>21525</v>
      </c>
    </row>
    <row r="578" spans="2:3" x14ac:dyDescent="0.25">
      <c r="B578" s="727" t="s">
        <v>1040</v>
      </c>
      <c r="C578" s="729">
        <v>39000</v>
      </c>
    </row>
    <row r="579" spans="2:3" x14ac:dyDescent="0.25">
      <c r="B579" s="727" t="s">
        <v>827</v>
      </c>
      <c r="C579" s="729">
        <v>23000</v>
      </c>
    </row>
    <row r="580" spans="2:3" x14ac:dyDescent="0.25">
      <c r="B580" s="727" t="s">
        <v>828</v>
      </c>
      <c r="C580" s="729">
        <v>23100</v>
      </c>
    </row>
    <row r="581" spans="2:3" x14ac:dyDescent="0.25">
      <c r="B581" s="727" t="s">
        <v>817</v>
      </c>
      <c r="C581" s="729">
        <v>20900</v>
      </c>
    </row>
    <row r="582" spans="2:3" x14ac:dyDescent="0.25">
      <c r="B582" s="727" t="s">
        <v>829</v>
      </c>
      <c r="C582" s="729">
        <v>23200</v>
      </c>
    </row>
    <row r="583" spans="2:3" x14ac:dyDescent="0.25">
      <c r="B583" s="727" t="s">
        <v>823</v>
      </c>
      <c r="C583" s="729">
        <v>21570</v>
      </c>
    </row>
    <row r="584" spans="2:3" x14ac:dyDescent="0.25">
      <c r="B584" s="727" t="s">
        <v>1006</v>
      </c>
      <c r="C584" s="729">
        <v>37601</v>
      </c>
    </row>
    <row r="585" spans="2:3" x14ac:dyDescent="0.25">
      <c r="B585" s="727" t="s">
        <v>1042</v>
      </c>
      <c r="C585" s="729">
        <v>39101</v>
      </c>
    </row>
    <row r="586" spans="2:3" x14ac:dyDescent="0.25">
      <c r="B586" s="727" t="s">
        <v>1041</v>
      </c>
      <c r="C586" s="729">
        <v>39100</v>
      </c>
    </row>
    <row r="587" spans="2:3" x14ac:dyDescent="0.25">
      <c r="B587" s="727" t="s">
        <v>1043</v>
      </c>
      <c r="C587" s="729">
        <v>39105</v>
      </c>
    </row>
    <row r="588" spans="2:3" x14ac:dyDescent="0.25">
      <c r="B588" s="727" t="s">
        <v>901</v>
      </c>
      <c r="C588" s="729">
        <v>33204</v>
      </c>
    </row>
    <row r="589" spans="2:3" x14ac:dyDescent="0.25">
      <c r="B589" s="727" t="s">
        <v>1044</v>
      </c>
      <c r="C589" s="729">
        <v>39200</v>
      </c>
    </row>
    <row r="590" spans="2:3" x14ac:dyDescent="0.25">
      <c r="B590" s="727" t="s">
        <v>1047</v>
      </c>
      <c r="C590" s="729">
        <v>39205</v>
      </c>
    </row>
    <row r="591" spans="2:3" x14ac:dyDescent="0.25">
      <c r="B591" s="727" t="s">
        <v>1050</v>
      </c>
      <c r="C591" s="729">
        <v>39300</v>
      </c>
    </row>
    <row r="592" spans="2:3" x14ac:dyDescent="0.25">
      <c r="B592" s="727" t="s">
        <v>1052</v>
      </c>
      <c r="C592" s="729">
        <v>39400</v>
      </c>
    </row>
    <row r="593" spans="2:3" x14ac:dyDescent="0.25">
      <c r="B593" s="727" t="s">
        <v>1054</v>
      </c>
      <c r="C593" s="729">
        <v>39500</v>
      </c>
    </row>
    <row r="594" spans="2:3" x14ac:dyDescent="0.25">
      <c r="B594" s="727" t="s">
        <v>1057</v>
      </c>
      <c r="C594" s="729">
        <v>39605</v>
      </c>
    </row>
    <row r="595" spans="2:3" x14ac:dyDescent="0.25">
      <c r="B595" s="727" t="s">
        <v>1056</v>
      </c>
      <c r="C595" s="729">
        <v>39600</v>
      </c>
    </row>
    <row r="596" spans="2:3" x14ac:dyDescent="0.25">
      <c r="B596" s="727" t="s">
        <v>923</v>
      </c>
      <c r="C596" s="729">
        <v>34230</v>
      </c>
    </row>
    <row r="597" spans="2:3" x14ac:dyDescent="0.25">
      <c r="B597" s="727" t="s">
        <v>824</v>
      </c>
      <c r="C597" s="729">
        <v>21800</v>
      </c>
    </row>
    <row r="598" spans="2:3" x14ac:dyDescent="0.25">
      <c r="B598" s="727" t="s">
        <v>856</v>
      </c>
      <c r="C598" s="729">
        <v>31205</v>
      </c>
    </row>
    <row r="599" spans="2:3" x14ac:dyDescent="0.25">
      <c r="B599" s="727" t="s">
        <v>880</v>
      </c>
      <c r="C599" s="729">
        <v>32410</v>
      </c>
    </row>
    <row r="600" spans="2:3" x14ac:dyDescent="0.25">
      <c r="B600" s="727" t="s">
        <v>788</v>
      </c>
      <c r="C600" s="729">
        <v>11600</v>
      </c>
    </row>
    <row r="601" spans="2:3" x14ac:dyDescent="0.25">
      <c r="B601" s="727" t="s">
        <v>1060</v>
      </c>
      <c r="C601" s="729">
        <v>39705</v>
      </c>
    </row>
    <row r="602" spans="2:3" x14ac:dyDescent="0.25">
      <c r="B602" s="727" t="s">
        <v>1058</v>
      </c>
      <c r="C602" s="729">
        <v>39700</v>
      </c>
    </row>
    <row r="603" spans="2:3" x14ac:dyDescent="0.25">
      <c r="B603" s="727" t="s">
        <v>981</v>
      </c>
      <c r="C603" s="729">
        <v>36502</v>
      </c>
    </row>
    <row r="604" spans="2:3" x14ac:dyDescent="0.25">
      <c r="B604" s="727" t="s">
        <v>1062</v>
      </c>
      <c r="C604" s="729">
        <v>39805</v>
      </c>
    </row>
    <row r="605" spans="2:3" x14ac:dyDescent="0.25">
      <c r="B605" s="727" t="s">
        <v>1061</v>
      </c>
      <c r="C605" s="729">
        <v>39800</v>
      </c>
    </row>
    <row r="606" spans="2:3" x14ac:dyDescent="0.25">
      <c r="B606" s="727" t="s">
        <v>825</v>
      </c>
      <c r="C606" s="729">
        <v>21900</v>
      </c>
    </row>
    <row r="607" spans="2:3" x14ac:dyDescent="0.25">
      <c r="B607" s="727" t="s">
        <v>906</v>
      </c>
      <c r="C607" s="729">
        <v>33400</v>
      </c>
    </row>
    <row r="608" spans="2:3" x14ac:dyDescent="0.25">
      <c r="B608" s="727" t="s">
        <v>1063</v>
      </c>
      <c r="C608" s="729">
        <v>39900</v>
      </c>
    </row>
    <row r="609" spans="2:3" x14ac:dyDescent="0.25">
      <c r="B609" s="727" t="s">
        <v>830</v>
      </c>
      <c r="C609" s="729">
        <v>30000</v>
      </c>
    </row>
    <row r="610" spans="2:3" x14ac:dyDescent="0.25">
      <c r="B610" s="727" t="s">
        <v>986</v>
      </c>
      <c r="C610" s="729">
        <v>36701</v>
      </c>
    </row>
    <row r="611" spans="2:3" x14ac:dyDescent="0.25">
      <c r="B611" s="723" t="s">
        <v>1145</v>
      </c>
      <c r="C611" s="723" t="s">
        <v>1141</v>
      </c>
    </row>
  </sheetData>
  <pageMargins left="0.25" right="0.25" top="0.75" bottom="0.75" header="0.3" footer="0.3"/>
  <pageSetup scale="39" fitToHeight="0" orientation="landscape" r:id="rId1"/>
  <headerFooter>
    <oddHeader>&amp;C&amp;"-,Bold"&amp;28Appendix B: Allocation of Pension Expense</oddHeader>
    <oddFooter>&amp;R&amp;G</oddFooter>
  </headerFooter>
  <legacyDrawingHF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615"/>
  <sheetViews>
    <sheetView topLeftCell="A295" workbookViewId="0">
      <selection activeCell="I17" sqref="I17"/>
    </sheetView>
  </sheetViews>
  <sheetFormatPr defaultRowHeight="15" x14ac:dyDescent="0.25"/>
  <cols>
    <col min="1" max="1" width="13" style="566" customWidth="1"/>
    <col min="2" max="2" width="35.140625" style="566" customWidth="1"/>
    <col min="3" max="4" width="13.85546875" style="566" customWidth="1"/>
    <col min="5" max="5" width="18.85546875" style="566" customWidth="1"/>
    <col min="6" max="6" width="13.85546875" style="566" customWidth="1"/>
    <col min="7" max="7" width="18.28515625" style="566" customWidth="1"/>
    <col min="8" max="8" width="1.7109375" style="566" customWidth="1"/>
    <col min="9" max="9" width="12" style="566" customWidth="1"/>
    <col min="10" max="10" width="20" style="566" customWidth="1"/>
    <col min="11" max="11" width="15.140625" style="566" customWidth="1"/>
    <col min="12" max="12" width="19.42578125" style="566" customWidth="1"/>
    <col min="13" max="13" width="1.28515625" style="566" customWidth="1"/>
    <col min="14" max="14" width="18.28515625" style="566" customWidth="1"/>
    <col min="15" max="15" width="20" style="566" customWidth="1"/>
    <col min="16" max="16" width="11.28515625" style="566" customWidth="1"/>
    <col min="17" max="17" width="19.42578125" style="566" customWidth="1"/>
    <col min="18" max="18" width="2" style="566" customWidth="1"/>
    <col min="19" max="19" width="16.42578125" style="566" bestFit="1" customWidth="1"/>
    <col min="20" max="20" width="22.42578125" style="566" customWidth="1"/>
    <col min="21" max="21" width="16" style="566" bestFit="1" customWidth="1"/>
    <col min="22" max="16384" width="9.140625" style="566"/>
  </cols>
  <sheetData>
    <row r="1" spans="1:21" x14ac:dyDescent="0.25">
      <c r="A1" s="565"/>
      <c r="I1" s="567" t="s">
        <v>762</v>
      </c>
      <c r="J1" s="567"/>
      <c r="K1" s="567"/>
      <c r="L1" s="567"/>
      <c r="N1" s="567" t="s">
        <v>763</v>
      </c>
      <c r="O1" s="567"/>
      <c r="P1" s="567"/>
      <c r="Q1" s="567"/>
      <c r="S1" s="567" t="s">
        <v>764</v>
      </c>
      <c r="T1" s="567"/>
      <c r="U1" s="567"/>
    </row>
    <row r="2" spans="1:21" ht="120" x14ac:dyDescent="0.25">
      <c r="A2" s="568" t="s">
        <v>765</v>
      </c>
      <c r="B2" s="568" t="s">
        <v>766</v>
      </c>
      <c r="C2" s="568" t="s">
        <v>1112</v>
      </c>
      <c r="D2" s="568" t="s">
        <v>1113</v>
      </c>
      <c r="E2" s="568" t="s">
        <v>767</v>
      </c>
      <c r="F2" s="568" t="s">
        <v>1114</v>
      </c>
      <c r="G2" s="568" t="s">
        <v>1115</v>
      </c>
      <c r="H2" s="568"/>
      <c r="I2" s="568" t="s">
        <v>768</v>
      </c>
      <c r="J2" s="568" t="s">
        <v>769</v>
      </c>
      <c r="K2" s="568" t="s">
        <v>770</v>
      </c>
      <c r="L2" s="568" t="s">
        <v>771</v>
      </c>
      <c r="M2" s="568"/>
      <c r="N2" s="568" t="s">
        <v>768</v>
      </c>
      <c r="O2" s="568" t="s">
        <v>769</v>
      </c>
      <c r="P2" s="568" t="s">
        <v>770</v>
      </c>
      <c r="Q2" s="568" t="s">
        <v>771</v>
      </c>
      <c r="R2" s="568"/>
      <c r="S2" s="568" t="s">
        <v>772</v>
      </c>
      <c r="T2" s="568" t="s">
        <v>773</v>
      </c>
      <c r="U2" s="568" t="s">
        <v>774</v>
      </c>
    </row>
    <row r="3" spans="1:21" s="755" customFormat="1" x14ac:dyDescent="0.25">
      <c r="A3" s="754" t="s">
        <v>521</v>
      </c>
      <c r="B3" s="754" t="s">
        <v>1527</v>
      </c>
      <c r="C3" s="573">
        <v>0</v>
      </c>
      <c r="D3" s="573">
        <v>0</v>
      </c>
      <c r="E3" s="573">
        <v>0</v>
      </c>
      <c r="F3" s="573">
        <v>0</v>
      </c>
      <c r="G3" s="573">
        <v>0</v>
      </c>
      <c r="H3" s="573"/>
      <c r="I3" s="573">
        <v>0</v>
      </c>
      <c r="J3" s="573">
        <v>0</v>
      </c>
      <c r="K3" s="573">
        <v>0</v>
      </c>
      <c r="L3" s="573">
        <v>0</v>
      </c>
      <c r="M3" s="573"/>
      <c r="N3" s="573">
        <v>0</v>
      </c>
      <c r="O3" s="573">
        <v>0</v>
      </c>
      <c r="P3" s="573">
        <v>0</v>
      </c>
      <c r="Q3" s="573">
        <v>0</v>
      </c>
      <c r="R3" s="573"/>
      <c r="S3" s="573">
        <v>0</v>
      </c>
      <c r="T3" s="573">
        <v>0</v>
      </c>
      <c r="U3" s="573">
        <v>0</v>
      </c>
    </row>
    <row r="4" spans="1:21" x14ac:dyDescent="0.25">
      <c r="A4" s="569">
        <v>10200</v>
      </c>
      <c r="B4" s="570" t="s">
        <v>775</v>
      </c>
      <c r="C4" s="571">
        <v>1.1054000000000001E-3</v>
      </c>
      <c r="D4" s="571">
        <v>1.1215000000000001E-3</v>
      </c>
      <c r="E4" s="572">
        <v>1368412.67</v>
      </c>
      <c r="F4" s="572">
        <v>4132950</v>
      </c>
      <c r="G4" s="572">
        <v>10159768</v>
      </c>
      <c r="H4" s="572"/>
      <c r="I4" s="573">
        <v>0</v>
      </c>
      <c r="J4" s="573">
        <v>5812643</v>
      </c>
      <c r="K4" s="573">
        <v>1498319</v>
      </c>
      <c r="L4" s="572">
        <v>87774</v>
      </c>
      <c r="M4" s="572"/>
      <c r="N4" s="573">
        <v>480165</v>
      </c>
      <c r="O4" s="573">
        <v>2189344</v>
      </c>
      <c r="P4" s="573">
        <v>0</v>
      </c>
      <c r="Q4" s="572">
        <v>127082</v>
      </c>
      <c r="R4" s="572"/>
      <c r="S4" s="573">
        <v>1946468</v>
      </c>
      <c r="T4" s="574">
        <v>8634</v>
      </c>
      <c r="U4" s="574">
        <v>1955102</v>
      </c>
    </row>
    <row r="5" spans="1:21" x14ac:dyDescent="0.25">
      <c r="A5" s="569">
        <v>10400</v>
      </c>
      <c r="B5" s="570" t="s">
        <v>776</v>
      </c>
      <c r="C5" s="571">
        <v>3.2499999999999999E-3</v>
      </c>
      <c r="D5" s="571">
        <v>3.2226999999999998E-3</v>
      </c>
      <c r="E5" s="572">
        <v>4427733</v>
      </c>
      <c r="F5" s="572">
        <v>11876288</v>
      </c>
      <c r="G5" s="572">
        <v>29870857</v>
      </c>
      <c r="H5" s="572"/>
      <c r="I5" s="573">
        <v>0</v>
      </c>
      <c r="J5" s="573">
        <v>17089823</v>
      </c>
      <c r="K5" s="573">
        <v>4405225.5</v>
      </c>
      <c r="L5" s="572">
        <v>323386</v>
      </c>
      <c r="M5" s="572"/>
      <c r="N5" s="573">
        <v>1411738.25</v>
      </c>
      <c r="O5" s="573">
        <v>6436918</v>
      </c>
      <c r="P5" s="573">
        <v>0</v>
      </c>
      <c r="Q5" s="572">
        <v>4527611</v>
      </c>
      <c r="R5" s="572"/>
      <c r="S5" s="573">
        <v>5722834</v>
      </c>
      <c r="T5" s="574">
        <v>-1642250</v>
      </c>
      <c r="U5" s="574">
        <v>4080584</v>
      </c>
    </row>
    <row r="6" spans="1:21" x14ac:dyDescent="0.25">
      <c r="A6" s="569">
        <v>10500</v>
      </c>
      <c r="B6" s="570" t="s">
        <v>777</v>
      </c>
      <c r="C6" s="571">
        <v>7.2939999999999995E-4</v>
      </c>
      <c r="D6" s="571">
        <v>7.291E-4</v>
      </c>
      <c r="E6" s="572">
        <v>973166.72</v>
      </c>
      <c r="F6" s="572">
        <v>2686878</v>
      </c>
      <c r="G6" s="572">
        <v>6703939</v>
      </c>
      <c r="H6" s="572"/>
      <c r="I6" s="573">
        <v>0</v>
      </c>
      <c r="J6" s="573">
        <v>3835482</v>
      </c>
      <c r="K6" s="573">
        <v>988668</v>
      </c>
      <c r="L6" s="572">
        <v>44187</v>
      </c>
      <c r="M6" s="572"/>
      <c r="N6" s="573">
        <v>316838</v>
      </c>
      <c r="O6" s="573">
        <v>1444642</v>
      </c>
      <c r="P6" s="573">
        <v>0</v>
      </c>
      <c r="Q6" s="572">
        <v>56922</v>
      </c>
      <c r="R6" s="572"/>
      <c r="S6" s="573">
        <v>1284380</v>
      </c>
      <c r="T6" s="574">
        <v>-18368</v>
      </c>
      <c r="U6" s="574">
        <v>1266012</v>
      </c>
    </row>
    <row r="7" spans="1:21" x14ac:dyDescent="0.25">
      <c r="A7" s="569">
        <v>10700</v>
      </c>
      <c r="B7" s="570" t="s">
        <v>778</v>
      </c>
      <c r="C7" s="571">
        <v>4.5304999999999998E-3</v>
      </c>
      <c r="D7" s="571">
        <v>1.854E-3</v>
      </c>
      <c r="E7" s="572">
        <v>5454043</v>
      </c>
      <c r="F7" s="572">
        <v>6832357</v>
      </c>
      <c r="G7" s="572">
        <v>41639975</v>
      </c>
      <c r="H7" s="572"/>
      <c r="I7" s="573">
        <v>0</v>
      </c>
      <c r="J7" s="573">
        <v>23823213</v>
      </c>
      <c r="K7" s="573">
        <v>6140884</v>
      </c>
      <c r="L7" s="572">
        <v>9291283</v>
      </c>
      <c r="M7" s="572"/>
      <c r="N7" s="573">
        <v>1967963</v>
      </c>
      <c r="O7" s="573">
        <v>8973063</v>
      </c>
      <c r="P7" s="573">
        <v>0</v>
      </c>
      <c r="Q7" s="572">
        <v>0</v>
      </c>
      <c r="R7" s="572"/>
      <c r="S7" s="573">
        <v>7977631</v>
      </c>
      <c r="T7" s="574">
        <v>2692937</v>
      </c>
      <c r="U7" s="574">
        <v>10670568</v>
      </c>
    </row>
    <row r="8" spans="1:21" x14ac:dyDescent="0.25">
      <c r="A8" s="569">
        <v>10800</v>
      </c>
      <c r="B8" s="570" t="s">
        <v>779</v>
      </c>
      <c r="C8" s="571">
        <v>1.9146300000000002E-2</v>
      </c>
      <c r="D8" s="571">
        <v>1.9480399999999998E-2</v>
      </c>
      <c r="E8" s="572">
        <v>26198397</v>
      </c>
      <c r="F8" s="572">
        <v>71789131</v>
      </c>
      <c r="G8" s="572">
        <v>175974275</v>
      </c>
      <c r="H8" s="572"/>
      <c r="I8" s="573">
        <v>0</v>
      </c>
      <c r="J8" s="573">
        <v>100679038</v>
      </c>
      <c r="K8" s="573">
        <v>25951929</v>
      </c>
      <c r="L8" s="572">
        <v>384557</v>
      </c>
      <c r="M8" s="572"/>
      <c r="N8" s="573">
        <v>8316789</v>
      </c>
      <c r="O8" s="573">
        <v>37920970</v>
      </c>
      <c r="P8" s="573">
        <v>0</v>
      </c>
      <c r="Q8" s="572">
        <v>397121</v>
      </c>
      <c r="R8" s="572"/>
      <c r="S8" s="573">
        <v>33714184</v>
      </c>
      <c r="T8" s="574">
        <v>-8384</v>
      </c>
      <c r="U8" s="574">
        <v>33705800</v>
      </c>
    </row>
    <row r="9" spans="1:21" x14ac:dyDescent="0.25">
      <c r="A9" s="569">
        <v>10850</v>
      </c>
      <c r="B9" s="570" t="s">
        <v>780</v>
      </c>
      <c r="C9" s="571">
        <v>1.383E-4</v>
      </c>
      <c r="D9" s="571">
        <v>1.2410000000000001E-4</v>
      </c>
      <c r="E9" s="572">
        <v>267939</v>
      </c>
      <c r="F9" s="572">
        <v>457333</v>
      </c>
      <c r="G9" s="572">
        <v>1271120</v>
      </c>
      <c r="H9" s="572"/>
      <c r="I9" s="573">
        <v>0</v>
      </c>
      <c r="J9" s="573">
        <v>727238</v>
      </c>
      <c r="K9" s="573">
        <v>187459</v>
      </c>
      <c r="L9" s="572">
        <v>264047</v>
      </c>
      <c r="M9" s="572"/>
      <c r="N9" s="573">
        <v>60075</v>
      </c>
      <c r="O9" s="573">
        <v>273916</v>
      </c>
      <c r="P9" s="573">
        <v>0</v>
      </c>
      <c r="Q9" s="572">
        <v>0</v>
      </c>
      <c r="R9" s="572"/>
      <c r="S9" s="573">
        <v>243529</v>
      </c>
      <c r="T9" s="574">
        <v>103484</v>
      </c>
      <c r="U9" s="574">
        <v>347013</v>
      </c>
    </row>
    <row r="10" spans="1:21" x14ac:dyDescent="0.25">
      <c r="A10" s="569">
        <v>10900</v>
      </c>
      <c r="B10" s="570" t="s">
        <v>781</v>
      </c>
      <c r="C10" s="571">
        <v>1.9082000000000001E-3</v>
      </c>
      <c r="D10" s="571">
        <v>1.9277000000000001E-3</v>
      </c>
      <c r="E10" s="572">
        <v>3000627.11</v>
      </c>
      <c r="F10" s="572">
        <v>7103956</v>
      </c>
      <c r="G10" s="572">
        <v>17538329</v>
      </c>
      <c r="H10" s="572"/>
      <c r="I10" s="573">
        <v>0</v>
      </c>
      <c r="J10" s="573">
        <v>10034092</v>
      </c>
      <c r="K10" s="573">
        <v>2586477</v>
      </c>
      <c r="L10" s="572">
        <v>1355906</v>
      </c>
      <c r="M10" s="572"/>
      <c r="N10" s="573">
        <v>828886</v>
      </c>
      <c r="O10" s="573">
        <v>3779362</v>
      </c>
      <c r="P10" s="573">
        <v>0</v>
      </c>
      <c r="Q10" s="572">
        <v>0</v>
      </c>
      <c r="R10" s="572"/>
      <c r="S10" s="573">
        <v>3360096</v>
      </c>
      <c r="T10" s="574">
        <v>555722</v>
      </c>
      <c r="U10" s="574">
        <v>3915818</v>
      </c>
    </row>
    <row r="11" spans="1:21" x14ac:dyDescent="0.25">
      <c r="A11" s="569">
        <v>10910</v>
      </c>
      <c r="B11" s="570" t="s">
        <v>782</v>
      </c>
      <c r="C11" s="571">
        <v>2.6919999999999998E-4</v>
      </c>
      <c r="D11" s="571">
        <v>3.3819999999999998E-4</v>
      </c>
      <c r="E11" s="572">
        <v>373716</v>
      </c>
      <c r="F11" s="572">
        <v>1246334</v>
      </c>
      <c r="G11" s="572">
        <v>2474226</v>
      </c>
      <c r="H11" s="572"/>
      <c r="I11" s="573">
        <v>0</v>
      </c>
      <c r="J11" s="573">
        <v>1415563</v>
      </c>
      <c r="K11" s="573">
        <v>364888</v>
      </c>
      <c r="L11" s="572">
        <v>142463</v>
      </c>
      <c r="M11" s="572"/>
      <c r="N11" s="573">
        <v>116935</v>
      </c>
      <c r="O11" s="573">
        <v>533175</v>
      </c>
      <c r="P11" s="573">
        <v>0</v>
      </c>
      <c r="Q11" s="572">
        <v>248392</v>
      </c>
      <c r="R11" s="572"/>
      <c r="S11" s="573">
        <v>474027</v>
      </c>
      <c r="T11" s="574">
        <v>-25064</v>
      </c>
      <c r="U11" s="574">
        <v>448963</v>
      </c>
    </row>
    <row r="12" spans="1:21" x14ac:dyDescent="0.25">
      <c r="A12" s="569">
        <v>10930</v>
      </c>
      <c r="B12" s="570" t="s">
        <v>783</v>
      </c>
      <c r="C12" s="571">
        <v>2.5428E-3</v>
      </c>
      <c r="D12" s="571">
        <v>2.6234000000000001E-3</v>
      </c>
      <c r="E12" s="572">
        <v>3811103.52</v>
      </c>
      <c r="F12" s="572">
        <v>9667748</v>
      </c>
      <c r="G12" s="572">
        <v>23370959</v>
      </c>
      <c r="H12" s="572"/>
      <c r="I12" s="573">
        <v>0</v>
      </c>
      <c r="J12" s="573">
        <v>13371077</v>
      </c>
      <c r="K12" s="573">
        <v>3446648</v>
      </c>
      <c r="L12" s="572">
        <v>1086418</v>
      </c>
      <c r="M12" s="572"/>
      <c r="N12" s="573">
        <v>1104544</v>
      </c>
      <c r="O12" s="573">
        <v>5036244</v>
      </c>
      <c r="P12" s="573">
        <v>0</v>
      </c>
      <c r="Q12" s="572">
        <v>139752</v>
      </c>
      <c r="R12" s="572"/>
      <c r="S12" s="573">
        <v>4477545</v>
      </c>
      <c r="T12" s="574">
        <v>322169</v>
      </c>
      <c r="U12" s="574">
        <v>4799715</v>
      </c>
    </row>
    <row r="13" spans="1:21" x14ac:dyDescent="0.25">
      <c r="A13" s="569">
        <v>10940</v>
      </c>
      <c r="B13" s="570" t="s">
        <v>784</v>
      </c>
      <c r="C13" s="571">
        <v>6.9930000000000003E-4</v>
      </c>
      <c r="D13" s="571">
        <v>7.228E-4</v>
      </c>
      <c r="E13" s="572">
        <v>1046822</v>
      </c>
      <c r="F13" s="572">
        <v>2663661</v>
      </c>
      <c r="G13" s="572">
        <v>6427289</v>
      </c>
      <c r="H13" s="572"/>
      <c r="I13" s="573">
        <v>0</v>
      </c>
      <c r="J13" s="573">
        <v>3677204</v>
      </c>
      <c r="K13" s="573">
        <v>947869</v>
      </c>
      <c r="L13" s="572">
        <v>39909</v>
      </c>
      <c r="M13" s="572"/>
      <c r="N13" s="573">
        <v>303763</v>
      </c>
      <c r="O13" s="573">
        <v>1385027</v>
      </c>
      <c r="P13" s="573">
        <v>0</v>
      </c>
      <c r="Q13" s="572">
        <v>358660</v>
      </c>
      <c r="R13" s="572"/>
      <c r="S13" s="573">
        <v>1231378</v>
      </c>
      <c r="T13" s="574">
        <v>-130950</v>
      </c>
      <c r="U13" s="574">
        <v>1100428</v>
      </c>
    </row>
    <row r="14" spans="1:21" x14ac:dyDescent="0.25">
      <c r="A14" s="569">
        <v>10950</v>
      </c>
      <c r="B14" s="570" t="s">
        <v>785</v>
      </c>
      <c r="C14" s="571">
        <v>6.8150000000000003E-4</v>
      </c>
      <c r="D14" s="571">
        <v>6.7480000000000003E-4</v>
      </c>
      <c r="E14" s="572">
        <v>943660</v>
      </c>
      <c r="F14" s="572">
        <v>2486772</v>
      </c>
      <c r="G14" s="572">
        <v>6263689</v>
      </c>
      <c r="H14" s="572"/>
      <c r="I14" s="573">
        <v>0</v>
      </c>
      <c r="J14" s="573">
        <v>3583604</v>
      </c>
      <c r="K14" s="573">
        <v>923742</v>
      </c>
      <c r="L14" s="572">
        <v>257180</v>
      </c>
      <c r="M14" s="572"/>
      <c r="N14" s="573">
        <v>296031</v>
      </c>
      <c r="O14" s="573">
        <v>1349772</v>
      </c>
      <c r="P14" s="573">
        <v>0</v>
      </c>
      <c r="Q14" s="572">
        <v>0</v>
      </c>
      <c r="R14" s="572"/>
      <c r="S14" s="573">
        <v>1200034</v>
      </c>
      <c r="T14" s="574">
        <v>110112</v>
      </c>
      <c r="U14" s="574">
        <v>1310146</v>
      </c>
    </row>
    <row r="15" spans="1:21" x14ac:dyDescent="0.25">
      <c r="A15" s="569">
        <v>11300</v>
      </c>
      <c r="B15" s="570" t="s">
        <v>786</v>
      </c>
      <c r="C15" s="571">
        <v>5.2521E-3</v>
      </c>
      <c r="D15" s="571">
        <v>8.1285999999999997E-3</v>
      </c>
      <c r="E15" s="572">
        <v>8514290</v>
      </c>
      <c r="F15" s="572">
        <v>29955500</v>
      </c>
      <c r="G15" s="572">
        <v>48272224</v>
      </c>
      <c r="H15" s="572"/>
      <c r="I15" s="573">
        <v>0</v>
      </c>
      <c r="J15" s="573">
        <v>27617679</v>
      </c>
      <c r="K15" s="573">
        <v>7118980</v>
      </c>
      <c r="L15" s="572">
        <v>0</v>
      </c>
      <c r="M15" s="572"/>
      <c r="N15" s="573">
        <v>2281412</v>
      </c>
      <c r="O15" s="573">
        <v>10402257</v>
      </c>
      <c r="P15" s="573">
        <v>0</v>
      </c>
      <c r="Q15" s="572">
        <v>9492954</v>
      </c>
      <c r="R15" s="572"/>
      <c r="S15" s="573">
        <v>9248276</v>
      </c>
      <c r="T15" s="574">
        <v>-2825960</v>
      </c>
      <c r="U15" s="574">
        <v>6422316</v>
      </c>
    </row>
    <row r="16" spans="1:21" x14ac:dyDescent="0.25">
      <c r="A16" s="569">
        <v>11310</v>
      </c>
      <c r="B16" s="570" t="s">
        <v>787</v>
      </c>
      <c r="C16" s="571">
        <v>5.0109999999999998E-4</v>
      </c>
      <c r="D16" s="571">
        <v>5.1639999999999998E-4</v>
      </c>
      <c r="E16" s="572">
        <v>719213.91</v>
      </c>
      <c r="F16" s="572">
        <v>1903036</v>
      </c>
      <c r="G16" s="572">
        <v>4605627</v>
      </c>
      <c r="H16" s="572"/>
      <c r="I16" s="573">
        <v>0</v>
      </c>
      <c r="J16" s="573">
        <v>2634988</v>
      </c>
      <c r="K16" s="573">
        <v>679218</v>
      </c>
      <c r="L16" s="572">
        <v>56069</v>
      </c>
      <c r="M16" s="572"/>
      <c r="N16" s="573">
        <v>217668</v>
      </c>
      <c r="O16" s="573">
        <v>992474</v>
      </c>
      <c r="P16" s="573">
        <v>0</v>
      </c>
      <c r="Q16" s="572">
        <v>0</v>
      </c>
      <c r="R16" s="572"/>
      <c r="S16" s="573">
        <v>882373</v>
      </c>
      <c r="T16" s="574">
        <v>23055</v>
      </c>
      <c r="U16" s="574">
        <v>905428</v>
      </c>
    </row>
    <row r="17" spans="1:21" x14ac:dyDescent="0.25">
      <c r="A17" s="569">
        <v>11600</v>
      </c>
      <c r="B17" s="570" t="s">
        <v>788</v>
      </c>
      <c r="C17" s="571">
        <v>2.1102E-3</v>
      </c>
      <c r="D17" s="571">
        <v>2.1665E-3</v>
      </c>
      <c r="E17" s="572">
        <v>2680079</v>
      </c>
      <c r="F17" s="572">
        <v>7983981</v>
      </c>
      <c r="G17" s="572">
        <v>19394918</v>
      </c>
      <c r="H17" s="572"/>
      <c r="I17" s="573">
        <v>0</v>
      </c>
      <c r="J17" s="573">
        <v>11096290</v>
      </c>
      <c r="K17" s="573">
        <v>2860279</v>
      </c>
      <c r="L17" s="572">
        <v>98558</v>
      </c>
      <c r="M17" s="572"/>
      <c r="N17" s="573">
        <v>916631</v>
      </c>
      <c r="O17" s="573">
        <v>4179441</v>
      </c>
      <c r="P17" s="573">
        <v>0</v>
      </c>
      <c r="Q17" s="572">
        <v>408215</v>
      </c>
      <c r="R17" s="572"/>
      <c r="S17" s="573">
        <v>3715792</v>
      </c>
      <c r="T17" s="574">
        <v>-81966</v>
      </c>
      <c r="U17" s="574">
        <v>3633826</v>
      </c>
    </row>
    <row r="18" spans="1:21" x14ac:dyDescent="0.25">
      <c r="A18" s="569">
        <v>11900</v>
      </c>
      <c r="B18" s="570" t="s">
        <v>789</v>
      </c>
      <c r="C18" s="571">
        <v>2.4699999999999999E-4</v>
      </c>
      <c r="D18" s="571">
        <v>2.474E-4</v>
      </c>
      <c r="E18" s="572">
        <v>297961</v>
      </c>
      <c r="F18" s="572">
        <v>911718</v>
      </c>
      <c r="G18" s="572">
        <v>2270185</v>
      </c>
      <c r="H18" s="572"/>
      <c r="I18" s="573">
        <v>0</v>
      </c>
      <c r="J18" s="573">
        <v>1298827</v>
      </c>
      <c r="K18" s="573">
        <v>334797</v>
      </c>
      <c r="L18" s="572">
        <v>70027</v>
      </c>
      <c r="M18" s="572"/>
      <c r="N18" s="573">
        <v>107292</v>
      </c>
      <c r="O18" s="573">
        <v>489205.73</v>
      </c>
      <c r="P18" s="573">
        <v>0</v>
      </c>
      <c r="Q18" s="572">
        <v>42325</v>
      </c>
      <c r="R18" s="572"/>
      <c r="S18" s="573">
        <v>434935</v>
      </c>
      <c r="T18" s="574">
        <v>7007</v>
      </c>
      <c r="U18" s="574">
        <v>441943</v>
      </c>
    </row>
    <row r="19" spans="1:21" x14ac:dyDescent="0.25">
      <c r="A19" s="569">
        <v>12100</v>
      </c>
      <c r="B19" s="570" t="s">
        <v>790</v>
      </c>
      <c r="C19" s="571">
        <v>2.6439999999999998E-4</v>
      </c>
      <c r="D19" s="571">
        <v>2.677E-4</v>
      </c>
      <c r="E19" s="572">
        <v>378243.38</v>
      </c>
      <c r="F19" s="572">
        <v>986528</v>
      </c>
      <c r="G19" s="572">
        <v>2430109</v>
      </c>
      <c r="H19" s="572"/>
      <c r="I19" s="573">
        <v>0</v>
      </c>
      <c r="J19" s="573">
        <v>1390323</v>
      </c>
      <c r="K19" s="573">
        <v>358382</v>
      </c>
      <c r="L19" s="572">
        <v>211401</v>
      </c>
      <c r="M19" s="572"/>
      <c r="N19" s="573">
        <v>114850</v>
      </c>
      <c r="O19" s="573">
        <v>523668</v>
      </c>
      <c r="P19" s="573">
        <v>0</v>
      </c>
      <c r="Q19" s="572">
        <v>0</v>
      </c>
      <c r="R19" s="572"/>
      <c r="S19" s="573">
        <v>465575</v>
      </c>
      <c r="T19" s="574">
        <v>100753</v>
      </c>
      <c r="U19" s="574">
        <v>566328</v>
      </c>
    </row>
    <row r="20" spans="1:21" x14ac:dyDescent="0.25">
      <c r="A20" s="569">
        <v>12150</v>
      </c>
      <c r="B20" s="570" t="s">
        <v>791</v>
      </c>
      <c r="C20" s="571">
        <v>4.0200000000000001E-5</v>
      </c>
      <c r="D20" s="571">
        <v>4.3000000000000002E-5</v>
      </c>
      <c r="E20" s="572">
        <v>44062</v>
      </c>
      <c r="F20" s="572">
        <v>158464</v>
      </c>
      <c r="G20" s="572">
        <v>369480</v>
      </c>
      <c r="H20" s="572"/>
      <c r="I20" s="573">
        <v>0</v>
      </c>
      <c r="J20" s="573">
        <v>211388</v>
      </c>
      <c r="K20" s="573">
        <v>54489</v>
      </c>
      <c r="L20" s="572">
        <v>28067</v>
      </c>
      <c r="M20" s="572"/>
      <c r="N20" s="573">
        <v>17462</v>
      </c>
      <c r="O20" s="573">
        <v>79620</v>
      </c>
      <c r="P20" s="573">
        <v>0</v>
      </c>
      <c r="Q20" s="572">
        <v>15305</v>
      </c>
      <c r="R20" s="572"/>
      <c r="S20" s="573">
        <v>70787</v>
      </c>
      <c r="T20" s="574">
        <v>7324</v>
      </c>
      <c r="U20" s="574">
        <v>78111</v>
      </c>
    </row>
    <row r="21" spans="1:21" x14ac:dyDescent="0.25">
      <c r="A21" s="569">
        <v>12160</v>
      </c>
      <c r="B21" s="570" t="s">
        <v>792</v>
      </c>
      <c r="C21" s="571">
        <v>1.8841000000000001E-3</v>
      </c>
      <c r="D21" s="571">
        <v>1.8278000000000001E-3</v>
      </c>
      <c r="E21" s="572">
        <v>2668037</v>
      </c>
      <c r="F21" s="572">
        <v>6735805</v>
      </c>
      <c r="G21" s="572">
        <v>17316825</v>
      </c>
      <c r="H21" s="572"/>
      <c r="I21" s="573">
        <v>0</v>
      </c>
      <c r="J21" s="573">
        <v>9907365</v>
      </c>
      <c r="K21" s="573">
        <v>2553811</v>
      </c>
      <c r="L21" s="572">
        <v>935381</v>
      </c>
      <c r="M21" s="572"/>
      <c r="N21" s="573">
        <v>818417</v>
      </c>
      <c r="O21" s="573">
        <v>3731630</v>
      </c>
      <c r="P21" s="573">
        <v>0</v>
      </c>
      <c r="Q21" s="572">
        <v>0</v>
      </c>
      <c r="R21" s="572"/>
      <c r="S21" s="573">
        <v>3317659</v>
      </c>
      <c r="T21" s="574">
        <v>385282</v>
      </c>
      <c r="U21" s="574">
        <v>3702941</v>
      </c>
    </row>
    <row r="22" spans="1:21" x14ac:dyDescent="0.25">
      <c r="A22" s="569">
        <v>12220</v>
      </c>
      <c r="B22" s="570" t="s">
        <v>793</v>
      </c>
      <c r="C22" s="571">
        <v>4.7691699999999997E-2</v>
      </c>
      <c r="D22" s="571">
        <v>4.9292900000000001E-2</v>
      </c>
      <c r="E22" s="572">
        <v>67600774</v>
      </c>
      <c r="F22" s="572">
        <v>181654096</v>
      </c>
      <c r="G22" s="572">
        <v>438335989</v>
      </c>
      <c r="H22" s="572"/>
      <c r="I22" s="573">
        <v>0</v>
      </c>
      <c r="J22" s="573">
        <v>250782369</v>
      </c>
      <c r="K22" s="573">
        <v>64643906</v>
      </c>
      <c r="L22" s="572">
        <v>4166992</v>
      </c>
      <c r="M22" s="572"/>
      <c r="N22" s="573">
        <v>20716368</v>
      </c>
      <c r="O22" s="573">
        <v>94457704</v>
      </c>
      <c r="P22" s="573">
        <v>0</v>
      </c>
      <c r="Q22" s="572">
        <v>220180</v>
      </c>
      <c r="R22" s="572"/>
      <c r="S22" s="573">
        <v>83978979</v>
      </c>
      <c r="T22" s="574">
        <v>1715732</v>
      </c>
      <c r="U22" s="574">
        <v>85694712</v>
      </c>
    </row>
    <row r="23" spans="1:21" x14ac:dyDescent="0.25">
      <c r="A23" s="569">
        <v>12510</v>
      </c>
      <c r="B23" s="570" t="s">
        <v>794</v>
      </c>
      <c r="C23" s="571">
        <v>5.4278E-3</v>
      </c>
      <c r="D23" s="571">
        <v>5.705E-3</v>
      </c>
      <c r="E23" s="572">
        <v>8288805</v>
      </c>
      <c r="F23" s="572">
        <v>21024055</v>
      </c>
      <c r="G23" s="572">
        <v>49887089</v>
      </c>
      <c r="H23" s="572"/>
      <c r="I23" s="573">
        <v>0</v>
      </c>
      <c r="J23" s="573">
        <v>28541582</v>
      </c>
      <c r="K23" s="573">
        <v>7357133</v>
      </c>
      <c r="L23" s="572">
        <v>266475</v>
      </c>
      <c r="M23" s="572"/>
      <c r="N23" s="573">
        <v>2357733</v>
      </c>
      <c r="O23" s="573">
        <v>10750246</v>
      </c>
      <c r="P23" s="573">
        <v>0</v>
      </c>
      <c r="Q23" s="572">
        <v>1031684</v>
      </c>
      <c r="R23" s="572"/>
      <c r="S23" s="573">
        <v>9557661</v>
      </c>
      <c r="T23" s="574">
        <v>-275016</v>
      </c>
      <c r="U23" s="574">
        <v>9282645</v>
      </c>
    </row>
    <row r="24" spans="1:21" x14ac:dyDescent="0.25">
      <c r="A24" s="569">
        <v>12600</v>
      </c>
      <c r="B24" s="570" t="s">
        <v>795</v>
      </c>
      <c r="C24" s="571">
        <v>1.4882000000000001E-3</v>
      </c>
      <c r="D24" s="571">
        <v>1.5257000000000001E-3</v>
      </c>
      <c r="E24" s="572">
        <v>2245693</v>
      </c>
      <c r="F24" s="572">
        <v>5622507</v>
      </c>
      <c r="G24" s="572">
        <v>13678095</v>
      </c>
      <c r="H24" s="572"/>
      <c r="I24" s="573">
        <v>0</v>
      </c>
      <c r="J24" s="573">
        <v>7825561</v>
      </c>
      <c r="K24" s="573">
        <v>2017187</v>
      </c>
      <c r="L24" s="572">
        <v>178502</v>
      </c>
      <c r="M24" s="572"/>
      <c r="N24" s="573">
        <v>646446</v>
      </c>
      <c r="O24" s="573">
        <v>2947514</v>
      </c>
      <c r="P24" s="573">
        <v>0</v>
      </c>
      <c r="Q24" s="572">
        <v>32241</v>
      </c>
      <c r="R24" s="572"/>
      <c r="S24" s="573">
        <v>2620530</v>
      </c>
      <c r="T24" s="574">
        <v>36597</v>
      </c>
      <c r="U24" s="574">
        <v>2657127</v>
      </c>
    </row>
    <row r="25" spans="1:21" x14ac:dyDescent="0.25">
      <c r="A25" s="569">
        <v>12700</v>
      </c>
      <c r="B25" s="570" t="s">
        <v>796</v>
      </c>
      <c r="C25" s="571">
        <v>1.1444999999999999E-3</v>
      </c>
      <c r="D25" s="571">
        <v>1.1758000000000001E-3</v>
      </c>
      <c r="E25" s="572">
        <v>1696550.85</v>
      </c>
      <c r="F25" s="572">
        <v>4333056</v>
      </c>
      <c r="G25" s="572">
        <v>10519137</v>
      </c>
      <c r="H25" s="572"/>
      <c r="I25" s="573">
        <v>0</v>
      </c>
      <c r="J25" s="573">
        <v>6018247</v>
      </c>
      <c r="K25" s="573">
        <v>1551317</v>
      </c>
      <c r="L25" s="572">
        <v>77391</v>
      </c>
      <c r="M25" s="572"/>
      <c r="N25" s="573">
        <v>497149</v>
      </c>
      <c r="O25" s="573">
        <v>2266785</v>
      </c>
      <c r="P25" s="573">
        <v>0</v>
      </c>
      <c r="Q25" s="572">
        <v>45855</v>
      </c>
      <c r="R25" s="572"/>
      <c r="S25" s="573">
        <v>2015318</v>
      </c>
      <c r="T25" s="574">
        <v>3400</v>
      </c>
      <c r="U25" s="574">
        <v>2018718</v>
      </c>
    </row>
    <row r="26" spans="1:21" x14ac:dyDescent="0.25">
      <c r="A26" s="569">
        <v>13500</v>
      </c>
      <c r="B26" s="570" t="s">
        <v>797</v>
      </c>
      <c r="C26" s="571">
        <v>4.3654999999999996E-3</v>
      </c>
      <c r="D26" s="571">
        <v>4.2383999999999998E-3</v>
      </c>
      <c r="E26" s="572">
        <v>6111936</v>
      </c>
      <c r="F26" s="572">
        <v>15619343</v>
      </c>
      <c r="G26" s="572">
        <v>40123455</v>
      </c>
      <c r="H26" s="572"/>
      <c r="I26" s="573">
        <v>0</v>
      </c>
      <c r="J26" s="573">
        <v>22955576</v>
      </c>
      <c r="K26" s="573">
        <v>5917234</v>
      </c>
      <c r="L26" s="572">
        <v>1147174</v>
      </c>
      <c r="M26" s="572"/>
      <c r="N26" s="573">
        <v>1896290</v>
      </c>
      <c r="O26" s="573">
        <v>8646266</v>
      </c>
      <c r="P26" s="573">
        <v>0</v>
      </c>
      <c r="Q26" s="572">
        <v>0</v>
      </c>
      <c r="R26" s="572"/>
      <c r="S26" s="573">
        <v>7687087</v>
      </c>
      <c r="T26" s="574">
        <v>370257</v>
      </c>
      <c r="U26" s="574">
        <v>8057344</v>
      </c>
    </row>
    <row r="27" spans="1:21" x14ac:dyDescent="0.25">
      <c r="A27" s="569">
        <v>13700</v>
      </c>
      <c r="B27" s="570" t="s">
        <v>798</v>
      </c>
      <c r="C27" s="571">
        <v>5.1610000000000002E-4</v>
      </c>
      <c r="D27" s="571">
        <v>5.3370000000000002E-4</v>
      </c>
      <c r="E27" s="572">
        <v>750673.48</v>
      </c>
      <c r="F27" s="572">
        <v>1966790</v>
      </c>
      <c r="G27" s="572">
        <v>4743492</v>
      </c>
      <c r="H27" s="572"/>
      <c r="I27" s="573">
        <v>0</v>
      </c>
      <c r="J27" s="573">
        <v>2713864</v>
      </c>
      <c r="K27" s="573">
        <v>699550</v>
      </c>
      <c r="L27" s="572">
        <v>29670</v>
      </c>
      <c r="M27" s="572"/>
      <c r="N27" s="573">
        <v>224184</v>
      </c>
      <c r="O27" s="573">
        <v>1022182</v>
      </c>
      <c r="P27" s="573">
        <v>0</v>
      </c>
      <c r="Q27" s="572">
        <v>74198</v>
      </c>
      <c r="R27" s="572"/>
      <c r="S27" s="573">
        <v>908786</v>
      </c>
      <c r="T27" s="574">
        <v>-14991</v>
      </c>
      <c r="U27" s="574">
        <v>893796</v>
      </c>
    </row>
    <row r="28" spans="1:21" x14ac:dyDescent="0.25">
      <c r="A28" s="569">
        <v>14200</v>
      </c>
      <c r="B28" s="570" t="s">
        <v>799</v>
      </c>
      <c r="C28" s="571">
        <v>0</v>
      </c>
      <c r="D28" s="571">
        <v>0</v>
      </c>
      <c r="E28" s="572"/>
      <c r="F28" s="572">
        <v>0</v>
      </c>
      <c r="G28" s="572">
        <v>0</v>
      </c>
      <c r="H28" s="572"/>
      <c r="I28" s="573">
        <v>0</v>
      </c>
      <c r="J28" s="573">
        <v>0</v>
      </c>
      <c r="K28" s="573">
        <v>0</v>
      </c>
      <c r="L28" s="572">
        <v>0</v>
      </c>
      <c r="M28" s="572"/>
      <c r="N28" s="573">
        <v>0</v>
      </c>
      <c r="O28" s="573">
        <v>0</v>
      </c>
      <c r="P28" s="573">
        <v>0</v>
      </c>
      <c r="Q28" s="572">
        <v>4537</v>
      </c>
      <c r="R28" s="572"/>
      <c r="S28" s="573">
        <v>0</v>
      </c>
      <c r="T28" s="574">
        <v>-2535</v>
      </c>
      <c r="U28" s="574">
        <v>-2535</v>
      </c>
    </row>
    <row r="29" spans="1:21" x14ac:dyDescent="0.25">
      <c r="A29" s="569">
        <v>14300</v>
      </c>
      <c r="B29" s="570" t="s">
        <v>1146</v>
      </c>
      <c r="C29" s="571">
        <v>1.4986999999999999E-3</v>
      </c>
      <c r="D29" s="571">
        <v>1.3797E-3</v>
      </c>
      <c r="E29" s="572">
        <v>2263219.52</v>
      </c>
      <c r="F29" s="572">
        <v>5771389</v>
      </c>
      <c r="G29" s="572">
        <v>13774601</v>
      </c>
      <c r="H29" s="572"/>
      <c r="I29" s="573">
        <v>0</v>
      </c>
      <c r="J29" s="573">
        <v>7880775</v>
      </c>
      <c r="K29" s="573">
        <v>2031419</v>
      </c>
      <c r="L29" s="572">
        <v>560748</v>
      </c>
      <c r="M29" s="572"/>
      <c r="N29" s="573">
        <v>651007</v>
      </c>
      <c r="O29" s="573">
        <v>2968310</v>
      </c>
      <c r="P29" s="573">
        <v>0</v>
      </c>
      <c r="Q29" s="572">
        <v>31733</v>
      </c>
      <c r="R29" s="572"/>
      <c r="S29" s="573">
        <v>2639019</v>
      </c>
      <c r="T29" s="574">
        <v>148991</v>
      </c>
      <c r="U29" s="574">
        <v>2788010</v>
      </c>
    </row>
    <row r="30" spans="1:21" x14ac:dyDescent="0.25">
      <c r="A30" s="569">
        <v>14300.2</v>
      </c>
      <c r="B30" s="570" t="s">
        <v>1147</v>
      </c>
      <c r="C30" s="571">
        <v>1.694E-4</v>
      </c>
      <c r="D30" s="571">
        <v>1.864E-4</v>
      </c>
      <c r="E30" s="572"/>
      <c r="F30" s="572"/>
      <c r="G30" s="572">
        <v>1556961</v>
      </c>
      <c r="H30" s="572"/>
      <c r="I30" s="573">
        <v>0</v>
      </c>
      <c r="J30" s="573">
        <v>890774</v>
      </c>
      <c r="K30" s="573">
        <v>229614</v>
      </c>
      <c r="L30" s="572">
        <v>8453</v>
      </c>
      <c r="M30" s="572"/>
      <c r="N30" s="573">
        <v>73584</v>
      </c>
      <c r="O30" s="573">
        <v>335512</v>
      </c>
      <c r="P30" s="573">
        <v>0</v>
      </c>
      <c r="Q30" s="572">
        <v>35751</v>
      </c>
      <c r="R30" s="572"/>
      <c r="S30" s="573">
        <v>298292</v>
      </c>
      <c r="T30" s="574">
        <v>-8172</v>
      </c>
      <c r="U30" s="574">
        <v>290120</v>
      </c>
    </row>
    <row r="31" spans="1:21" x14ac:dyDescent="0.25">
      <c r="A31" s="569">
        <v>18400</v>
      </c>
      <c r="B31" s="570" t="s">
        <v>801</v>
      </c>
      <c r="C31" s="571">
        <v>5.6007000000000001E-3</v>
      </c>
      <c r="D31" s="571">
        <v>5.7102999999999998E-3</v>
      </c>
      <c r="E31" s="572">
        <v>7896104</v>
      </c>
      <c r="F31" s="572">
        <v>21043586</v>
      </c>
      <c r="G31" s="572">
        <v>51476219</v>
      </c>
      <c r="H31" s="572"/>
      <c r="I31" s="573">
        <v>0</v>
      </c>
      <c r="J31" s="573">
        <v>29450760</v>
      </c>
      <c r="K31" s="573">
        <v>7591491</v>
      </c>
      <c r="L31" s="572">
        <v>886093</v>
      </c>
      <c r="M31" s="572"/>
      <c r="N31" s="573">
        <v>2432838</v>
      </c>
      <c r="O31" s="573">
        <v>11092690</v>
      </c>
      <c r="P31" s="573">
        <v>0</v>
      </c>
      <c r="Q31" s="572">
        <v>0</v>
      </c>
      <c r="R31" s="572"/>
      <c r="S31" s="573">
        <v>9862116</v>
      </c>
      <c r="T31" s="574">
        <v>386763</v>
      </c>
      <c r="U31" s="574">
        <v>10248879</v>
      </c>
    </row>
    <row r="32" spans="1:21" x14ac:dyDescent="0.25">
      <c r="A32" s="569">
        <v>18600</v>
      </c>
      <c r="B32" s="570" t="s">
        <v>802</v>
      </c>
      <c r="C32" s="571">
        <v>2.19E-5</v>
      </c>
      <c r="D32" s="571">
        <v>1.8600000000000001E-5</v>
      </c>
      <c r="E32" s="572">
        <v>31180</v>
      </c>
      <c r="F32" s="572">
        <v>68545</v>
      </c>
      <c r="G32" s="572">
        <v>201284</v>
      </c>
      <c r="H32" s="572"/>
      <c r="I32" s="573">
        <v>0</v>
      </c>
      <c r="J32" s="573">
        <v>115159</v>
      </c>
      <c r="K32" s="573">
        <v>29684</v>
      </c>
      <c r="L32" s="572">
        <v>16996</v>
      </c>
      <c r="M32" s="572"/>
      <c r="N32" s="573">
        <v>9513</v>
      </c>
      <c r="O32" s="573">
        <v>43375</v>
      </c>
      <c r="P32" s="573">
        <v>0</v>
      </c>
      <c r="Q32" s="572">
        <v>10775</v>
      </c>
      <c r="R32" s="572"/>
      <c r="S32" s="573">
        <v>38563</v>
      </c>
      <c r="T32" s="574">
        <v>1521</v>
      </c>
      <c r="U32" s="574">
        <v>40084</v>
      </c>
    </row>
    <row r="33" spans="1:21" x14ac:dyDescent="0.25">
      <c r="A33" s="569">
        <v>18640</v>
      </c>
      <c r="B33" s="570" t="s">
        <v>803</v>
      </c>
      <c r="C33" s="571">
        <v>0</v>
      </c>
      <c r="D33" s="571">
        <v>0</v>
      </c>
      <c r="E33" s="572">
        <v>0</v>
      </c>
      <c r="F33" s="572">
        <v>0</v>
      </c>
      <c r="G33" s="572">
        <v>0</v>
      </c>
      <c r="H33" s="572"/>
      <c r="I33" s="573">
        <v>0</v>
      </c>
      <c r="J33" s="573">
        <v>0</v>
      </c>
      <c r="K33" s="573">
        <v>0</v>
      </c>
      <c r="L33" s="572">
        <v>0</v>
      </c>
      <c r="M33" s="572"/>
      <c r="N33" s="573">
        <v>0</v>
      </c>
      <c r="O33" s="573">
        <v>0</v>
      </c>
      <c r="P33" s="573">
        <v>0</v>
      </c>
      <c r="Q33" s="572">
        <v>10248</v>
      </c>
      <c r="R33" s="572"/>
      <c r="S33" s="573">
        <v>0</v>
      </c>
      <c r="T33" s="574">
        <v>-4758</v>
      </c>
      <c r="U33" s="574">
        <v>-4758</v>
      </c>
    </row>
    <row r="34" spans="1:21" x14ac:dyDescent="0.25">
      <c r="A34" s="569">
        <v>18670</v>
      </c>
      <c r="B34" s="570" t="s">
        <v>804</v>
      </c>
      <c r="C34" s="571">
        <v>0</v>
      </c>
      <c r="D34" s="571">
        <v>0</v>
      </c>
      <c r="E34" s="572"/>
      <c r="F34" s="572">
        <v>0</v>
      </c>
      <c r="G34" s="572">
        <v>0</v>
      </c>
      <c r="H34" s="572"/>
      <c r="I34" s="573">
        <v>0</v>
      </c>
      <c r="J34" s="573">
        <v>0</v>
      </c>
      <c r="K34" s="573">
        <v>0</v>
      </c>
      <c r="L34" s="572">
        <v>0</v>
      </c>
      <c r="M34" s="572"/>
      <c r="N34" s="573">
        <v>0</v>
      </c>
      <c r="O34" s="573">
        <v>0</v>
      </c>
      <c r="P34" s="573">
        <v>0</v>
      </c>
      <c r="Q34" s="572">
        <v>13373</v>
      </c>
      <c r="R34" s="572"/>
      <c r="S34" s="573">
        <v>0</v>
      </c>
      <c r="T34" s="574">
        <v>-5591</v>
      </c>
      <c r="U34" s="574">
        <v>-5591</v>
      </c>
    </row>
    <row r="35" spans="1:21" x14ac:dyDescent="0.25">
      <c r="A35" s="569">
        <v>18690</v>
      </c>
      <c r="B35" s="570" t="s">
        <v>805</v>
      </c>
      <c r="C35" s="571">
        <v>5.2000000000000002E-6</v>
      </c>
      <c r="D35" s="571">
        <v>8.6999999999999997E-6</v>
      </c>
      <c r="E35" s="572">
        <v>17512.64</v>
      </c>
      <c r="F35" s="572">
        <v>32061</v>
      </c>
      <c r="G35" s="572">
        <v>47793</v>
      </c>
      <c r="H35" s="572"/>
      <c r="I35" s="573">
        <v>0</v>
      </c>
      <c r="J35" s="573">
        <v>27344</v>
      </c>
      <c r="K35" s="573">
        <v>7048</v>
      </c>
      <c r="L35" s="572">
        <v>11143</v>
      </c>
      <c r="M35" s="572"/>
      <c r="N35" s="573">
        <v>2259</v>
      </c>
      <c r="O35" s="573">
        <v>10299</v>
      </c>
      <c r="P35" s="573">
        <v>0</v>
      </c>
      <c r="Q35" s="572">
        <v>5844</v>
      </c>
      <c r="R35" s="572"/>
      <c r="S35" s="573">
        <v>9157</v>
      </c>
      <c r="T35" s="574">
        <v>4351</v>
      </c>
      <c r="U35" s="574">
        <v>13508</v>
      </c>
    </row>
    <row r="36" spans="1:21" x14ac:dyDescent="0.25">
      <c r="A36" s="569">
        <v>18740</v>
      </c>
      <c r="B36" s="570" t="s">
        <v>806</v>
      </c>
      <c r="C36" s="571">
        <v>7.7999999999999999E-6</v>
      </c>
      <c r="D36" s="571">
        <v>6.2999999999999998E-6</v>
      </c>
      <c r="E36" s="572">
        <v>9499</v>
      </c>
      <c r="F36" s="572">
        <v>23217</v>
      </c>
      <c r="G36" s="572">
        <v>71690</v>
      </c>
      <c r="H36" s="572"/>
      <c r="I36" s="573">
        <v>0</v>
      </c>
      <c r="J36" s="573">
        <v>41016</v>
      </c>
      <c r="K36" s="573">
        <v>10573</v>
      </c>
      <c r="L36" s="572">
        <v>5197</v>
      </c>
      <c r="M36" s="572"/>
      <c r="N36" s="573">
        <v>3388</v>
      </c>
      <c r="O36" s="573">
        <v>15449</v>
      </c>
      <c r="P36" s="573">
        <v>0</v>
      </c>
      <c r="Q36" s="572">
        <v>933</v>
      </c>
      <c r="R36" s="572"/>
      <c r="S36" s="573">
        <v>13735</v>
      </c>
      <c r="T36" s="574">
        <v>1206</v>
      </c>
      <c r="U36" s="574">
        <v>14941</v>
      </c>
    </row>
    <row r="37" spans="1:21" x14ac:dyDescent="0.25">
      <c r="A37" s="569">
        <v>18780</v>
      </c>
      <c r="B37" s="570" t="s">
        <v>807</v>
      </c>
      <c r="C37" s="571">
        <v>1.5500000000000001E-5</v>
      </c>
      <c r="D37" s="571">
        <v>1.3200000000000001E-5</v>
      </c>
      <c r="E37" s="572">
        <v>22954</v>
      </c>
      <c r="F37" s="572">
        <v>48645</v>
      </c>
      <c r="G37" s="572">
        <v>142461</v>
      </c>
      <c r="H37" s="572"/>
      <c r="I37" s="573">
        <v>0</v>
      </c>
      <c r="J37" s="573">
        <v>81505</v>
      </c>
      <c r="K37" s="573">
        <v>21010</v>
      </c>
      <c r="L37" s="572">
        <v>21003</v>
      </c>
      <c r="M37" s="572"/>
      <c r="N37" s="573">
        <v>6733</v>
      </c>
      <c r="O37" s="573">
        <v>30699</v>
      </c>
      <c r="P37" s="573">
        <v>0</v>
      </c>
      <c r="Q37" s="572">
        <v>0</v>
      </c>
      <c r="R37" s="572"/>
      <c r="S37" s="573">
        <v>27294</v>
      </c>
      <c r="T37" s="574">
        <v>8228</v>
      </c>
      <c r="U37" s="574">
        <v>35521</v>
      </c>
    </row>
    <row r="38" spans="1:21" x14ac:dyDescent="0.25">
      <c r="A38" s="569">
        <v>19005</v>
      </c>
      <c r="B38" s="570" t="s">
        <v>808</v>
      </c>
      <c r="C38" s="571">
        <v>7.7099999999999998E-4</v>
      </c>
      <c r="D38" s="571">
        <v>8.0519999999999995E-4</v>
      </c>
      <c r="E38" s="572">
        <v>1180058.3</v>
      </c>
      <c r="F38" s="572">
        <v>2967321</v>
      </c>
      <c r="G38" s="572">
        <v>7086286</v>
      </c>
      <c r="H38" s="572"/>
      <c r="I38" s="573">
        <v>0</v>
      </c>
      <c r="J38" s="573">
        <v>4054232</v>
      </c>
      <c r="K38" s="573">
        <v>1045055</v>
      </c>
      <c r="L38" s="572">
        <v>159264</v>
      </c>
      <c r="M38" s="572"/>
      <c r="N38" s="573">
        <v>334908</v>
      </c>
      <c r="O38" s="573">
        <v>1527034.89</v>
      </c>
      <c r="P38" s="573">
        <v>0</v>
      </c>
      <c r="Q38" s="572">
        <v>0</v>
      </c>
      <c r="R38" s="572"/>
      <c r="S38" s="573">
        <v>1357632</v>
      </c>
      <c r="T38" s="574">
        <v>61818</v>
      </c>
      <c r="U38" s="574">
        <v>1419450</v>
      </c>
    </row>
    <row r="39" spans="1:21" x14ac:dyDescent="0.25">
      <c r="A39" s="569">
        <v>19100</v>
      </c>
      <c r="B39" s="570" t="s">
        <v>809</v>
      </c>
      <c r="C39" s="571">
        <v>6.9063399999999997E-2</v>
      </c>
      <c r="D39" s="571">
        <v>7.0273699999999995E-2</v>
      </c>
      <c r="E39" s="572">
        <v>90973310</v>
      </c>
      <c r="F39" s="572">
        <v>258972499</v>
      </c>
      <c r="G39" s="572">
        <v>634763988</v>
      </c>
      <c r="H39" s="572"/>
      <c r="I39" s="573">
        <v>0</v>
      </c>
      <c r="J39" s="573">
        <v>363163466</v>
      </c>
      <c r="K39" s="573">
        <v>93612262</v>
      </c>
      <c r="L39" s="572">
        <v>2943403</v>
      </c>
      <c r="M39" s="572"/>
      <c r="N39" s="573">
        <v>29999829</v>
      </c>
      <c r="O39" s="573">
        <v>136786279</v>
      </c>
      <c r="P39" s="573">
        <v>0</v>
      </c>
      <c r="Q39" s="572">
        <v>4601332</v>
      </c>
      <c r="R39" s="572"/>
      <c r="S39" s="573">
        <v>121611807</v>
      </c>
      <c r="T39" s="574">
        <v>-948034</v>
      </c>
      <c r="U39" s="574">
        <v>120663773</v>
      </c>
    </row>
    <row r="40" spans="1:21" x14ac:dyDescent="0.25">
      <c r="A40" s="569">
        <v>20100</v>
      </c>
      <c r="B40" s="570" t="s">
        <v>810</v>
      </c>
      <c r="C40" s="571">
        <v>5.9985000000000004E-3</v>
      </c>
      <c r="D40" s="571">
        <v>5.7920999999999997E-3</v>
      </c>
      <c r="E40" s="572">
        <v>7786601</v>
      </c>
      <c r="F40" s="572">
        <v>21345035</v>
      </c>
      <c r="G40" s="572">
        <v>55132411</v>
      </c>
      <c r="H40" s="572"/>
      <c r="I40" s="573">
        <v>0</v>
      </c>
      <c r="J40" s="573">
        <v>31542554</v>
      </c>
      <c r="K40" s="573">
        <v>8130691</v>
      </c>
      <c r="L40" s="572">
        <v>1759842</v>
      </c>
      <c r="M40" s="572"/>
      <c r="N40" s="573">
        <v>2605634</v>
      </c>
      <c r="O40" s="573">
        <v>11880569</v>
      </c>
      <c r="P40" s="573">
        <v>0</v>
      </c>
      <c r="Q40" s="572">
        <v>0</v>
      </c>
      <c r="R40" s="572"/>
      <c r="S40" s="573">
        <v>10562591</v>
      </c>
      <c r="T40" s="574">
        <v>642093</v>
      </c>
      <c r="U40" s="574">
        <v>11204684</v>
      </c>
    </row>
    <row r="41" spans="1:21" x14ac:dyDescent="0.25">
      <c r="A41" s="569">
        <v>20200</v>
      </c>
      <c r="B41" s="570" t="s">
        <v>811</v>
      </c>
      <c r="C41" s="571">
        <v>8.2930000000000005E-4</v>
      </c>
      <c r="D41" s="571">
        <v>8.0079999999999995E-4</v>
      </c>
      <c r="E41" s="572">
        <v>1198426.92</v>
      </c>
      <c r="F41" s="572">
        <v>2951107</v>
      </c>
      <c r="G41" s="572">
        <v>7622124</v>
      </c>
      <c r="H41" s="572"/>
      <c r="I41" s="573">
        <v>0</v>
      </c>
      <c r="J41" s="573">
        <v>4360797</v>
      </c>
      <c r="K41" s="573">
        <v>1124078</v>
      </c>
      <c r="L41" s="572">
        <v>314828</v>
      </c>
      <c r="M41" s="572"/>
      <c r="N41" s="573">
        <v>360232</v>
      </c>
      <c r="O41" s="573">
        <v>1642503</v>
      </c>
      <c r="P41" s="573">
        <v>0</v>
      </c>
      <c r="Q41" s="572">
        <v>0</v>
      </c>
      <c r="R41" s="572"/>
      <c r="S41" s="573">
        <v>1460291</v>
      </c>
      <c r="T41" s="574">
        <v>108975</v>
      </c>
      <c r="U41" s="574">
        <v>1569267</v>
      </c>
    </row>
    <row r="42" spans="1:21" x14ac:dyDescent="0.25">
      <c r="A42" s="569">
        <v>20300</v>
      </c>
      <c r="B42" s="570" t="s">
        <v>812</v>
      </c>
      <c r="C42" s="571">
        <v>1.3350000000000001E-2</v>
      </c>
      <c r="D42" s="571">
        <v>1.34568E-2</v>
      </c>
      <c r="E42" s="572">
        <v>17641709</v>
      </c>
      <c r="F42" s="572">
        <v>49590972</v>
      </c>
      <c r="G42" s="572">
        <v>122700291</v>
      </c>
      <c r="H42" s="572"/>
      <c r="I42" s="573">
        <v>0</v>
      </c>
      <c r="J42" s="573">
        <v>70199733</v>
      </c>
      <c r="K42" s="573">
        <v>18095311</v>
      </c>
      <c r="L42" s="572">
        <v>1446477</v>
      </c>
      <c r="M42" s="572"/>
      <c r="N42" s="573">
        <v>5798986</v>
      </c>
      <c r="O42" s="573">
        <v>26440877</v>
      </c>
      <c r="P42" s="573">
        <v>0</v>
      </c>
      <c r="Q42" s="572">
        <v>582528</v>
      </c>
      <c r="R42" s="572"/>
      <c r="S42" s="573">
        <v>23507641</v>
      </c>
      <c r="T42" s="574">
        <v>547469</v>
      </c>
      <c r="U42" s="574">
        <v>24055110</v>
      </c>
    </row>
    <row r="43" spans="1:21" x14ac:dyDescent="0.25">
      <c r="A43" s="569">
        <v>20400</v>
      </c>
      <c r="B43" s="570" t="s">
        <v>813</v>
      </c>
      <c r="C43" s="571">
        <v>1.0759999999999999E-3</v>
      </c>
      <c r="D43" s="571">
        <v>1.1751999999999999E-3</v>
      </c>
      <c r="E43" s="572">
        <v>1557396</v>
      </c>
      <c r="F43" s="572">
        <v>4330845</v>
      </c>
      <c r="G43" s="572">
        <v>9889552</v>
      </c>
      <c r="H43" s="572"/>
      <c r="I43" s="573">
        <v>0</v>
      </c>
      <c r="J43" s="573">
        <v>5658046</v>
      </c>
      <c r="K43" s="573">
        <v>1458469</v>
      </c>
      <c r="L43" s="572">
        <v>0</v>
      </c>
      <c r="M43" s="572"/>
      <c r="N43" s="573">
        <v>467394</v>
      </c>
      <c r="O43" s="573">
        <v>2131114.84</v>
      </c>
      <c r="P43" s="573">
        <v>0</v>
      </c>
      <c r="Q43" s="572">
        <v>1447937</v>
      </c>
      <c r="R43" s="572"/>
      <c r="S43" s="573">
        <v>1894698</v>
      </c>
      <c r="T43" s="574">
        <v>-616117</v>
      </c>
      <c r="U43" s="574">
        <v>1278581</v>
      </c>
    </row>
    <row r="44" spans="1:21" x14ac:dyDescent="0.25">
      <c r="A44" s="569">
        <v>20600</v>
      </c>
      <c r="B44" s="570" t="s">
        <v>814</v>
      </c>
      <c r="C44" s="571">
        <v>1.9053E-3</v>
      </c>
      <c r="D44" s="571">
        <v>1.9930999999999998E-3</v>
      </c>
      <c r="E44" s="572">
        <v>2715457.72</v>
      </c>
      <c r="F44" s="572">
        <v>7344968</v>
      </c>
      <c r="G44" s="572">
        <v>17511675</v>
      </c>
      <c r="H44" s="572"/>
      <c r="I44" s="573">
        <v>0</v>
      </c>
      <c r="J44" s="573">
        <v>10018843</v>
      </c>
      <c r="K44" s="573">
        <v>2582547</v>
      </c>
      <c r="L44" s="572">
        <v>5704</v>
      </c>
      <c r="M44" s="572"/>
      <c r="N44" s="573">
        <v>827626</v>
      </c>
      <c r="O44" s="573">
        <v>3773618</v>
      </c>
      <c r="P44" s="573">
        <v>0</v>
      </c>
      <c r="Q44" s="572">
        <v>296973</v>
      </c>
      <c r="R44" s="572"/>
      <c r="S44" s="573">
        <v>3354989</v>
      </c>
      <c r="T44" s="574">
        <v>-102797</v>
      </c>
      <c r="U44" s="574">
        <v>3252192</v>
      </c>
    </row>
    <row r="45" spans="1:21" x14ac:dyDescent="0.25">
      <c r="A45" s="569">
        <v>20700</v>
      </c>
      <c r="B45" s="570" t="s">
        <v>815</v>
      </c>
      <c r="C45" s="571">
        <v>4.0360999999999999E-3</v>
      </c>
      <c r="D45" s="571">
        <v>3.9925000000000004E-3</v>
      </c>
      <c r="E45" s="572">
        <v>5852681</v>
      </c>
      <c r="F45" s="572">
        <v>14713153</v>
      </c>
      <c r="G45" s="572">
        <v>37095928</v>
      </c>
      <c r="H45" s="572"/>
      <c r="I45" s="573">
        <v>0</v>
      </c>
      <c r="J45" s="573">
        <v>21223456</v>
      </c>
      <c r="K45" s="573">
        <v>5470748</v>
      </c>
      <c r="L45" s="572">
        <v>845405</v>
      </c>
      <c r="M45" s="572"/>
      <c r="N45" s="573">
        <v>1753205</v>
      </c>
      <c r="O45" s="573">
        <v>7993859</v>
      </c>
      <c r="P45" s="573">
        <v>0</v>
      </c>
      <c r="Q45" s="572">
        <v>0</v>
      </c>
      <c r="R45" s="572"/>
      <c r="S45" s="573">
        <v>7107055</v>
      </c>
      <c r="T45" s="574">
        <v>272503</v>
      </c>
      <c r="U45" s="574">
        <v>7379559</v>
      </c>
    </row>
    <row r="46" spans="1:21" x14ac:dyDescent="0.25">
      <c r="A46" s="569">
        <v>20800</v>
      </c>
      <c r="B46" s="570" t="s">
        <v>816</v>
      </c>
      <c r="C46" s="571">
        <v>3.6143E-3</v>
      </c>
      <c r="D46" s="571">
        <v>3.6311E-3</v>
      </c>
      <c r="E46" s="572">
        <v>4969462</v>
      </c>
      <c r="F46" s="572">
        <v>13381322</v>
      </c>
      <c r="G46" s="572">
        <v>33219151</v>
      </c>
      <c r="H46" s="572"/>
      <c r="I46" s="573">
        <v>0</v>
      </c>
      <c r="J46" s="573">
        <v>19005460</v>
      </c>
      <c r="K46" s="573">
        <v>4899017</v>
      </c>
      <c r="L46" s="572">
        <v>321737</v>
      </c>
      <c r="M46" s="572"/>
      <c r="N46" s="573">
        <v>1569983</v>
      </c>
      <c r="O46" s="573">
        <v>7158446</v>
      </c>
      <c r="P46" s="573">
        <v>0</v>
      </c>
      <c r="Q46" s="572">
        <v>598392</v>
      </c>
      <c r="R46" s="572"/>
      <c r="S46" s="573">
        <v>6364320</v>
      </c>
      <c r="T46" s="574">
        <v>-112076</v>
      </c>
      <c r="U46" s="574">
        <v>6252243</v>
      </c>
    </row>
    <row r="47" spans="1:21" x14ac:dyDescent="0.25">
      <c r="A47" s="569">
        <v>20900</v>
      </c>
      <c r="B47" s="570" t="s">
        <v>817</v>
      </c>
      <c r="C47" s="571">
        <v>4.7756999999999999E-3</v>
      </c>
      <c r="D47" s="571">
        <v>4.9801000000000003E-3</v>
      </c>
      <c r="E47" s="572">
        <v>6786867</v>
      </c>
      <c r="F47" s="572">
        <v>18352655</v>
      </c>
      <c r="G47" s="572">
        <v>43893616</v>
      </c>
      <c r="H47" s="572"/>
      <c r="I47" s="573">
        <v>0</v>
      </c>
      <c r="J47" s="573">
        <v>25112574</v>
      </c>
      <c r="K47" s="573">
        <v>6473242</v>
      </c>
      <c r="L47" s="572">
        <v>0</v>
      </c>
      <c r="M47" s="572"/>
      <c r="N47" s="573">
        <v>2074473</v>
      </c>
      <c r="O47" s="573">
        <v>9458704</v>
      </c>
      <c r="P47" s="573">
        <v>0</v>
      </c>
      <c r="Q47" s="572">
        <v>1237001</v>
      </c>
      <c r="R47" s="572"/>
      <c r="S47" s="573">
        <v>8409396</v>
      </c>
      <c r="T47" s="574">
        <v>-520026</v>
      </c>
      <c r="U47" s="574">
        <v>7889371</v>
      </c>
    </row>
    <row r="48" spans="1:21" x14ac:dyDescent="0.25">
      <c r="A48" s="569">
        <v>21200</v>
      </c>
      <c r="B48" s="570" t="s">
        <v>818</v>
      </c>
      <c r="C48" s="571">
        <v>1.7662000000000001E-3</v>
      </c>
      <c r="D48" s="571">
        <v>1.6559000000000001E-3</v>
      </c>
      <c r="E48" s="572">
        <v>2326806.46</v>
      </c>
      <c r="F48" s="572">
        <v>6102319</v>
      </c>
      <c r="G48" s="572">
        <v>16233202</v>
      </c>
      <c r="H48" s="572"/>
      <c r="I48" s="573">
        <v>0</v>
      </c>
      <c r="J48" s="573">
        <v>9287398</v>
      </c>
      <c r="K48" s="573">
        <v>2394003</v>
      </c>
      <c r="L48" s="572">
        <v>531802</v>
      </c>
      <c r="M48" s="572"/>
      <c r="N48" s="573">
        <v>767204</v>
      </c>
      <c r="O48" s="573">
        <v>3498118</v>
      </c>
      <c r="P48" s="573">
        <v>0</v>
      </c>
      <c r="Q48" s="572">
        <v>83285</v>
      </c>
      <c r="R48" s="572"/>
      <c r="S48" s="573">
        <v>3110052</v>
      </c>
      <c r="T48" s="574">
        <v>113930</v>
      </c>
      <c r="U48" s="574">
        <v>3223982</v>
      </c>
    </row>
    <row r="49" spans="1:21" x14ac:dyDescent="0.25">
      <c r="A49" s="569">
        <v>21300</v>
      </c>
      <c r="B49" s="570" t="s">
        <v>819</v>
      </c>
      <c r="C49" s="571">
        <v>2.20202E-2</v>
      </c>
      <c r="D49" s="571">
        <v>2.1394E-2</v>
      </c>
      <c r="E49" s="572">
        <v>28792582</v>
      </c>
      <c r="F49" s="572">
        <v>78841126</v>
      </c>
      <c r="G49" s="572">
        <v>202388385</v>
      </c>
      <c r="H49" s="572"/>
      <c r="I49" s="573">
        <v>0</v>
      </c>
      <c r="J49" s="573">
        <v>115791174</v>
      </c>
      <c r="K49" s="573">
        <v>29847368</v>
      </c>
      <c r="L49" s="572">
        <v>4612434</v>
      </c>
      <c r="M49" s="572"/>
      <c r="N49" s="573">
        <v>9565156</v>
      </c>
      <c r="O49" s="573">
        <v>43612988</v>
      </c>
      <c r="P49" s="573">
        <v>0</v>
      </c>
      <c r="Q49" s="572">
        <v>0</v>
      </c>
      <c r="R49" s="572"/>
      <c r="S49" s="573">
        <v>38774754</v>
      </c>
      <c r="T49" s="574">
        <v>1709019</v>
      </c>
      <c r="U49" s="574">
        <v>40483773</v>
      </c>
    </row>
    <row r="50" spans="1:21" x14ac:dyDescent="0.25">
      <c r="A50" s="569">
        <v>21520</v>
      </c>
      <c r="B50" s="570" t="s">
        <v>820</v>
      </c>
      <c r="C50" s="571">
        <v>3.0936100000000001E-2</v>
      </c>
      <c r="D50" s="571">
        <v>3.1222699999999999E-2</v>
      </c>
      <c r="E50" s="572">
        <v>41988704</v>
      </c>
      <c r="F50" s="572">
        <v>115061832</v>
      </c>
      <c r="G50" s="572">
        <v>284334716</v>
      </c>
      <c r="H50" s="572"/>
      <c r="I50" s="573">
        <v>0</v>
      </c>
      <c r="J50" s="573">
        <v>162674605</v>
      </c>
      <c r="K50" s="573">
        <v>41932460</v>
      </c>
      <c r="L50" s="572">
        <v>2354130</v>
      </c>
      <c r="M50" s="572"/>
      <c r="N50" s="573">
        <v>13438054</v>
      </c>
      <c r="O50" s="573">
        <v>61271730</v>
      </c>
      <c r="P50" s="573">
        <v>0</v>
      </c>
      <c r="Q50" s="572">
        <v>2031640</v>
      </c>
      <c r="R50" s="572"/>
      <c r="S50" s="573">
        <v>54474512</v>
      </c>
      <c r="T50" s="574">
        <v>253042</v>
      </c>
      <c r="U50" s="574">
        <v>54727554</v>
      </c>
    </row>
    <row r="51" spans="1:21" x14ac:dyDescent="0.25">
      <c r="A51" s="569">
        <v>21525</v>
      </c>
      <c r="B51" s="570" t="s">
        <v>1148</v>
      </c>
      <c r="C51" s="571">
        <v>1.2384E-3</v>
      </c>
      <c r="D51" s="571">
        <v>1.1854999999999999E-3</v>
      </c>
      <c r="E51" s="572">
        <v>1974157</v>
      </c>
      <c r="F51" s="572">
        <v>4851195</v>
      </c>
      <c r="G51" s="572">
        <v>11382175</v>
      </c>
      <c r="H51" s="572"/>
      <c r="I51" s="573">
        <v>0</v>
      </c>
      <c r="J51" s="573">
        <v>6512011</v>
      </c>
      <c r="K51" s="573">
        <v>1678594</v>
      </c>
      <c r="L51" s="572">
        <v>428623</v>
      </c>
      <c r="M51" s="572"/>
      <c r="N51" s="573">
        <v>537937</v>
      </c>
      <c r="O51" s="573">
        <v>2452763</v>
      </c>
      <c r="P51" s="573">
        <v>0</v>
      </c>
      <c r="Q51" s="572">
        <v>23011</v>
      </c>
      <c r="R51" s="572"/>
      <c r="S51" s="573">
        <v>2180664</v>
      </c>
      <c r="T51" s="574">
        <v>135538</v>
      </c>
      <c r="U51" s="574">
        <v>2316202</v>
      </c>
    </row>
    <row r="52" spans="1:21" x14ac:dyDescent="0.25">
      <c r="A52" s="569">
        <v>21525.200000000001</v>
      </c>
      <c r="B52" s="570" t="s">
        <v>1149</v>
      </c>
      <c r="C52" s="571">
        <v>1.1459999999999999E-4</v>
      </c>
      <c r="D52" s="571">
        <v>1.3090000000000001E-4</v>
      </c>
      <c r="E52" s="572"/>
      <c r="F52" s="572"/>
      <c r="G52" s="572">
        <v>1053292</v>
      </c>
      <c r="H52" s="572"/>
      <c r="I52" s="573">
        <v>0</v>
      </c>
      <c r="J52" s="573">
        <v>602613</v>
      </c>
      <c r="K52" s="573">
        <v>155335</v>
      </c>
      <c r="L52" s="572">
        <v>8736</v>
      </c>
      <c r="M52" s="572"/>
      <c r="N52" s="573">
        <v>49780</v>
      </c>
      <c r="O52" s="573">
        <v>226976</v>
      </c>
      <c r="P52" s="573">
        <v>0</v>
      </c>
      <c r="Q52" s="572">
        <v>27335</v>
      </c>
      <c r="R52" s="572"/>
      <c r="S52" s="573">
        <v>201796</v>
      </c>
      <c r="T52" s="574">
        <v>-3197</v>
      </c>
      <c r="U52" s="574">
        <v>198599</v>
      </c>
    </row>
    <row r="53" spans="1:21" x14ac:dyDescent="0.25">
      <c r="A53" s="569">
        <v>21550</v>
      </c>
      <c r="B53" s="570" t="s">
        <v>822</v>
      </c>
      <c r="C53" s="571">
        <v>3.5286900000000003E-2</v>
      </c>
      <c r="D53" s="571">
        <v>3.5722400000000001E-2</v>
      </c>
      <c r="E53" s="572">
        <v>46226676</v>
      </c>
      <c r="F53" s="572">
        <v>131644117</v>
      </c>
      <c r="G53" s="572">
        <v>324323062</v>
      </c>
      <c r="H53" s="572"/>
      <c r="I53" s="573">
        <v>0</v>
      </c>
      <c r="J53" s="573">
        <v>185552882</v>
      </c>
      <c r="K53" s="573">
        <v>47829770</v>
      </c>
      <c r="L53" s="572">
        <v>4630165</v>
      </c>
      <c r="M53" s="572"/>
      <c r="N53" s="573">
        <v>15327959</v>
      </c>
      <c r="O53" s="573">
        <v>69888881</v>
      </c>
      <c r="P53" s="573">
        <v>0</v>
      </c>
      <c r="Q53" s="572">
        <v>4601832</v>
      </c>
      <c r="R53" s="572"/>
      <c r="S53" s="573">
        <v>62135714</v>
      </c>
      <c r="T53" s="574">
        <v>870566</v>
      </c>
      <c r="U53" s="574">
        <v>63006280</v>
      </c>
    </row>
    <row r="54" spans="1:21" x14ac:dyDescent="0.25">
      <c r="A54" s="569">
        <v>21570</v>
      </c>
      <c r="B54" s="570" t="s">
        <v>823</v>
      </c>
      <c r="C54" s="571">
        <v>1.895E-4</v>
      </c>
      <c r="D54" s="571">
        <v>1.7019999999999999E-4</v>
      </c>
      <c r="E54" s="572">
        <v>266936.26</v>
      </c>
      <c r="F54" s="572">
        <v>627221</v>
      </c>
      <c r="G54" s="572">
        <v>1741701</v>
      </c>
      <c r="H54" s="572"/>
      <c r="I54" s="573">
        <v>0</v>
      </c>
      <c r="J54" s="573">
        <v>996468</v>
      </c>
      <c r="K54" s="573">
        <v>256859</v>
      </c>
      <c r="L54" s="572">
        <v>87656</v>
      </c>
      <c r="M54" s="572"/>
      <c r="N54" s="573">
        <v>82315</v>
      </c>
      <c r="O54" s="573">
        <v>375322</v>
      </c>
      <c r="P54" s="573">
        <v>0</v>
      </c>
      <c r="Q54" s="572">
        <v>69938</v>
      </c>
      <c r="R54" s="572"/>
      <c r="S54" s="573">
        <v>333685</v>
      </c>
      <c r="T54" s="574">
        <v>-8311</v>
      </c>
      <c r="U54" s="574">
        <v>325374</v>
      </c>
    </row>
    <row r="55" spans="1:21" x14ac:dyDescent="0.25">
      <c r="A55" s="569">
        <v>21800</v>
      </c>
      <c r="B55" s="570" t="s">
        <v>824</v>
      </c>
      <c r="C55" s="571">
        <v>3.0324000000000002E-3</v>
      </c>
      <c r="D55" s="571">
        <v>2.9962999999999999E-3</v>
      </c>
      <c r="E55" s="572">
        <v>4093880.15</v>
      </c>
      <c r="F55" s="572">
        <v>11041959</v>
      </c>
      <c r="G55" s="572">
        <v>27870888</v>
      </c>
      <c r="H55" s="572"/>
      <c r="I55" s="573">
        <v>0</v>
      </c>
      <c r="J55" s="573">
        <v>15945593</v>
      </c>
      <c r="K55" s="573">
        <v>4110279</v>
      </c>
      <c r="L55" s="572">
        <v>993383</v>
      </c>
      <c r="M55" s="572"/>
      <c r="N55" s="573">
        <v>1317217</v>
      </c>
      <c r="O55" s="573">
        <v>6005941</v>
      </c>
      <c r="P55" s="573">
        <v>0</v>
      </c>
      <c r="Q55" s="572">
        <v>0</v>
      </c>
      <c r="R55" s="572"/>
      <c r="S55" s="573">
        <v>5339668</v>
      </c>
      <c r="T55" s="574">
        <v>408328</v>
      </c>
      <c r="U55" s="574">
        <v>5747996</v>
      </c>
    </row>
    <row r="56" spans="1:21" x14ac:dyDescent="0.25">
      <c r="A56" s="569">
        <v>21900</v>
      </c>
      <c r="B56" s="570" t="s">
        <v>825</v>
      </c>
      <c r="C56" s="571">
        <v>2.3151999999999999E-3</v>
      </c>
      <c r="D56" s="571">
        <v>2.3990999999999999E-3</v>
      </c>
      <c r="E56" s="572">
        <v>3221979.68</v>
      </c>
      <c r="F56" s="572">
        <v>8841159</v>
      </c>
      <c r="G56" s="572">
        <v>21279080</v>
      </c>
      <c r="H56" s="572"/>
      <c r="I56" s="573">
        <v>0</v>
      </c>
      <c r="J56" s="573">
        <v>12174264</v>
      </c>
      <c r="K56" s="573">
        <v>3138147</v>
      </c>
      <c r="L56" s="572">
        <v>194157</v>
      </c>
      <c r="M56" s="572"/>
      <c r="N56" s="573">
        <v>1005679</v>
      </c>
      <c r="O56" s="573">
        <v>4585462</v>
      </c>
      <c r="P56" s="573">
        <v>0</v>
      </c>
      <c r="Q56" s="572">
        <v>137999</v>
      </c>
      <c r="R56" s="572"/>
      <c r="S56" s="573">
        <v>4076771</v>
      </c>
      <c r="T56" s="574">
        <v>63197</v>
      </c>
      <c r="U56" s="574">
        <v>4139968</v>
      </c>
    </row>
    <row r="57" spans="1:21" x14ac:dyDescent="0.25">
      <c r="A57" s="569">
        <v>22000</v>
      </c>
      <c r="B57" s="570" t="s">
        <v>826</v>
      </c>
      <c r="C57" s="571">
        <v>3.8665000000000001E-3</v>
      </c>
      <c r="D57" s="571">
        <v>4.1340999999999999E-3</v>
      </c>
      <c r="E57" s="572">
        <v>5790351</v>
      </c>
      <c r="F57" s="572">
        <v>15234977</v>
      </c>
      <c r="G57" s="572">
        <v>35537129</v>
      </c>
      <c r="H57" s="572"/>
      <c r="I57" s="573">
        <v>0</v>
      </c>
      <c r="J57" s="573">
        <v>20331631</v>
      </c>
      <c r="K57" s="573">
        <v>5240863</v>
      </c>
      <c r="L57" s="572">
        <v>525345</v>
      </c>
      <c r="M57" s="572"/>
      <c r="N57" s="573">
        <v>1679534</v>
      </c>
      <c r="O57" s="573">
        <v>7657951</v>
      </c>
      <c r="P57" s="573">
        <v>0</v>
      </c>
      <c r="Q57" s="572">
        <v>710995</v>
      </c>
      <c r="R57" s="572"/>
      <c r="S57" s="573">
        <v>6808412</v>
      </c>
      <c r="T57" s="574">
        <v>46137</v>
      </c>
      <c r="U57" s="574">
        <v>6854548</v>
      </c>
    </row>
    <row r="58" spans="1:21" x14ac:dyDescent="0.25">
      <c r="A58" s="569">
        <v>23000</v>
      </c>
      <c r="B58" s="570" t="s">
        <v>827</v>
      </c>
      <c r="C58" s="571">
        <v>1.1896000000000001E-3</v>
      </c>
      <c r="D58" s="571">
        <v>1.1814E-3</v>
      </c>
      <c r="E58" s="572">
        <v>1693791.54</v>
      </c>
      <c r="F58" s="572">
        <v>4353693</v>
      </c>
      <c r="G58" s="572">
        <v>10933653</v>
      </c>
      <c r="H58" s="572"/>
      <c r="I58" s="573">
        <v>0</v>
      </c>
      <c r="J58" s="573">
        <v>6255401</v>
      </c>
      <c r="K58" s="573">
        <v>1612448</v>
      </c>
      <c r="L58" s="572">
        <v>514641</v>
      </c>
      <c r="M58" s="572"/>
      <c r="N58" s="573">
        <v>516740</v>
      </c>
      <c r="O58" s="573">
        <v>2356110</v>
      </c>
      <c r="P58" s="573">
        <v>0</v>
      </c>
      <c r="Q58" s="572">
        <v>0</v>
      </c>
      <c r="R58" s="572"/>
      <c r="S58" s="573">
        <v>2094733</v>
      </c>
      <c r="T58" s="574">
        <v>224563</v>
      </c>
      <c r="U58" s="574">
        <v>2319296</v>
      </c>
    </row>
    <row r="59" spans="1:21" x14ac:dyDescent="0.25">
      <c r="A59" s="569">
        <v>23100</v>
      </c>
      <c r="B59" s="570" t="s">
        <v>828</v>
      </c>
      <c r="C59" s="571">
        <v>6.6102000000000001E-3</v>
      </c>
      <c r="D59" s="571">
        <v>6.7044000000000001E-3</v>
      </c>
      <c r="E59" s="572">
        <v>9303818</v>
      </c>
      <c r="F59" s="572">
        <v>24707041</v>
      </c>
      <c r="G59" s="572">
        <v>60754566</v>
      </c>
      <c r="H59" s="572"/>
      <c r="I59" s="573">
        <v>0</v>
      </c>
      <c r="J59" s="573">
        <v>34759122</v>
      </c>
      <c r="K59" s="573">
        <v>8959822</v>
      </c>
      <c r="L59" s="572">
        <v>949749</v>
      </c>
      <c r="M59" s="572"/>
      <c r="N59" s="573">
        <v>2871345</v>
      </c>
      <c r="O59" s="573">
        <v>13092096</v>
      </c>
      <c r="P59" s="573">
        <v>0</v>
      </c>
      <c r="Q59" s="572">
        <v>0</v>
      </c>
      <c r="R59" s="572"/>
      <c r="S59" s="573">
        <v>11639716</v>
      </c>
      <c r="T59" s="574">
        <v>426689</v>
      </c>
      <c r="U59" s="574">
        <v>12066405</v>
      </c>
    </row>
    <row r="60" spans="1:21" x14ac:dyDescent="0.25">
      <c r="A60" s="569">
        <v>23200</v>
      </c>
      <c r="B60" s="570" t="s">
        <v>829</v>
      </c>
      <c r="C60" s="571">
        <v>3.5978E-3</v>
      </c>
      <c r="D60" s="571">
        <v>3.5723E-3</v>
      </c>
      <c r="E60" s="572">
        <v>4896074.54</v>
      </c>
      <c r="F60" s="572">
        <v>13164633</v>
      </c>
      <c r="G60" s="572">
        <v>33067499</v>
      </c>
      <c r="H60" s="572"/>
      <c r="I60" s="573">
        <v>0</v>
      </c>
      <c r="J60" s="573">
        <v>18918697</v>
      </c>
      <c r="K60" s="573">
        <v>4876652</v>
      </c>
      <c r="L60" s="572">
        <v>337196</v>
      </c>
      <c r="M60" s="572"/>
      <c r="N60" s="573">
        <v>1562816</v>
      </c>
      <c r="O60" s="573">
        <v>7125767</v>
      </c>
      <c r="P60" s="573">
        <v>0</v>
      </c>
      <c r="Q60" s="572">
        <v>304802</v>
      </c>
      <c r="R60" s="572"/>
      <c r="S60" s="573">
        <v>6335265</v>
      </c>
      <c r="T60" s="574">
        <v>-71938</v>
      </c>
      <c r="U60" s="574">
        <v>6263327</v>
      </c>
    </row>
    <row r="61" spans="1:21" x14ac:dyDescent="0.25">
      <c r="A61" s="569">
        <v>30000</v>
      </c>
      <c r="B61" s="570" t="s">
        <v>830</v>
      </c>
      <c r="C61" s="571">
        <v>1.0038E-3</v>
      </c>
      <c r="D61" s="571">
        <v>1.0149E-3</v>
      </c>
      <c r="E61" s="572">
        <v>1219677</v>
      </c>
      <c r="F61" s="572">
        <v>3740107</v>
      </c>
      <c r="G61" s="572">
        <v>9225959</v>
      </c>
      <c r="H61" s="572"/>
      <c r="I61" s="573">
        <v>0</v>
      </c>
      <c r="J61" s="573">
        <v>5278389</v>
      </c>
      <c r="K61" s="573">
        <v>1360605</v>
      </c>
      <c r="L61" s="572">
        <v>0</v>
      </c>
      <c r="M61" s="572"/>
      <c r="N61" s="573">
        <v>436032</v>
      </c>
      <c r="O61" s="573">
        <v>1988116</v>
      </c>
      <c r="P61" s="573">
        <v>0</v>
      </c>
      <c r="Q61" s="572">
        <v>213016</v>
      </c>
      <c r="R61" s="572"/>
      <c r="S61" s="573">
        <v>1767563</v>
      </c>
      <c r="T61" s="574">
        <v>-89518</v>
      </c>
      <c r="U61" s="574">
        <v>1678045</v>
      </c>
    </row>
    <row r="62" spans="1:21" x14ac:dyDescent="0.25">
      <c r="A62" s="569">
        <v>30100</v>
      </c>
      <c r="B62" s="570" t="s">
        <v>831</v>
      </c>
      <c r="C62" s="571">
        <v>8.8232999999999992E-3</v>
      </c>
      <c r="D62" s="571">
        <v>8.5774000000000006E-3</v>
      </c>
      <c r="E62" s="572">
        <v>10432013</v>
      </c>
      <c r="F62" s="572">
        <v>31609417</v>
      </c>
      <c r="G62" s="572">
        <v>81095241</v>
      </c>
      <c r="H62" s="572"/>
      <c r="I62" s="573">
        <v>0</v>
      </c>
      <c r="J62" s="573">
        <v>46396502</v>
      </c>
      <c r="K62" s="573">
        <v>11959577</v>
      </c>
      <c r="L62" s="572">
        <v>373040</v>
      </c>
      <c r="M62" s="572"/>
      <c r="N62" s="573">
        <v>3832674</v>
      </c>
      <c r="O62" s="573">
        <v>17475340</v>
      </c>
      <c r="P62" s="573">
        <v>0</v>
      </c>
      <c r="Q62" s="572">
        <v>657861</v>
      </c>
      <c r="R62" s="572"/>
      <c r="S62" s="573">
        <v>15536702</v>
      </c>
      <c r="T62" s="574">
        <v>-248207</v>
      </c>
      <c r="U62" s="574">
        <v>15288495</v>
      </c>
    </row>
    <row r="63" spans="1:21" x14ac:dyDescent="0.25">
      <c r="A63" s="569">
        <v>30102</v>
      </c>
      <c r="B63" s="570" t="s">
        <v>832</v>
      </c>
      <c r="C63" s="571">
        <v>1.5970000000000001E-4</v>
      </c>
      <c r="D63" s="571">
        <v>1.407E-4</v>
      </c>
      <c r="E63" s="572">
        <v>181617</v>
      </c>
      <c r="F63" s="572">
        <v>518507</v>
      </c>
      <c r="G63" s="572">
        <v>1467808</v>
      </c>
      <c r="H63" s="572"/>
      <c r="I63" s="573">
        <v>0</v>
      </c>
      <c r="J63" s="573">
        <v>839768</v>
      </c>
      <c r="K63" s="573">
        <v>216466</v>
      </c>
      <c r="L63" s="572">
        <v>102898</v>
      </c>
      <c r="M63" s="572"/>
      <c r="N63" s="573">
        <v>69371</v>
      </c>
      <c r="O63" s="573">
        <v>316300</v>
      </c>
      <c r="P63" s="573">
        <v>0</v>
      </c>
      <c r="Q63" s="572">
        <v>0</v>
      </c>
      <c r="R63" s="572"/>
      <c r="S63" s="573">
        <v>281211</v>
      </c>
      <c r="T63" s="574">
        <v>36558</v>
      </c>
      <c r="U63" s="574">
        <v>317769</v>
      </c>
    </row>
    <row r="64" spans="1:21" x14ac:dyDescent="0.25">
      <c r="A64" s="569">
        <v>30103</v>
      </c>
      <c r="B64" s="570" t="s">
        <v>833</v>
      </c>
      <c r="C64" s="571">
        <v>1.8699999999999999E-4</v>
      </c>
      <c r="D64" s="571">
        <v>1.8760000000000001E-4</v>
      </c>
      <c r="E64" s="572">
        <v>211589</v>
      </c>
      <c r="F64" s="572">
        <v>691343</v>
      </c>
      <c r="G64" s="572">
        <v>1718723</v>
      </c>
      <c r="H64" s="572"/>
      <c r="I64" s="573">
        <v>0</v>
      </c>
      <c r="J64" s="573">
        <v>983322</v>
      </c>
      <c r="K64" s="573">
        <v>253470</v>
      </c>
      <c r="L64" s="572">
        <v>59739</v>
      </c>
      <c r="M64" s="572"/>
      <c r="N64" s="573">
        <v>81229</v>
      </c>
      <c r="O64" s="573">
        <v>370370</v>
      </c>
      <c r="P64" s="573">
        <v>0</v>
      </c>
      <c r="Q64" s="572">
        <v>22552</v>
      </c>
      <c r="R64" s="572"/>
      <c r="S64" s="573">
        <v>329283</v>
      </c>
      <c r="T64" s="574">
        <v>21929</v>
      </c>
      <c r="U64" s="574">
        <v>351212</v>
      </c>
    </row>
    <row r="65" spans="1:21" x14ac:dyDescent="0.25">
      <c r="A65" s="569">
        <v>30104</v>
      </c>
      <c r="B65" s="570" t="s">
        <v>834</v>
      </c>
      <c r="C65" s="571">
        <v>1.081E-4</v>
      </c>
      <c r="D65" s="571">
        <v>8.6700000000000007E-5</v>
      </c>
      <c r="E65" s="572">
        <v>118104</v>
      </c>
      <c r="F65" s="572">
        <v>319507</v>
      </c>
      <c r="G65" s="572">
        <v>993551</v>
      </c>
      <c r="H65" s="572"/>
      <c r="I65" s="573">
        <v>0</v>
      </c>
      <c r="J65" s="573">
        <v>568434</v>
      </c>
      <c r="K65" s="573">
        <v>146525</v>
      </c>
      <c r="L65" s="572">
        <v>137326</v>
      </c>
      <c r="M65" s="572"/>
      <c r="N65" s="573">
        <v>46957</v>
      </c>
      <c r="O65" s="573">
        <v>214102</v>
      </c>
      <c r="P65" s="573">
        <v>0</v>
      </c>
      <c r="Q65" s="572">
        <v>0</v>
      </c>
      <c r="R65" s="572"/>
      <c r="S65" s="573">
        <v>190350</v>
      </c>
      <c r="T65" s="574">
        <v>52746</v>
      </c>
      <c r="U65" s="574">
        <v>243097</v>
      </c>
    </row>
    <row r="66" spans="1:21" x14ac:dyDescent="0.25">
      <c r="A66" s="569">
        <v>30105</v>
      </c>
      <c r="B66" s="570" t="s">
        <v>835</v>
      </c>
      <c r="C66" s="571">
        <v>8.5320000000000003E-4</v>
      </c>
      <c r="D66" s="571">
        <v>8.1840000000000005E-4</v>
      </c>
      <c r="E66" s="572">
        <v>1143841.04</v>
      </c>
      <c r="F66" s="572">
        <v>3015966</v>
      </c>
      <c r="G66" s="572">
        <v>7841789</v>
      </c>
      <c r="H66" s="572"/>
      <c r="I66" s="573">
        <v>0</v>
      </c>
      <c r="J66" s="573">
        <v>4486473</v>
      </c>
      <c r="K66" s="573">
        <v>1156473</v>
      </c>
      <c r="L66" s="572">
        <v>264743</v>
      </c>
      <c r="M66" s="572"/>
      <c r="N66" s="573">
        <v>370614</v>
      </c>
      <c r="O66" s="573">
        <v>1689839</v>
      </c>
      <c r="P66" s="573">
        <v>0</v>
      </c>
      <c r="Q66" s="572">
        <v>0</v>
      </c>
      <c r="R66" s="572"/>
      <c r="S66" s="573">
        <v>1502376</v>
      </c>
      <c r="T66" s="574">
        <v>98522</v>
      </c>
      <c r="U66" s="574">
        <v>1600898</v>
      </c>
    </row>
    <row r="67" spans="1:21" x14ac:dyDescent="0.25">
      <c r="A67" s="569">
        <v>30200</v>
      </c>
      <c r="B67" s="570" t="s">
        <v>836</v>
      </c>
      <c r="C67" s="571">
        <v>1.9545000000000001E-3</v>
      </c>
      <c r="D67" s="571">
        <v>2.0178000000000001E-3</v>
      </c>
      <c r="E67" s="572">
        <v>2394754.19</v>
      </c>
      <c r="F67" s="572">
        <v>7435993</v>
      </c>
      <c r="G67" s="572">
        <v>17963874</v>
      </c>
      <c r="H67" s="572"/>
      <c r="I67" s="573">
        <v>0</v>
      </c>
      <c r="J67" s="573">
        <v>10277556</v>
      </c>
      <c r="K67" s="573">
        <v>2649235</v>
      </c>
      <c r="L67" s="572">
        <v>0</v>
      </c>
      <c r="M67" s="572"/>
      <c r="N67" s="573">
        <v>848998</v>
      </c>
      <c r="O67" s="573">
        <v>3871063</v>
      </c>
      <c r="P67" s="573">
        <v>0</v>
      </c>
      <c r="Q67" s="572">
        <v>523572</v>
      </c>
      <c r="R67" s="572"/>
      <c r="S67" s="573">
        <v>3441624</v>
      </c>
      <c r="T67" s="574">
        <v>-199493</v>
      </c>
      <c r="U67" s="574">
        <v>3242131</v>
      </c>
    </row>
    <row r="68" spans="1:21" x14ac:dyDescent="0.25">
      <c r="A68" s="569">
        <v>30300</v>
      </c>
      <c r="B68" s="570" t="s">
        <v>837</v>
      </c>
      <c r="C68" s="571">
        <v>6.8050000000000001E-4</v>
      </c>
      <c r="D68" s="571">
        <v>6.734E-4</v>
      </c>
      <c r="E68" s="572">
        <v>839107.02</v>
      </c>
      <c r="F68" s="572">
        <v>2481612</v>
      </c>
      <c r="G68" s="572">
        <v>6254498</v>
      </c>
      <c r="H68" s="572"/>
      <c r="I68" s="573">
        <v>0</v>
      </c>
      <c r="J68" s="573">
        <v>3578346</v>
      </c>
      <c r="K68" s="573">
        <v>922386</v>
      </c>
      <c r="L68" s="572">
        <v>4161</v>
      </c>
      <c r="M68" s="572"/>
      <c r="N68" s="573">
        <v>295596</v>
      </c>
      <c r="O68" s="573">
        <v>1347791</v>
      </c>
      <c r="P68" s="573">
        <v>0</v>
      </c>
      <c r="Q68" s="572">
        <v>18103</v>
      </c>
      <c r="R68" s="572"/>
      <c r="S68" s="573">
        <v>1198273</v>
      </c>
      <c r="T68" s="574">
        <v>-8476</v>
      </c>
      <c r="U68" s="574">
        <v>1189797</v>
      </c>
    </row>
    <row r="69" spans="1:21" x14ac:dyDescent="0.25">
      <c r="A69" s="569">
        <v>30400</v>
      </c>
      <c r="B69" s="570" t="s">
        <v>838</v>
      </c>
      <c r="C69" s="571">
        <v>1.2626E-3</v>
      </c>
      <c r="D69" s="571">
        <v>1.3213000000000001E-3</v>
      </c>
      <c r="E69" s="572">
        <v>1698374</v>
      </c>
      <c r="F69" s="572">
        <v>4869252</v>
      </c>
      <c r="G69" s="572">
        <v>11604598</v>
      </c>
      <c r="H69" s="572"/>
      <c r="I69" s="573">
        <v>0</v>
      </c>
      <c r="J69" s="573">
        <v>6639265</v>
      </c>
      <c r="K69" s="573">
        <v>1711396</v>
      </c>
      <c r="L69" s="572">
        <v>187296</v>
      </c>
      <c r="M69" s="572"/>
      <c r="N69" s="573">
        <v>548449</v>
      </c>
      <c r="O69" s="573">
        <v>2500693</v>
      </c>
      <c r="P69" s="573">
        <v>0</v>
      </c>
      <c r="Q69" s="572">
        <v>273573</v>
      </c>
      <c r="R69" s="572"/>
      <c r="S69" s="573">
        <v>2223277</v>
      </c>
      <c r="T69" s="574">
        <v>-44639</v>
      </c>
      <c r="U69" s="574">
        <v>2178638</v>
      </c>
    </row>
    <row r="70" spans="1:21" x14ac:dyDescent="0.25">
      <c r="A70" s="569">
        <v>30405</v>
      </c>
      <c r="B70" s="570" t="s">
        <v>839</v>
      </c>
      <c r="C70" s="571">
        <v>8.2660000000000003E-4</v>
      </c>
      <c r="D70" s="571">
        <v>8.0889999999999998E-4</v>
      </c>
      <c r="E70" s="572">
        <v>1030943</v>
      </c>
      <c r="F70" s="572">
        <v>2980957</v>
      </c>
      <c r="G70" s="572">
        <v>7597308</v>
      </c>
      <c r="H70" s="572"/>
      <c r="I70" s="573">
        <v>0</v>
      </c>
      <c r="J70" s="573">
        <v>4346599</v>
      </c>
      <c r="K70" s="573">
        <v>1120418</v>
      </c>
      <c r="L70" s="572">
        <v>353578</v>
      </c>
      <c r="M70" s="572"/>
      <c r="N70" s="573">
        <v>359059</v>
      </c>
      <c r="O70" s="573">
        <v>1637156</v>
      </c>
      <c r="P70" s="573">
        <v>0</v>
      </c>
      <c r="Q70" s="572">
        <v>0</v>
      </c>
      <c r="R70" s="572"/>
      <c r="S70" s="573">
        <v>1455537</v>
      </c>
      <c r="T70" s="574">
        <v>154877</v>
      </c>
      <c r="U70" s="574">
        <v>1610414</v>
      </c>
    </row>
    <row r="71" spans="1:21" x14ac:dyDescent="0.25">
      <c r="A71" s="569">
        <v>30500</v>
      </c>
      <c r="B71" s="570" t="s">
        <v>840</v>
      </c>
      <c r="C71" s="571">
        <v>1.3144000000000001E-3</v>
      </c>
      <c r="D71" s="571">
        <v>1.3231E-3</v>
      </c>
      <c r="E71" s="572">
        <v>1632442</v>
      </c>
      <c r="F71" s="572">
        <v>4875885</v>
      </c>
      <c r="G71" s="572">
        <v>12080694</v>
      </c>
      <c r="H71" s="572"/>
      <c r="I71" s="573">
        <v>0</v>
      </c>
      <c r="J71" s="573">
        <v>6911650</v>
      </c>
      <c r="K71" s="573">
        <v>1781609</v>
      </c>
      <c r="L71" s="572">
        <v>38990</v>
      </c>
      <c r="M71" s="572"/>
      <c r="N71" s="573">
        <v>570950</v>
      </c>
      <c r="O71" s="573">
        <v>2603287</v>
      </c>
      <c r="P71" s="573">
        <v>0</v>
      </c>
      <c r="Q71" s="572">
        <v>150326</v>
      </c>
      <c r="R71" s="572"/>
      <c r="S71" s="573">
        <v>2314490</v>
      </c>
      <c r="T71" s="574">
        <v>-52351</v>
      </c>
      <c r="U71" s="574">
        <v>2262139</v>
      </c>
    </row>
    <row r="72" spans="1:21" x14ac:dyDescent="0.25">
      <c r="A72" s="569">
        <v>30600</v>
      </c>
      <c r="B72" s="570" t="s">
        <v>841</v>
      </c>
      <c r="C72" s="571">
        <v>1.0258999999999999E-3</v>
      </c>
      <c r="D72" s="571">
        <v>1.0248E-3</v>
      </c>
      <c r="E72" s="572">
        <v>1274946</v>
      </c>
      <c r="F72" s="572">
        <v>3776591</v>
      </c>
      <c r="G72" s="572">
        <v>9429081</v>
      </c>
      <c r="H72" s="572"/>
      <c r="I72" s="573">
        <v>0</v>
      </c>
      <c r="J72" s="573">
        <v>5394600</v>
      </c>
      <c r="K72" s="573">
        <v>1390560</v>
      </c>
      <c r="L72" s="572">
        <v>43081</v>
      </c>
      <c r="M72" s="572"/>
      <c r="N72" s="573">
        <v>445631</v>
      </c>
      <c r="O72" s="573">
        <v>2031887</v>
      </c>
      <c r="P72" s="573">
        <v>0</v>
      </c>
      <c r="Q72" s="572">
        <v>19622</v>
      </c>
      <c r="R72" s="572"/>
      <c r="S72" s="573">
        <v>1806479</v>
      </c>
      <c r="T72" s="574">
        <v>12199</v>
      </c>
      <c r="U72" s="574">
        <v>1818677</v>
      </c>
    </row>
    <row r="73" spans="1:21" x14ac:dyDescent="0.25">
      <c r="A73" s="569">
        <v>30601</v>
      </c>
      <c r="B73" s="570" t="s">
        <v>842</v>
      </c>
      <c r="C73" s="571">
        <v>2.3099999999999999E-5</v>
      </c>
      <c r="D73" s="571">
        <v>2.51E-5</v>
      </c>
      <c r="E73" s="572">
        <v>27323.84</v>
      </c>
      <c r="F73" s="572">
        <v>92498</v>
      </c>
      <c r="G73" s="572">
        <v>212313</v>
      </c>
      <c r="H73" s="572"/>
      <c r="I73" s="573">
        <v>0</v>
      </c>
      <c r="J73" s="573">
        <v>121469</v>
      </c>
      <c r="K73" s="573">
        <v>31311</v>
      </c>
      <c r="L73" s="572">
        <v>9773</v>
      </c>
      <c r="M73" s="572"/>
      <c r="N73" s="573">
        <v>10034</v>
      </c>
      <c r="O73" s="573">
        <v>45752</v>
      </c>
      <c r="P73" s="573">
        <v>0</v>
      </c>
      <c r="Q73" s="572">
        <v>9199</v>
      </c>
      <c r="R73" s="572"/>
      <c r="S73" s="573">
        <v>40676</v>
      </c>
      <c r="T73" s="574">
        <v>947</v>
      </c>
      <c r="U73" s="574">
        <v>41623</v>
      </c>
    </row>
    <row r="74" spans="1:21" x14ac:dyDescent="0.25">
      <c r="A74" s="569">
        <v>30700</v>
      </c>
      <c r="B74" s="570" t="s">
        <v>843</v>
      </c>
      <c r="C74" s="571">
        <v>2.6148999999999999E-3</v>
      </c>
      <c r="D74" s="571">
        <v>2.6264000000000001E-3</v>
      </c>
      <c r="E74" s="572">
        <v>3368692</v>
      </c>
      <c r="F74" s="572">
        <v>9678804</v>
      </c>
      <c r="G74" s="572">
        <v>24033632</v>
      </c>
      <c r="H74" s="572"/>
      <c r="I74" s="573">
        <v>0</v>
      </c>
      <c r="J74" s="573">
        <v>13750208</v>
      </c>
      <c r="K74" s="573">
        <v>3544377</v>
      </c>
      <c r="L74" s="572">
        <v>171016</v>
      </c>
      <c r="M74" s="572"/>
      <c r="N74" s="573">
        <v>1135863</v>
      </c>
      <c r="O74" s="573">
        <v>5179045</v>
      </c>
      <c r="P74" s="573">
        <v>0</v>
      </c>
      <c r="Q74" s="572">
        <v>7585</v>
      </c>
      <c r="R74" s="572"/>
      <c r="S74" s="573">
        <v>4604504</v>
      </c>
      <c r="T74" s="574">
        <v>68464</v>
      </c>
      <c r="U74" s="574">
        <v>4672969</v>
      </c>
    </row>
    <row r="75" spans="1:21" x14ac:dyDescent="0.25">
      <c r="A75" s="569">
        <v>30705</v>
      </c>
      <c r="B75" s="570" t="s">
        <v>844</v>
      </c>
      <c r="C75" s="571">
        <v>5.3589999999999996E-4</v>
      </c>
      <c r="D75" s="571">
        <v>4.9689999999999999E-4</v>
      </c>
      <c r="E75" s="572">
        <v>700449.64</v>
      </c>
      <c r="F75" s="572">
        <v>1831175</v>
      </c>
      <c r="G75" s="572">
        <v>4925475</v>
      </c>
      <c r="H75" s="572"/>
      <c r="I75" s="573">
        <v>0</v>
      </c>
      <c r="J75" s="573">
        <v>2817980</v>
      </c>
      <c r="K75" s="573">
        <v>726388</v>
      </c>
      <c r="L75" s="572">
        <v>220334</v>
      </c>
      <c r="M75" s="572"/>
      <c r="N75" s="573">
        <v>232785</v>
      </c>
      <c r="O75" s="573">
        <v>1061398</v>
      </c>
      <c r="P75" s="573">
        <v>0</v>
      </c>
      <c r="Q75" s="572">
        <v>5288</v>
      </c>
      <c r="R75" s="572"/>
      <c r="S75" s="573">
        <v>943651</v>
      </c>
      <c r="T75" s="574">
        <v>79964</v>
      </c>
      <c r="U75" s="574">
        <v>1023615</v>
      </c>
    </row>
    <row r="76" spans="1:21" x14ac:dyDescent="0.25">
      <c r="A76" s="569">
        <v>30800</v>
      </c>
      <c r="B76" s="570" t="s">
        <v>845</v>
      </c>
      <c r="C76" s="571">
        <v>1.0441999999999999E-3</v>
      </c>
      <c r="D76" s="571">
        <v>1.1248E-3</v>
      </c>
      <c r="E76" s="572">
        <v>1371376.91</v>
      </c>
      <c r="F76" s="572">
        <v>4145111</v>
      </c>
      <c r="G76" s="572">
        <v>9597277</v>
      </c>
      <c r="H76" s="572"/>
      <c r="I76" s="573">
        <v>0</v>
      </c>
      <c r="J76" s="573">
        <v>5490829</v>
      </c>
      <c r="K76" s="573">
        <v>1415365</v>
      </c>
      <c r="L76" s="572">
        <v>129367</v>
      </c>
      <c r="M76" s="572"/>
      <c r="N76" s="573">
        <v>453581</v>
      </c>
      <c r="O76" s="573">
        <v>2068132</v>
      </c>
      <c r="P76" s="573">
        <v>0</v>
      </c>
      <c r="Q76" s="572">
        <v>304479</v>
      </c>
      <c r="R76" s="572"/>
      <c r="S76" s="573">
        <v>1838703</v>
      </c>
      <c r="T76" s="574">
        <v>-20355</v>
      </c>
      <c r="U76" s="574">
        <v>1818348</v>
      </c>
    </row>
    <row r="77" spans="1:21" x14ac:dyDescent="0.25">
      <c r="A77" s="569">
        <v>30900</v>
      </c>
      <c r="B77" s="570" t="s">
        <v>846</v>
      </c>
      <c r="C77" s="571">
        <v>1.7328000000000001E-3</v>
      </c>
      <c r="D77" s="571">
        <v>1.7661E-3</v>
      </c>
      <c r="E77" s="572">
        <v>2245056.1</v>
      </c>
      <c r="F77" s="572">
        <v>6508428</v>
      </c>
      <c r="G77" s="572">
        <v>15926222</v>
      </c>
      <c r="H77" s="572"/>
      <c r="I77" s="573">
        <v>0</v>
      </c>
      <c r="J77" s="573">
        <v>9111768</v>
      </c>
      <c r="K77" s="573">
        <v>2348731</v>
      </c>
      <c r="L77" s="572">
        <v>0</v>
      </c>
      <c r="M77" s="572"/>
      <c r="N77" s="573">
        <v>752695</v>
      </c>
      <c r="O77" s="573">
        <v>3431966</v>
      </c>
      <c r="P77" s="573">
        <v>0</v>
      </c>
      <c r="Q77" s="572">
        <v>310651</v>
      </c>
      <c r="R77" s="572"/>
      <c r="S77" s="573">
        <v>3051239</v>
      </c>
      <c r="T77" s="574">
        <v>-122011</v>
      </c>
      <c r="U77" s="574">
        <v>2929228</v>
      </c>
    </row>
    <row r="78" spans="1:21" x14ac:dyDescent="0.25">
      <c r="A78" s="569">
        <v>30905</v>
      </c>
      <c r="B78" s="570" t="s">
        <v>847</v>
      </c>
      <c r="C78" s="571">
        <v>3.5169999999999998E-4</v>
      </c>
      <c r="D78" s="571">
        <v>3.7520000000000001E-4</v>
      </c>
      <c r="E78" s="572">
        <v>515130</v>
      </c>
      <c r="F78" s="572">
        <v>1382686</v>
      </c>
      <c r="G78" s="572">
        <v>3232486</v>
      </c>
      <c r="H78" s="572"/>
      <c r="I78" s="573">
        <v>0</v>
      </c>
      <c r="J78" s="573">
        <v>1849382</v>
      </c>
      <c r="K78" s="573">
        <v>476713</v>
      </c>
      <c r="L78" s="572">
        <v>871</v>
      </c>
      <c r="M78" s="572"/>
      <c r="N78" s="573">
        <v>152772</v>
      </c>
      <c r="O78" s="573">
        <v>696574</v>
      </c>
      <c r="P78" s="573">
        <v>0</v>
      </c>
      <c r="Q78" s="572">
        <v>90580</v>
      </c>
      <c r="R78" s="572"/>
      <c r="S78" s="573">
        <v>619299</v>
      </c>
      <c r="T78" s="574">
        <v>-31355</v>
      </c>
      <c r="U78" s="574">
        <v>587944</v>
      </c>
    </row>
    <row r="79" spans="1:21" x14ac:dyDescent="0.25">
      <c r="A79" s="569">
        <v>31000</v>
      </c>
      <c r="B79" s="570" t="s">
        <v>848</v>
      </c>
      <c r="C79" s="571">
        <v>4.8155000000000003E-3</v>
      </c>
      <c r="D79" s="571">
        <v>4.8412000000000004E-3</v>
      </c>
      <c r="E79" s="572">
        <v>6024227</v>
      </c>
      <c r="F79" s="572">
        <v>17840781</v>
      </c>
      <c r="G79" s="572">
        <v>44259419</v>
      </c>
      <c r="H79" s="572"/>
      <c r="I79" s="573">
        <v>0</v>
      </c>
      <c r="J79" s="573">
        <v>25321859</v>
      </c>
      <c r="K79" s="573">
        <v>6527189</v>
      </c>
      <c r="L79" s="572">
        <v>516552</v>
      </c>
      <c r="M79" s="572"/>
      <c r="N79" s="573">
        <v>2091762</v>
      </c>
      <c r="O79" s="573">
        <v>9537531</v>
      </c>
      <c r="P79" s="573">
        <v>0</v>
      </c>
      <c r="Q79" s="572">
        <v>169263</v>
      </c>
      <c r="R79" s="572"/>
      <c r="S79" s="573">
        <v>8479479</v>
      </c>
      <c r="T79" s="574">
        <v>206780</v>
      </c>
      <c r="U79" s="574">
        <v>8686259</v>
      </c>
    </row>
    <row r="80" spans="1:21" x14ac:dyDescent="0.25">
      <c r="A80" s="569">
        <v>31005</v>
      </c>
      <c r="B80" s="570" t="s">
        <v>849</v>
      </c>
      <c r="C80" s="571">
        <v>4.8200000000000001E-4</v>
      </c>
      <c r="D80" s="571">
        <v>4.6559999999999999E-4</v>
      </c>
      <c r="E80" s="572">
        <v>700886.58</v>
      </c>
      <c r="F80" s="572">
        <v>1715828</v>
      </c>
      <c r="G80" s="572">
        <v>4430078</v>
      </c>
      <c r="H80" s="572"/>
      <c r="I80" s="573">
        <v>0</v>
      </c>
      <c r="J80" s="573">
        <v>2534552</v>
      </c>
      <c r="K80" s="573">
        <v>653329</v>
      </c>
      <c r="L80" s="572">
        <v>138803</v>
      </c>
      <c r="M80" s="572"/>
      <c r="N80" s="573">
        <v>209372</v>
      </c>
      <c r="O80" s="573">
        <v>954644.38</v>
      </c>
      <c r="P80" s="573">
        <v>0</v>
      </c>
      <c r="Q80" s="572">
        <v>17553</v>
      </c>
      <c r="R80" s="572"/>
      <c r="S80" s="573">
        <v>848740</v>
      </c>
      <c r="T80" s="574">
        <v>31244</v>
      </c>
      <c r="U80" s="574">
        <v>879984</v>
      </c>
    </row>
    <row r="81" spans="1:21" x14ac:dyDescent="0.25">
      <c r="A81" s="569">
        <v>31100</v>
      </c>
      <c r="B81" s="570" t="s">
        <v>850</v>
      </c>
      <c r="C81" s="571">
        <v>9.9386000000000006E-3</v>
      </c>
      <c r="D81" s="571">
        <v>9.9407000000000002E-3</v>
      </c>
      <c r="E81" s="572">
        <v>12146133</v>
      </c>
      <c r="F81" s="572">
        <v>36633448</v>
      </c>
      <c r="G81" s="572">
        <v>91346001</v>
      </c>
      <c r="H81" s="572"/>
      <c r="I81" s="573">
        <v>0</v>
      </c>
      <c r="J81" s="573">
        <v>52261204</v>
      </c>
      <c r="K81" s="573">
        <v>13471315</v>
      </c>
      <c r="L81" s="572">
        <v>0</v>
      </c>
      <c r="M81" s="572"/>
      <c r="N81" s="573">
        <v>4317139</v>
      </c>
      <c r="O81" s="573">
        <v>19684292</v>
      </c>
      <c r="P81" s="573">
        <v>0</v>
      </c>
      <c r="Q81" s="572">
        <v>797515</v>
      </c>
      <c r="R81" s="572"/>
      <c r="S81" s="573">
        <v>17500602</v>
      </c>
      <c r="T81" s="574">
        <v>-303786</v>
      </c>
      <c r="U81" s="574">
        <v>17196817</v>
      </c>
    </row>
    <row r="82" spans="1:21" x14ac:dyDescent="0.25">
      <c r="A82" s="569">
        <v>31101</v>
      </c>
      <c r="B82" s="570" t="s">
        <v>851</v>
      </c>
      <c r="C82" s="571">
        <v>6.7299999999999996E-5</v>
      </c>
      <c r="D82" s="571">
        <v>6.86E-5</v>
      </c>
      <c r="E82" s="572">
        <v>71654</v>
      </c>
      <c r="F82" s="572">
        <v>252805</v>
      </c>
      <c r="G82" s="572">
        <v>618557</v>
      </c>
      <c r="H82" s="572"/>
      <c r="I82" s="573">
        <v>0</v>
      </c>
      <c r="J82" s="573">
        <v>353891</v>
      </c>
      <c r="K82" s="573">
        <v>91222</v>
      </c>
      <c r="L82" s="572">
        <v>0</v>
      </c>
      <c r="M82" s="572"/>
      <c r="N82" s="573">
        <v>29234</v>
      </c>
      <c r="O82" s="573">
        <v>133294</v>
      </c>
      <c r="P82" s="573">
        <v>0</v>
      </c>
      <c r="Q82" s="572">
        <v>53374</v>
      </c>
      <c r="R82" s="572"/>
      <c r="S82" s="573">
        <v>118507</v>
      </c>
      <c r="T82" s="574">
        <v>-19578</v>
      </c>
      <c r="U82" s="574">
        <v>98929</v>
      </c>
    </row>
    <row r="83" spans="1:21" x14ac:dyDescent="0.25">
      <c r="A83" s="569">
        <v>31102</v>
      </c>
      <c r="B83" s="570" t="s">
        <v>852</v>
      </c>
      <c r="C83" s="571">
        <v>1.5300000000000001E-4</v>
      </c>
      <c r="D83" s="571">
        <v>1.5589999999999999E-4</v>
      </c>
      <c r="E83" s="572">
        <v>164729</v>
      </c>
      <c r="F83" s="572">
        <v>574522</v>
      </c>
      <c r="G83" s="572">
        <v>1406228</v>
      </c>
      <c r="H83" s="572"/>
      <c r="I83" s="573">
        <v>0</v>
      </c>
      <c r="J83" s="573">
        <v>804536</v>
      </c>
      <c r="K83" s="573">
        <v>207384</v>
      </c>
      <c r="L83" s="572">
        <v>0</v>
      </c>
      <c r="M83" s="572"/>
      <c r="N83" s="573">
        <v>66460</v>
      </c>
      <c r="O83" s="573">
        <v>303030.27</v>
      </c>
      <c r="P83" s="573">
        <v>0</v>
      </c>
      <c r="Q83" s="572">
        <v>114676</v>
      </c>
      <c r="R83" s="572"/>
      <c r="S83" s="573">
        <v>269413</v>
      </c>
      <c r="T83" s="574">
        <v>-51538</v>
      </c>
      <c r="U83" s="574">
        <v>217875</v>
      </c>
    </row>
    <row r="84" spans="1:21" x14ac:dyDescent="0.25">
      <c r="A84" s="569">
        <v>31105</v>
      </c>
      <c r="B84" s="570" t="s">
        <v>853</v>
      </c>
      <c r="C84" s="571">
        <v>1.5401E-3</v>
      </c>
      <c r="D84" s="571">
        <v>1.6336E-3</v>
      </c>
      <c r="E84" s="572">
        <v>2068385</v>
      </c>
      <c r="F84" s="572">
        <v>6020139</v>
      </c>
      <c r="G84" s="572">
        <v>14155110</v>
      </c>
      <c r="H84" s="572"/>
      <c r="I84" s="573">
        <v>0</v>
      </c>
      <c r="J84" s="573">
        <v>8098473</v>
      </c>
      <c r="K84" s="573">
        <v>2087535</v>
      </c>
      <c r="L84" s="572">
        <v>298531</v>
      </c>
      <c r="M84" s="572"/>
      <c r="N84" s="573">
        <v>668990</v>
      </c>
      <c r="O84" s="573">
        <v>3050307</v>
      </c>
      <c r="P84" s="573">
        <v>0</v>
      </c>
      <c r="Q84" s="572">
        <v>242509</v>
      </c>
      <c r="R84" s="572"/>
      <c r="S84" s="573">
        <v>2711919</v>
      </c>
      <c r="T84" s="574">
        <v>53333</v>
      </c>
      <c r="U84" s="574">
        <v>2765252</v>
      </c>
    </row>
    <row r="85" spans="1:21" x14ac:dyDescent="0.25">
      <c r="A85" s="569">
        <v>31110</v>
      </c>
      <c r="B85" s="570" t="s">
        <v>854</v>
      </c>
      <c r="C85" s="571">
        <v>2.3018000000000001E-3</v>
      </c>
      <c r="D85" s="571">
        <v>2.3462000000000001E-3</v>
      </c>
      <c r="E85" s="572">
        <v>2663672</v>
      </c>
      <c r="F85" s="572">
        <v>8646212</v>
      </c>
      <c r="G85" s="572">
        <v>21155920</v>
      </c>
      <c r="H85" s="572"/>
      <c r="I85" s="573">
        <v>0</v>
      </c>
      <c r="J85" s="573">
        <v>12103801</v>
      </c>
      <c r="K85" s="573">
        <v>3119984</v>
      </c>
      <c r="L85" s="572">
        <v>201088</v>
      </c>
      <c r="M85" s="572"/>
      <c r="N85" s="573">
        <v>999858</v>
      </c>
      <c r="O85" s="573">
        <v>4558922</v>
      </c>
      <c r="P85" s="573">
        <v>0</v>
      </c>
      <c r="Q85" s="572">
        <v>361139</v>
      </c>
      <c r="R85" s="572"/>
      <c r="S85" s="573">
        <v>4053175</v>
      </c>
      <c r="T85" s="574">
        <v>-22160</v>
      </c>
      <c r="U85" s="574">
        <v>4031015</v>
      </c>
    </row>
    <row r="86" spans="1:21" x14ac:dyDescent="0.25">
      <c r="A86" s="569">
        <v>31200</v>
      </c>
      <c r="B86" s="570" t="s">
        <v>855</v>
      </c>
      <c r="C86" s="571">
        <v>4.7600000000000003E-3</v>
      </c>
      <c r="D86" s="571">
        <v>4.8599000000000003E-3</v>
      </c>
      <c r="E86" s="572">
        <v>5837120</v>
      </c>
      <c r="F86" s="572">
        <v>17909694</v>
      </c>
      <c r="G86" s="572">
        <v>43749317</v>
      </c>
      <c r="H86" s="572"/>
      <c r="I86" s="573">
        <v>0</v>
      </c>
      <c r="J86" s="573">
        <v>25030017</v>
      </c>
      <c r="K86" s="573">
        <v>6451961</v>
      </c>
      <c r="L86" s="572">
        <v>0</v>
      </c>
      <c r="M86" s="572"/>
      <c r="N86" s="573">
        <v>2067653.56</v>
      </c>
      <c r="O86" s="573">
        <v>9427608</v>
      </c>
      <c r="P86" s="573">
        <v>0</v>
      </c>
      <c r="Q86" s="572">
        <v>1535883</v>
      </c>
      <c r="R86" s="572"/>
      <c r="S86" s="573">
        <v>8381751</v>
      </c>
      <c r="T86" s="574">
        <v>-584566</v>
      </c>
      <c r="U86" s="574">
        <v>7797185</v>
      </c>
    </row>
    <row r="87" spans="1:21" x14ac:dyDescent="0.25">
      <c r="A87" s="569">
        <v>31205</v>
      </c>
      <c r="B87" s="570" t="s">
        <v>856</v>
      </c>
      <c r="C87" s="571">
        <v>5.8929999999999996E-4</v>
      </c>
      <c r="D87" s="571">
        <v>6.2350000000000003E-4</v>
      </c>
      <c r="E87" s="572">
        <v>815299.16</v>
      </c>
      <c r="F87" s="572">
        <v>2297721</v>
      </c>
      <c r="G87" s="572">
        <v>5416276</v>
      </c>
      <c r="H87" s="572"/>
      <c r="I87" s="573">
        <v>0</v>
      </c>
      <c r="J87" s="573">
        <v>3098779</v>
      </c>
      <c r="K87" s="573">
        <v>798769</v>
      </c>
      <c r="L87" s="572">
        <v>0</v>
      </c>
      <c r="M87" s="572"/>
      <c r="N87" s="573">
        <v>255981</v>
      </c>
      <c r="O87" s="573">
        <v>1167162</v>
      </c>
      <c r="P87" s="573">
        <v>0</v>
      </c>
      <c r="Q87" s="572">
        <v>312082</v>
      </c>
      <c r="R87" s="572"/>
      <c r="S87" s="573">
        <v>1037682</v>
      </c>
      <c r="T87" s="574">
        <v>-127738</v>
      </c>
      <c r="U87" s="574">
        <v>909943</v>
      </c>
    </row>
    <row r="88" spans="1:21" x14ac:dyDescent="0.25">
      <c r="A88" s="569">
        <v>31300</v>
      </c>
      <c r="B88" s="570" t="s">
        <v>857</v>
      </c>
      <c r="C88" s="571">
        <v>1.1785500000000001E-2</v>
      </c>
      <c r="D88" s="571">
        <v>1.12263E-2</v>
      </c>
      <c r="E88" s="572">
        <v>13640747</v>
      </c>
      <c r="F88" s="572">
        <v>41371138</v>
      </c>
      <c r="G88" s="572">
        <v>108320919</v>
      </c>
      <c r="H88" s="572"/>
      <c r="I88" s="573">
        <v>0</v>
      </c>
      <c r="J88" s="573">
        <v>61972956</v>
      </c>
      <c r="K88" s="573">
        <v>15974703</v>
      </c>
      <c r="L88" s="572">
        <v>2044914</v>
      </c>
      <c r="M88" s="572"/>
      <c r="N88" s="573">
        <v>5119397</v>
      </c>
      <c r="O88" s="573">
        <v>23342243</v>
      </c>
      <c r="P88" s="573">
        <v>0</v>
      </c>
      <c r="Q88" s="572">
        <v>838689</v>
      </c>
      <c r="R88" s="572"/>
      <c r="S88" s="573">
        <v>20752757</v>
      </c>
      <c r="T88" s="574">
        <v>227420</v>
      </c>
      <c r="U88" s="574">
        <v>20980177</v>
      </c>
    </row>
    <row r="89" spans="1:21" x14ac:dyDescent="0.25">
      <c r="A89" s="569">
        <v>31301</v>
      </c>
      <c r="B89" s="570" t="s">
        <v>858</v>
      </c>
      <c r="C89" s="571">
        <v>2.3729999999999999E-4</v>
      </c>
      <c r="D89" s="571">
        <v>1.9369999999999999E-4</v>
      </c>
      <c r="E89" s="572">
        <v>261806</v>
      </c>
      <c r="F89" s="572">
        <v>713823</v>
      </c>
      <c r="G89" s="572">
        <v>2181032</v>
      </c>
      <c r="H89" s="572"/>
      <c r="I89" s="573">
        <v>0</v>
      </c>
      <c r="J89" s="573">
        <v>1247820</v>
      </c>
      <c r="K89" s="573">
        <v>321649</v>
      </c>
      <c r="L89" s="572">
        <v>166752</v>
      </c>
      <c r="M89" s="572"/>
      <c r="N89" s="573">
        <v>103079</v>
      </c>
      <c r="O89" s="573">
        <v>469994</v>
      </c>
      <c r="P89" s="573">
        <v>0</v>
      </c>
      <c r="Q89" s="572">
        <v>0</v>
      </c>
      <c r="R89" s="572"/>
      <c r="S89" s="573">
        <v>417855</v>
      </c>
      <c r="T89" s="574">
        <v>56215</v>
      </c>
      <c r="U89" s="574">
        <v>474070</v>
      </c>
    </row>
    <row r="90" spans="1:21" x14ac:dyDescent="0.25">
      <c r="A90" s="569">
        <v>31320</v>
      </c>
      <c r="B90" s="570" t="s">
        <v>859</v>
      </c>
      <c r="C90" s="571">
        <v>2.2084000000000001E-3</v>
      </c>
      <c r="D90" s="571">
        <v>2.2095000000000001E-3</v>
      </c>
      <c r="E90" s="572">
        <v>2577748.19</v>
      </c>
      <c r="F90" s="572">
        <v>8142445</v>
      </c>
      <c r="G90" s="572">
        <v>20297477</v>
      </c>
      <c r="H90" s="572"/>
      <c r="I90" s="573">
        <v>0</v>
      </c>
      <c r="J90" s="573">
        <v>11612666</v>
      </c>
      <c r="K90" s="573">
        <v>2993385</v>
      </c>
      <c r="L90" s="572">
        <v>0</v>
      </c>
      <c r="M90" s="572"/>
      <c r="N90" s="573">
        <v>959287</v>
      </c>
      <c r="O90" s="573">
        <v>4373935</v>
      </c>
      <c r="P90" s="573">
        <v>0</v>
      </c>
      <c r="Q90" s="572">
        <v>538165</v>
      </c>
      <c r="R90" s="572"/>
      <c r="S90" s="573">
        <v>3888710</v>
      </c>
      <c r="T90" s="574">
        <v>-231373</v>
      </c>
      <c r="U90" s="574">
        <v>3657337</v>
      </c>
    </row>
    <row r="91" spans="1:21" x14ac:dyDescent="0.25">
      <c r="A91" s="569">
        <v>31400</v>
      </c>
      <c r="B91" s="570" t="s">
        <v>860</v>
      </c>
      <c r="C91" s="571">
        <v>4.731E-3</v>
      </c>
      <c r="D91" s="571">
        <v>4.7343000000000003E-3</v>
      </c>
      <c r="E91" s="572">
        <v>5877573</v>
      </c>
      <c r="F91" s="572">
        <v>17446833</v>
      </c>
      <c r="G91" s="572">
        <v>43482777</v>
      </c>
      <c r="H91" s="572"/>
      <c r="I91" s="573">
        <v>0</v>
      </c>
      <c r="J91" s="573">
        <v>24877524</v>
      </c>
      <c r="K91" s="573">
        <v>6412653</v>
      </c>
      <c r="L91" s="572">
        <v>0</v>
      </c>
      <c r="M91" s="572"/>
      <c r="N91" s="573">
        <v>2055057</v>
      </c>
      <c r="O91" s="573">
        <v>9370171</v>
      </c>
      <c r="P91" s="573">
        <v>0</v>
      </c>
      <c r="Q91" s="572">
        <v>422982</v>
      </c>
      <c r="R91" s="572"/>
      <c r="S91" s="573">
        <v>8330685</v>
      </c>
      <c r="T91" s="574">
        <v>-192193</v>
      </c>
      <c r="U91" s="574">
        <v>8138493</v>
      </c>
    </row>
    <row r="92" spans="1:21" x14ac:dyDescent="0.25">
      <c r="A92" s="569">
        <v>31405</v>
      </c>
      <c r="B92" s="570" t="s">
        <v>861</v>
      </c>
      <c r="C92" s="571">
        <v>9.4410000000000002E-4</v>
      </c>
      <c r="D92" s="571">
        <v>9.8060000000000009E-4</v>
      </c>
      <c r="E92" s="572">
        <v>1348309</v>
      </c>
      <c r="F92" s="572">
        <v>3613705</v>
      </c>
      <c r="G92" s="572">
        <v>8677254</v>
      </c>
      <c r="H92" s="572"/>
      <c r="I92" s="573">
        <v>0</v>
      </c>
      <c r="J92" s="573">
        <v>4964462</v>
      </c>
      <c r="K92" s="573">
        <v>1279684</v>
      </c>
      <c r="L92" s="572">
        <v>0</v>
      </c>
      <c r="M92" s="572"/>
      <c r="N92" s="573">
        <v>410099</v>
      </c>
      <c r="O92" s="573">
        <v>1869875</v>
      </c>
      <c r="P92" s="573">
        <v>0</v>
      </c>
      <c r="Q92" s="572">
        <v>227378</v>
      </c>
      <c r="R92" s="572"/>
      <c r="S92" s="573">
        <v>1662439</v>
      </c>
      <c r="T92" s="574">
        <v>-95727</v>
      </c>
      <c r="U92" s="574">
        <v>1566713</v>
      </c>
    </row>
    <row r="93" spans="1:21" x14ac:dyDescent="0.25">
      <c r="A93" s="569">
        <v>31500</v>
      </c>
      <c r="B93" s="570" t="s">
        <v>862</v>
      </c>
      <c r="C93" s="571">
        <v>7.2920000000000005E-4</v>
      </c>
      <c r="D93" s="571">
        <v>7.4350000000000002E-4</v>
      </c>
      <c r="E93" s="572">
        <v>953252</v>
      </c>
      <c r="F93" s="572">
        <v>2739945</v>
      </c>
      <c r="G93" s="572">
        <v>6702101</v>
      </c>
      <c r="H93" s="572"/>
      <c r="I93" s="573">
        <v>0</v>
      </c>
      <c r="J93" s="573">
        <v>3834430</v>
      </c>
      <c r="K93" s="573">
        <v>988397</v>
      </c>
      <c r="L93" s="572">
        <v>0</v>
      </c>
      <c r="M93" s="572"/>
      <c r="N93" s="573">
        <v>316751</v>
      </c>
      <c r="O93" s="573">
        <v>1444246</v>
      </c>
      <c r="P93" s="573">
        <v>0</v>
      </c>
      <c r="Q93" s="572">
        <v>126500</v>
      </c>
      <c r="R93" s="572"/>
      <c r="S93" s="573">
        <v>1284028</v>
      </c>
      <c r="T93" s="574">
        <v>-47532</v>
      </c>
      <c r="U93" s="574">
        <v>1236496</v>
      </c>
    </row>
    <row r="94" spans="1:21" x14ac:dyDescent="0.25">
      <c r="A94" s="569">
        <v>31600</v>
      </c>
      <c r="B94" s="570" t="s">
        <v>863</v>
      </c>
      <c r="C94" s="571">
        <v>3.2935999999999998E-3</v>
      </c>
      <c r="D94" s="571">
        <v>3.2607000000000001E-3</v>
      </c>
      <c r="E94" s="572">
        <v>4145194</v>
      </c>
      <c r="F94" s="572">
        <v>12016325</v>
      </c>
      <c r="G94" s="572">
        <v>30271586</v>
      </c>
      <c r="H94" s="572"/>
      <c r="I94" s="573">
        <v>0</v>
      </c>
      <c r="J94" s="573">
        <v>17319089</v>
      </c>
      <c r="K94" s="573">
        <v>4464323</v>
      </c>
      <c r="L94" s="572">
        <v>391819</v>
      </c>
      <c r="M94" s="572"/>
      <c r="N94" s="573">
        <v>1430677</v>
      </c>
      <c r="O94" s="573">
        <v>6523271</v>
      </c>
      <c r="P94" s="573">
        <v>0</v>
      </c>
      <c r="Q94" s="572">
        <v>0</v>
      </c>
      <c r="R94" s="572"/>
      <c r="S94" s="573">
        <v>5799608</v>
      </c>
      <c r="T94" s="574">
        <v>177894</v>
      </c>
      <c r="U94" s="574">
        <v>5977502</v>
      </c>
    </row>
    <row r="95" spans="1:21" x14ac:dyDescent="0.25">
      <c r="A95" s="569">
        <v>31601</v>
      </c>
      <c r="B95" s="570" t="s">
        <v>864</v>
      </c>
      <c r="C95" s="571">
        <v>0</v>
      </c>
      <c r="D95" s="571">
        <v>0</v>
      </c>
      <c r="E95" s="572"/>
      <c r="F95" s="572">
        <v>0</v>
      </c>
      <c r="G95" s="572">
        <v>0</v>
      </c>
      <c r="H95" s="572"/>
      <c r="I95" s="573">
        <v>0</v>
      </c>
      <c r="J95" s="573">
        <v>0</v>
      </c>
      <c r="K95" s="573">
        <v>0</v>
      </c>
      <c r="L95" s="572">
        <v>0</v>
      </c>
      <c r="M95" s="572"/>
      <c r="N95" s="573">
        <v>0</v>
      </c>
      <c r="O95" s="573">
        <v>0</v>
      </c>
      <c r="P95" s="573">
        <v>0</v>
      </c>
      <c r="Q95" s="572">
        <v>31472</v>
      </c>
      <c r="R95" s="572"/>
      <c r="S95" s="573">
        <v>0</v>
      </c>
      <c r="T95" s="574">
        <v>-12747</v>
      </c>
      <c r="U95" s="574">
        <v>-12747</v>
      </c>
    </row>
    <row r="96" spans="1:21" x14ac:dyDescent="0.25">
      <c r="A96" s="569">
        <v>31605</v>
      </c>
      <c r="B96" s="570" t="s">
        <v>865</v>
      </c>
      <c r="C96" s="571">
        <v>4.7249999999999999E-4</v>
      </c>
      <c r="D96" s="571">
        <v>4.7429999999999998E-4</v>
      </c>
      <c r="E96" s="572">
        <v>682594</v>
      </c>
      <c r="F96" s="572">
        <v>1747889</v>
      </c>
      <c r="G96" s="572">
        <v>4342763</v>
      </c>
      <c r="H96" s="572"/>
      <c r="I96" s="573">
        <v>0</v>
      </c>
      <c r="J96" s="573">
        <v>2484597</v>
      </c>
      <c r="K96" s="573">
        <v>640452</v>
      </c>
      <c r="L96" s="572">
        <v>80559</v>
      </c>
      <c r="M96" s="572"/>
      <c r="N96" s="573">
        <v>205245</v>
      </c>
      <c r="O96" s="573">
        <v>935829</v>
      </c>
      <c r="P96" s="573">
        <v>0</v>
      </c>
      <c r="Q96" s="572">
        <v>9017</v>
      </c>
      <c r="R96" s="572"/>
      <c r="S96" s="573">
        <v>832012.02</v>
      </c>
      <c r="T96" s="574">
        <v>20318</v>
      </c>
      <c r="U96" s="574">
        <v>852330</v>
      </c>
    </row>
    <row r="97" spans="1:21" x14ac:dyDescent="0.25">
      <c r="A97" s="569">
        <v>31700</v>
      </c>
      <c r="B97" s="570" t="s">
        <v>866</v>
      </c>
      <c r="C97" s="571">
        <v>9.8649999999999996E-4</v>
      </c>
      <c r="D97" s="571">
        <v>9.8630000000000007E-4</v>
      </c>
      <c r="E97" s="572">
        <v>1325133</v>
      </c>
      <c r="F97" s="572">
        <v>3634711</v>
      </c>
      <c r="G97" s="572">
        <v>9066954</v>
      </c>
      <c r="H97" s="572"/>
      <c r="I97" s="573">
        <v>0</v>
      </c>
      <c r="J97" s="573">
        <v>5187419</v>
      </c>
      <c r="K97" s="573">
        <v>1337155</v>
      </c>
      <c r="L97" s="572">
        <v>205470</v>
      </c>
      <c r="M97" s="572"/>
      <c r="N97" s="573">
        <v>428517</v>
      </c>
      <c r="O97" s="573">
        <v>1953852</v>
      </c>
      <c r="P97" s="573">
        <v>0</v>
      </c>
      <c r="Q97" s="572">
        <v>43026</v>
      </c>
      <c r="R97" s="572"/>
      <c r="S97" s="573">
        <v>1737100</v>
      </c>
      <c r="T97" s="574">
        <v>49355</v>
      </c>
      <c r="U97" s="574">
        <v>1786455</v>
      </c>
    </row>
    <row r="98" spans="1:21" x14ac:dyDescent="0.25">
      <c r="A98" s="569">
        <v>31800</v>
      </c>
      <c r="B98" s="570" t="s">
        <v>867</v>
      </c>
      <c r="C98" s="571">
        <v>6.1303E-3</v>
      </c>
      <c r="D98" s="571">
        <v>6.2585999999999996E-3</v>
      </c>
      <c r="E98" s="572">
        <v>7617115</v>
      </c>
      <c r="F98" s="572">
        <v>23064180</v>
      </c>
      <c r="G98" s="572">
        <v>56343790</v>
      </c>
      <c r="H98" s="572"/>
      <c r="I98" s="573">
        <v>0</v>
      </c>
      <c r="J98" s="573">
        <v>32235612</v>
      </c>
      <c r="K98" s="573">
        <v>8309340</v>
      </c>
      <c r="L98" s="572">
        <v>41346</v>
      </c>
      <c r="M98" s="572"/>
      <c r="N98" s="573">
        <v>2662886</v>
      </c>
      <c r="O98" s="573">
        <v>12141611</v>
      </c>
      <c r="P98" s="573">
        <v>0</v>
      </c>
      <c r="Q98" s="572">
        <v>668257</v>
      </c>
      <c r="R98" s="572"/>
      <c r="S98" s="573">
        <v>10794674</v>
      </c>
      <c r="T98" s="574">
        <v>-196815</v>
      </c>
      <c r="U98" s="574">
        <v>10597859</v>
      </c>
    </row>
    <row r="99" spans="1:21" x14ac:dyDescent="0.25">
      <c r="A99" s="569">
        <v>31805</v>
      </c>
      <c r="B99" s="570" t="s">
        <v>868</v>
      </c>
      <c r="C99" s="571">
        <v>1.1666999999999999E-3</v>
      </c>
      <c r="D99" s="571">
        <v>1.1642E-3</v>
      </c>
      <c r="E99" s="572">
        <v>1606789.14</v>
      </c>
      <c r="F99" s="572">
        <v>4290308</v>
      </c>
      <c r="G99" s="572">
        <v>10723178</v>
      </c>
      <c r="H99" s="572"/>
      <c r="I99" s="573">
        <v>0</v>
      </c>
      <c r="J99" s="573">
        <v>6134983</v>
      </c>
      <c r="K99" s="573">
        <v>1581408</v>
      </c>
      <c r="L99" s="572">
        <v>127717</v>
      </c>
      <c r="M99" s="572"/>
      <c r="N99" s="573">
        <v>506792</v>
      </c>
      <c r="O99" s="573">
        <v>2310754</v>
      </c>
      <c r="P99" s="573">
        <v>0</v>
      </c>
      <c r="Q99" s="572">
        <v>129796</v>
      </c>
      <c r="R99" s="572"/>
      <c r="S99" s="573">
        <v>2054409</v>
      </c>
      <c r="T99" s="574">
        <v>-6677</v>
      </c>
      <c r="U99" s="574">
        <v>2047733</v>
      </c>
    </row>
    <row r="100" spans="1:21" x14ac:dyDescent="0.25">
      <c r="A100" s="569">
        <v>31810</v>
      </c>
      <c r="B100" s="570" t="s">
        <v>869</v>
      </c>
      <c r="C100" s="571">
        <v>1.5257999999999999E-3</v>
      </c>
      <c r="D100" s="571">
        <v>1.4873E-3</v>
      </c>
      <c r="E100" s="572">
        <v>1900264</v>
      </c>
      <c r="F100" s="572">
        <v>5480995</v>
      </c>
      <c r="G100" s="572">
        <v>14023678</v>
      </c>
      <c r="H100" s="572"/>
      <c r="I100" s="573">
        <v>0</v>
      </c>
      <c r="J100" s="573">
        <v>8023277</v>
      </c>
      <c r="K100" s="573">
        <v>2068152</v>
      </c>
      <c r="L100" s="572">
        <v>103016</v>
      </c>
      <c r="M100" s="572"/>
      <c r="N100" s="573">
        <v>662779</v>
      </c>
      <c r="O100" s="573">
        <v>3021984</v>
      </c>
      <c r="P100" s="573">
        <v>0</v>
      </c>
      <c r="Q100" s="572">
        <v>249459</v>
      </c>
      <c r="R100" s="572"/>
      <c r="S100" s="573">
        <v>2686738</v>
      </c>
      <c r="T100" s="574">
        <v>-103973</v>
      </c>
      <c r="U100" s="574">
        <v>2582765</v>
      </c>
    </row>
    <row r="101" spans="1:21" x14ac:dyDescent="0.25">
      <c r="A101" s="569">
        <v>31820</v>
      </c>
      <c r="B101" s="570" t="s">
        <v>870</v>
      </c>
      <c r="C101" s="571">
        <v>1.3676999999999999E-3</v>
      </c>
      <c r="D101" s="571">
        <v>1.2941999999999999E-3</v>
      </c>
      <c r="E101" s="572">
        <v>1579175.12</v>
      </c>
      <c r="F101" s="572">
        <v>4769383</v>
      </c>
      <c r="G101" s="572">
        <v>12570576</v>
      </c>
      <c r="H101" s="572"/>
      <c r="I101" s="573">
        <v>0</v>
      </c>
      <c r="J101" s="573">
        <v>7191923</v>
      </c>
      <c r="K101" s="573">
        <v>1853854</v>
      </c>
      <c r="L101" s="572">
        <v>187338</v>
      </c>
      <c r="M101" s="572"/>
      <c r="N101" s="573">
        <v>594103</v>
      </c>
      <c r="O101" s="573">
        <v>2708853</v>
      </c>
      <c r="P101" s="573">
        <v>0</v>
      </c>
      <c r="Q101" s="572">
        <v>22402</v>
      </c>
      <c r="R101" s="572"/>
      <c r="S101" s="573">
        <v>2408345</v>
      </c>
      <c r="T101" s="574">
        <v>46481</v>
      </c>
      <c r="U101" s="574">
        <v>2454826</v>
      </c>
    </row>
    <row r="102" spans="1:21" x14ac:dyDescent="0.25">
      <c r="A102" s="569">
        <v>31900</v>
      </c>
      <c r="B102" s="570" t="s">
        <v>871</v>
      </c>
      <c r="C102" s="571">
        <v>3.5163999999999998E-3</v>
      </c>
      <c r="D102" s="571">
        <v>3.5747999999999999E-3</v>
      </c>
      <c r="E102" s="572">
        <v>4335787</v>
      </c>
      <c r="F102" s="572">
        <v>13173846</v>
      </c>
      <c r="G102" s="572">
        <v>32319348</v>
      </c>
      <c r="H102" s="572"/>
      <c r="I102" s="573">
        <v>0</v>
      </c>
      <c r="J102" s="573">
        <v>18490662</v>
      </c>
      <c r="K102" s="573">
        <v>4766318</v>
      </c>
      <c r="L102" s="572">
        <v>207860</v>
      </c>
      <c r="M102" s="572"/>
      <c r="N102" s="573">
        <v>1527457</v>
      </c>
      <c r="O102" s="573">
        <v>6964547</v>
      </c>
      <c r="P102" s="573">
        <v>0</v>
      </c>
      <c r="Q102" s="572">
        <v>363990</v>
      </c>
      <c r="R102" s="572"/>
      <c r="S102" s="573">
        <v>6191930</v>
      </c>
      <c r="T102" s="574">
        <v>-38939</v>
      </c>
      <c r="U102" s="574">
        <v>6152992</v>
      </c>
    </row>
    <row r="103" spans="1:21" x14ac:dyDescent="0.25">
      <c r="A103" s="569">
        <v>32000</v>
      </c>
      <c r="B103" s="570" t="s">
        <v>872</v>
      </c>
      <c r="C103" s="571">
        <v>1.4400999999999999E-3</v>
      </c>
      <c r="D103" s="571">
        <v>1.3655E-3</v>
      </c>
      <c r="E103" s="572">
        <v>1776395.42</v>
      </c>
      <c r="F103" s="572">
        <v>5032138</v>
      </c>
      <c r="G103" s="572">
        <v>13236007</v>
      </c>
      <c r="H103" s="572"/>
      <c r="I103" s="573">
        <v>0</v>
      </c>
      <c r="J103" s="573">
        <v>7572632</v>
      </c>
      <c r="K103" s="573">
        <v>1951989</v>
      </c>
      <c r="L103" s="572">
        <v>279209</v>
      </c>
      <c r="M103" s="572"/>
      <c r="N103" s="573">
        <v>625552</v>
      </c>
      <c r="O103" s="573">
        <v>2852248</v>
      </c>
      <c r="P103" s="573">
        <v>0</v>
      </c>
      <c r="Q103" s="572">
        <v>35013</v>
      </c>
      <c r="R103" s="572"/>
      <c r="S103" s="573">
        <v>2535832</v>
      </c>
      <c r="T103" s="574">
        <v>66370</v>
      </c>
      <c r="U103" s="574">
        <v>2602202</v>
      </c>
    </row>
    <row r="104" spans="1:21" x14ac:dyDescent="0.25">
      <c r="A104" s="569">
        <v>32005</v>
      </c>
      <c r="B104" s="570" t="s">
        <v>873</v>
      </c>
      <c r="C104" s="571">
        <v>3.2870000000000002E-4</v>
      </c>
      <c r="D104" s="571">
        <v>3.4200000000000002E-4</v>
      </c>
      <c r="E104" s="572">
        <v>446094.88</v>
      </c>
      <c r="F104" s="572">
        <v>1260338</v>
      </c>
      <c r="G104" s="572">
        <v>3021093</v>
      </c>
      <c r="H104" s="572"/>
      <c r="I104" s="573">
        <v>0</v>
      </c>
      <c r="J104" s="573">
        <v>1728438</v>
      </c>
      <c r="K104" s="573">
        <v>445538</v>
      </c>
      <c r="L104" s="572">
        <v>116428</v>
      </c>
      <c r="M104" s="572"/>
      <c r="N104" s="573">
        <v>142781</v>
      </c>
      <c r="O104" s="573">
        <v>651020</v>
      </c>
      <c r="P104" s="573">
        <v>0</v>
      </c>
      <c r="Q104" s="572">
        <v>24851</v>
      </c>
      <c r="R104" s="572"/>
      <c r="S104" s="573">
        <v>578799</v>
      </c>
      <c r="T104" s="574">
        <v>45414</v>
      </c>
      <c r="U104" s="574">
        <v>624213</v>
      </c>
    </row>
    <row r="105" spans="1:21" x14ac:dyDescent="0.25">
      <c r="A105" s="569">
        <v>32100</v>
      </c>
      <c r="B105" s="570" t="s">
        <v>874</v>
      </c>
      <c r="C105" s="571">
        <v>8.8730000000000005E-4</v>
      </c>
      <c r="D105" s="571">
        <v>9.3099999999999997E-4</v>
      </c>
      <c r="E105" s="572">
        <v>1144658</v>
      </c>
      <c r="F105" s="572">
        <v>3430919</v>
      </c>
      <c r="G105" s="572">
        <v>8155204</v>
      </c>
      <c r="H105" s="572"/>
      <c r="I105" s="573">
        <v>0</v>
      </c>
      <c r="J105" s="573">
        <v>4665785</v>
      </c>
      <c r="K105" s="573">
        <v>1202694</v>
      </c>
      <c r="L105" s="572">
        <v>0</v>
      </c>
      <c r="M105" s="572"/>
      <c r="N105" s="573">
        <v>385426</v>
      </c>
      <c r="O105" s="573">
        <v>1757378</v>
      </c>
      <c r="P105" s="573">
        <v>0</v>
      </c>
      <c r="Q105" s="572">
        <v>265622</v>
      </c>
      <c r="R105" s="572"/>
      <c r="S105" s="573">
        <v>1562422</v>
      </c>
      <c r="T105" s="574">
        <v>-93209</v>
      </c>
      <c r="U105" s="574">
        <v>1469213</v>
      </c>
    </row>
    <row r="106" spans="1:21" x14ac:dyDescent="0.25">
      <c r="A106" s="569">
        <v>32200</v>
      </c>
      <c r="B106" s="570" t="s">
        <v>875</v>
      </c>
      <c r="C106" s="571">
        <v>5.4869999999999995E-4</v>
      </c>
      <c r="D106" s="571">
        <v>5.4440000000000001E-4</v>
      </c>
      <c r="E106" s="572">
        <v>690658.81</v>
      </c>
      <c r="F106" s="572">
        <v>2006222</v>
      </c>
      <c r="G106" s="572">
        <v>5043120</v>
      </c>
      <c r="H106" s="572"/>
      <c r="I106" s="573">
        <v>0</v>
      </c>
      <c r="J106" s="573">
        <v>2885288</v>
      </c>
      <c r="K106" s="573">
        <v>743738</v>
      </c>
      <c r="L106" s="572">
        <v>76014</v>
      </c>
      <c r="M106" s="572"/>
      <c r="N106" s="573">
        <v>238345</v>
      </c>
      <c r="O106" s="573">
        <v>1086750</v>
      </c>
      <c r="P106" s="573">
        <v>0</v>
      </c>
      <c r="Q106" s="572">
        <v>0</v>
      </c>
      <c r="R106" s="572"/>
      <c r="S106" s="573">
        <v>966190</v>
      </c>
      <c r="T106" s="574">
        <v>34493</v>
      </c>
      <c r="U106" s="574">
        <v>1000684</v>
      </c>
    </row>
    <row r="107" spans="1:21" x14ac:dyDescent="0.25">
      <c r="A107" s="569">
        <v>32300</v>
      </c>
      <c r="B107" s="570" t="s">
        <v>876</v>
      </c>
      <c r="C107" s="571">
        <v>6.2827999999999998E-3</v>
      </c>
      <c r="D107" s="571">
        <v>6.3115999999999997E-3</v>
      </c>
      <c r="E107" s="572">
        <v>7508107</v>
      </c>
      <c r="F107" s="572">
        <v>23259496</v>
      </c>
      <c r="G107" s="572">
        <v>57745422</v>
      </c>
      <c r="H107" s="572"/>
      <c r="I107" s="573">
        <v>0</v>
      </c>
      <c r="J107" s="573">
        <v>33037519</v>
      </c>
      <c r="K107" s="573">
        <v>8516046</v>
      </c>
      <c r="L107" s="572">
        <v>0</v>
      </c>
      <c r="M107" s="572"/>
      <c r="N107" s="573">
        <v>2729129</v>
      </c>
      <c r="O107" s="573">
        <v>12443651</v>
      </c>
      <c r="P107" s="573">
        <v>0</v>
      </c>
      <c r="Q107" s="572">
        <v>1075020</v>
      </c>
      <c r="R107" s="572"/>
      <c r="S107" s="573">
        <v>11063207</v>
      </c>
      <c r="T107" s="574">
        <v>-433060</v>
      </c>
      <c r="U107" s="574">
        <v>10630146</v>
      </c>
    </row>
    <row r="108" spans="1:21" x14ac:dyDescent="0.25">
      <c r="A108" s="569">
        <v>32305</v>
      </c>
      <c r="B108" s="570" t="s">
        <v>877</v>
      </c>
      <c r="C108" s="571">
        <v>6.2580000000000003E-4</v>
      </c>
      <c r="D108" s="571">
        <v>6.3920000000000003E-4</v>
      </c>
      <c r="E108" s="572">
        <v>918561</v>
      </c>
      <c r="F108" s="572">
        <v>2355579</v>
      </c>
      <c r="G108" s="572">
        <v>5751748</v>
      </c>
      <c r="H108" s="572"/>
      <c r="I108" s="573">
        <v>0</v>
      </c>
      <c r="J108" s="573">
        <v>3290711</v>
      </c>
      <c r="K108" s="573">
        <v>848243</v>
      </c>
      <c r="L108" s="572">
        <v>286194</v>
      </c>
      <c r="M108" s="572"/>
      <c r="N108" s="573">
        <v>271836</v>
      </c>
      <c r="O108" s="573">
        <v>1239453</v>
      </c>
      <c r="P108" s="573">
        <v>0</v>
      </c>
      <c r="Q108" s="572">
        <v>0</v>
      </c>
      <c r="R108" s="572"/>
      <c r="S108" s="573">
        <v>1101954</v>
      </c>
      <c r="T108" s="574">
        <v>120157</v>
      </c>
      <c r="U108" s="574">
        <v>1222110</v>
      </c>
    </row>
    <row r="109" spans="1:21" x14ac:dyDescent="0.25">
      <c r="A109" s="569">
        <v>32400</v>
      </c>
      <c r="B109" s="570" t="s">
        <v>878</v>
      </c>
      <c r="C109" s="571">
        <v>2.2591999999999998E-3</v>
      </c>
      <c r="D109" s="571">
        <v>2.2606000000000002E-3</v>
      </c>
      <c r="E109" s="572">
        <v>2943165.73</v>
      </c>
      <c r="F109" s="572">
        <v>8330759</v>
      </c>
      <c r="G109" s="572">
        <v>20764382</v>
      </c>
      <c r="H109" s="572"/>
      <c r="I109" s="573">
        <v>0</v>
      </c>
      <c r="J109" s="573">
        <v>11879793</v>
      </c>
      <c r="K109" s="573">
        <v>3062242</v>
      </c>
      <c r="L109" s="572">
        <v>299023</v>
      </c>
      <c r="M109" s="572"/>
      <c r="N109" s="573">
        <v>981354</v>
      </c>
      <c r="O109" s="573">
        <v>4474549</v>
      </c>
      <c r="P109" s="573">
        <v>0</v>
      </c>
      <c r="Q109" s="572">
        <v>212188</v>
      </c>
      <c r="R109" s="572"/>
      <c r="S109" s="573">
        <v>3978162</v>
      </c>
      <c r="T109" s="574">
        <v>-8682</v>
      </c>
      <c r="U109" s="574">
        <v>3969480</v>
      </c>
    </row>
    <row r="110" spans="1:21" x14ac:dyDescent="0.25">
      <c r="A110" s="569">
        <v>32405</v>
      </c>
      <c r="B110" s="570" t="s">
        <v>879</v>
      </c>
      <c r="C110" s="571">
        <v>5.6479999999999996E-4</v>
      </c>
      <c r="D110" s="571">
        <v>5.7660000000000003E-4</v>
      </c>
      <c r="E110" s="572">
        <v>797184.42</v>
      </c>
      <c r="F110" s="572">
        <v>2124885</v>
      </c>
      <c r="G110" s="572">
        <v>5191095</v>
      </c>
      <c r="H110" s="572"/>
      <c r="I110" s="573">
        <v>0</v>
      </c>
      <c r="J110" s="573">
        <v>2969948</v>
      </c>
      <c r="K110" s="573">
        <v>765560</v>
      </c>
      <c r="L110" s="572">
        <v>19827</v>
      </c>
      <c r="M110" s="572"/>
      <c r="N110" s="573">
        <v>245338</v>
      </c>
      <c r="O110" s="573">
        <v>1118637</v>
      </c>
      <c r="P110" s="573">
        <v>0</v>
      </c>
      <c r="Q110" s="572">
        <v>105824</v>
      </c>
      <c r="R110" s="572"/>
      <c r="S110" s="573">
        <v>994541</v>
      </c>
      <c r="T110" s="574">
        <v>-39643</v>
      </c>
      <c r="U110" s="574">
        <v>954898</v>
      </c>
    </row>
    <row r="111" spans="1:21" x14ac:dyDescent="0.25">
      <c r="A111" s="569">
        <v>32410</v>
      </c>
      <c r="B111" s="570" t="s">
        <v>880</v>
      </c>
      <c r="C111" s="571">
        <v>8.92E-4</v>
      </c>
      <c r="D111" s="571">
        <v>8.9840000000000004E-4</v>
      </c>
      <c r="E111" s="572">
        <v>1182060</v>
      </c>
      <c r="F111" s="572">
        <v>3310782</v>
      </c>
      <c r="G111" s="572">
        <v>8198401</v>
      </c>
      <c r="H111" s="572"/>
      <c r="I111" s="573">
        <v>0</v>
      </c>
      <c r="J111" s="573">
        <v>4690499</v>
      </c>
      <c r="K111" s="573">
        <v>1209065</v>
      </c>
      <c r="L111" s="572">
        <v>219046</v>
      </c>
      <c r="M111" s="572"/>
      <c r="N111" s="573">
        <v>387468</v>
      </c>
      <c r="O111" s="573">
        <v>1766686.28</v>
      </c>
      <c r="P111" s="573">
        <v>0</v>
      </c>
      <c r="Q111" s="572">
        <v>0</v>
      </c>
      <c r="R111" s="572"/>
      <c r="S111" s="573">
        <v>1570698</v>
      </c>
      <c r="T111" s="574">
        <v>94446</v>
      </c>
      <c r="U111" s="574">
        <v>1665144</v>
      </c>
    </row>
    <row r="112" spans="1:21" x14ac:dyDescent="0.25">
      <c r="A112" s="569">
        <v>32420</v>
      </c>
      <c r="B112" s="570" t="s">
        <v>881</v>
      </c>
      <c r="C112" s="571">
        <v>0</v>
      </c>
      <c r="D112" s="571">
        <v>2.69E-5</v>
      </c>
      <c r="E112" s="572"/>
      <c r="F112" s="572">
        <v>99132</v>
      </c>
      <c r="G112" s="572">
        <v>0</v>
      </c>
      <c r="H112" s="572"/>
      <c r="I112" s="573">
        <v>0</v>
      </c>
      <c r="J112" s="573">
        <v>0</v>
      </c>
      <c r="K112" s="573">
        <v>0</v>
      </c>
      <c r="L112" s="572">
        <v>46024</v>
      </c>
      <c r="M112" s="572"/>
      <c r="N112" s="573">
        <v>0</v>
      </c>
      <c r="O112" s="573">
        <v>0</v>
      </c>
      <c r="P112" s="573">
        <v>0</v>
      </c>
      <c r="Q112" s="572">
        <v>98697</v>
      </c>
      <c r="R112" s="572"/>
      <c r="S112" s="573">
        <v>0</v>
      </c>
      <c r="T112" s="574">
        <v>-3006</v>
      </c>
      <c r="U112" s="574">
        <v>-3006</v>
      </c>
    </row>
    <row r="113" spans="1:21" x14ac:dyDescent="0.25">
      <c r="A113" s="569">
        <v>32500</v>
      </c>
      <c r="B113" s="570" t="s">
        <v>882</v>
      </c>
      <c r="C113" s="571">
        <v>5.0733000000000002E-3</v>
      </c>
      <c r="D113" s="571">
        <v>5.0863999999999996E-3</v>
      </c>
      <c r="E113" s="572">
        <v>6297868</v>
      </c>
      <c r="F113" s="572">
        <v>18744391</v>
      </c>
      <c r="G113" s="572">
        <v>46628868</v>
      </c>
      <c r="H113" s="572"/>
      <c r="I113" s="573">
        <v>0</v>
      </c>
      <c r="J113" s="573">
        <v>26677476</v>
      </c>
      <c r="K113" s="573">
        <v>6876625</v>
      </c>
      <c r="L113" s="572">
        <v>0</v>
      </c>
      <c r="M113" s="572"/>
      <c r="N113" s="573">
        <v>2203745</v>
      </c>
      <c r="O113" s="573">
        <v>10048127</v>
      </c>
      <c r="P113" s="573">
        <v>0</v>
      </c>
      <c r="Q113" s="572">
        <v>311856</v>
      </c>
      <c r="R113" s="572"/>
      <c r="S113" s="573">
        <v>8933432</v>
      </c>
      <c r="T113" s="574">
        <v>-121508</v>
      </c>
      <c r="U113" s="574">
        <v>8811924</v>
      </c>
    </row>
    <row r="114" spans="1:21" x14ac:dyDescent="0.25">
      <c r="A114" s="569">
        <v>32505</v>
      </c>
      <c r="B114" s="570" t="s">
        <v>883</v>
      </c>
      <c r="C114" s="571">
        <v>7.2650000000000004E-4</v>
      </c>
      <c r="D114" s="571">
        <v>7.4890000000000004E-4</v>
      </c>
      <c r="E114" s="572">
        <v>938171</v>
      </c>
      <c r="F114" s="572">
        <v>2759845</v>
      </c>
      <c r="G114" s="572">
        <v>6677285</v>
      </c>
      <c r="H114" s="572"/>
      <c r="I114" s="573">
        <v>0</v>
      </c>
      <c r="J114" s="573">
        <v>3820233</v>
      </c>
      <c r="K114" s="573">
        <v>984737</v>
      </c>
      <c r="L114" s="572">
        <v>92322</v>
      </c>
      <c r="M114" s="572"/>
      <c r="N114" s="573">
        <v>315578</v>
      </c>
      <c r="O114" s="573">
        <v>1438899</v>
      </c>
      <c r="P114" s="573">
        <v>0</v>
      </c>
      <c r="Q114" s="572">
        <v>122957</v>
      </c>
      <c r="R114" s="572"/>
      <c r="S114" s="573">
        <v>1279274</v>
      </c>
      <c r="T114" s="574">
        <v>-14926</v>
      </c>
      <c r="U114" s="574">
        <v>1264348</v>
      </c>
    </row>
    <row r="115" spans="1:21" x14ac:dyDescent="0.25">
      <c r="A115" s="569">
        <v>32600</v>
      </c>
      <c r="B115" s="570" t="s">
        <v>884</v>
      </c>
      <c r="C115" s="571">
        <v>1.77521E-2</v>
      </c>
      <c r="D115" s="571">
        <v>1.8608900000000001E-2</v>
      </c>
      <c r="E115" s="572">
        <v>22076843</v>
      </c>
      <c r="F115" s="572">
        <v>68577481</v>
      </c>
      <c r="G115" s="572">
        <v>163160137</v>
      </c>
      <c r="H115" s="572"/>
      <c r="I115" s="573">
        <v>0</v>
      </c>
      <c r="J115" s="573">
        <v>93347767</v>
      </c>
      <c r="K115" s="573">
        <v>24062155</v>
      </c>
      <c r="L115" s="572">
        <v>0</v>
      </c>
      <c r="M115" s="572"/>
      <c r="N115" s="573">
        <v>7711175</v>
      </c>
      <c r="O115" s="573">
        <v>35159632</v>
      </c>
      <c r="P115" s="573">
        <v>0</v>
      </c>
      <c r="Q115" s="572">
        <v>5883524</v>
      </c>
      <c r="R115" s="572"/>
      <c r="S115" s="573">
        <v>31259176</v>
      </c>
      <c r="T115" s="574">
        <v>-2193616</v>
      </c>
      <c r="U115" s="574">
        <v>29065559</v>
      </c>
    </row>
    <row r="116" spans="1:21" x14ac:dyDescent="0.25">
      <c r="A116" s="569">
        <v>32605</v>
      </c>
      <c r="B116" s="570" t="s">
        <v>885</v>
      </c>
      <c r="C116" s="571">
        <v>2.5571999999999999E-3</v>
      </c>
      <c r="D116" s="571">
        <v>2.5182E-3</v>
      </c>
      <c r="E116" s="572">
        <v>3480031.61</v>
      </c>
      <c r="F116" s="572">
        <v>9280066</v>
      </c>
      <c r="G116" s="572">
        <v>23503310</v>
      </c>
      <c r="H116" s="572"/>
      <c r="I116" s="573">
        <v>0</v>
      </c>
      <c r="J116" s="573">
        <v>13446798</v>
      </c>
      <c r="K116" s="573">
        <v>3466167</v>
      </c>
      <c r="L116" s="572">
        <v>595896</v>
      </c>
      <c r="M116" s="572"/>
      <c r="N116" s="573">
        <v>1110799</v>
      </c>
      <c r="O116" s="573">
        <v>5064765</v>
      </c>
      <c r="P116" s="573">
        <v>0</v>
      </c>
      <c r="Q116" s="572">
        <v>0</v>
      </c>
      <c r="R116" s="572"/>
      <c r="S116" s="573">
        <v>4502902</v>
      </c>
      <c r="T116" s="574">
        <v>217107</v>
      </c>
      <c r="U116" s="574">
        <v>4720009</v>
      </c>
    </row>
    <row r="117" spans="1:21" x14ac:dyDescent="0.25">
      <c r="A117" s="569">
        <v>32700</v>
      </c>
      <c r="B117" s="570" t="s">
        <v>886</v>
      </c>
      <c r="C117" s="571">
        <v>1.5617999999999999E-3</v>
      </c>
      <c r="D117" s="571">
        <v>1.5299000000000001E-3</v>
      </c>
      <c r="E117" s="572">
        <v>1971250</v>
      </c>
      <c r="F117" s="572">
        <v>5637984</v>
      </c>
      <c r="G117" s="572">
        <v>14354555</v>
      </c>
      <c r="H117" s="572"/>
      <c r="I117" s="573">
        <v>0</v>
      </c>
      <c r="J117" s="573">
        <v>8212580</v>
      </c>
      <c r="K117" s="573">
        <v>2116948</v>
      </c>
      <c r="L117" s="572">
        <v>335246</v>
      </c>
      <c r="M117" s="572"/>
      <c r="N117" s="573">
        <v>678416</v>
      </c>
      <c r="O117" s="573">
        <v>3093285</v>
      </c>
      <c r="P117" s="573">
        <v>0</v>
      </c>
      <c r="Q117" s="572">
        <v>0</v>
      </c>
      <c r="R117" s="572"/>
      <c r="S117" s="573">
        <v>2750130</v>
      </c>
      <c r="T117" s="574">
        <v>125234</v>
      </c>
      <c r="U117" s="574">
        <v>2875364</v>
      </c>
    </row>
    <row r="118" spans="1:21" x14ac:dyDescent="0.25">
      <c r="A118" s="569">
        <v>32800</v>
      </c>
      <c r="B118" s="570" t="s">
        <v>887</v>
      </c>
      <c r="C118" s="571">
        <v>2.1503999999999998E-3</v>
      </c>
      <c r="D118" s="571">
        <v>2.1009000000000002E-3</v>
      </c>
      <c r="E118" s="572">
        <v>2958484</v>
      </c>
      <c r="F118" s="572">
        <v>7742232</v>
      </c>
      <c r="G118" s="572">
        <v>19764397</v>
      </c>
      <c r="H118" s="572"/>
      <c r="I118" s="573">
        <v>0</v>
      </c>
      <c r="J118" s="573">
        <v>11307678</v>
      </c>
      <c r="K118" s="573">
        <v>2914768</v>
      </c>
      <c r="L118" s="572">
        <v>519677</v>
      </c>
      <c r="M118" s="572"/>
      <c r="N118" s="573">
        <v>934093</v>
      </c>
      <c r="O118" s="573">
        <v>4259061</v>
      </c>
      <c r="P118" s="573">
        <v>0</v>
      </c>
      <c r="Q118" s="572">
        <v>0</v>
      </c>
      <c r="R118" s="572"/>
      <c r="S118" s="573">
        <v>3786579</v>
      </c>
      <c r="T118" s="574">
        <v>174785</v>
      </c>
      <c r="U118" s="574">
        <v>3961364</v>
      </c>
    </row>
    <row r="119" spans="1:21" x14ac:dyDescent="0.25">
      <c r="A119" s="569">
        <v>32900</v>
      </c>
      <c r="B119" s="570" t="s">
        <v>888</v>
      </c>
      <c r="C119" s="571">
        <v>6.633E-3</v>
      </c>
      <c r="D119" s="571">
        <v>6.5848E-3</v>
      </c>
      <c r="E119" s="572">
        <v>8107247</v>
      </c>
      <c r="F119" s="572">
        <v>24266292</v>
      </c>
      <c r="G119" s="572">
        <v>60964122</v>
      </c>
      <c r="H119" s="572"/>
      <c r="I119" s="573">
        <v>0</v>
      </c>
      <c r="J119" s="573">
        <v>34879014</v>
      </c>
      <c r="K119" s="573">
        <v>8990726</v>
      </c>
      <c r="L119" s="572">
        <v>32332</v>
      </c>
      <c r="M119" s="572"/>
      <c r="N119" s="573">
        <v>2881249</v>
      </c>
      <c r="O119" s="573">
        <v>13137253</v>
      </c>
      <c r="P119" s="573">
        <v>0</v>
      </c>
      <c r="Q119" s="572">
        <v>379780</v>
      </c>
      <c r="R119" s="572"/>
      <c r="S119" s="573">
        <v>11679864</v>
      </c>
      <c r="T119" s="574">
        <v>-175635</v>
      </c>
      <c r="U119" s="574">
        <v>11504229</v>
      </c>
    </row>
    <row r="120" spans="1:21" x14ac:dyDescent="0.25">
      <c r="A120" s="569">
        <v>32901</v>
      </c>
      <c r="B120" s="570" t="s">
        <v>889</v>
      </c>
      <c r="C120" s="571">
        <v>1.9560000000000001E-4</v>
      </c>
      <c r="D120" s="571">
        <v>1.707E-4</v>
      </c>
      <c r="E120" s="572">
        <v>201795</v>
      </c>
      <c r="F120" s="572">
        <v>629063</v>
      </c>
      <c r="G120" s="572">
        <v>1797766</v>
      </c>
      <c r="H120" s="572"/>
      <c r="I120" s="573">
        <v>0</v>
      </c>
      <c r="J120" s="573">
        <v>1028544</v>
      </c>
      <c r="K120" s="573">
        <v>265127</v>
      </c>
      <c r="L120" s="572">
        <v>537559</v>
      </c>
      <c r="M120" s="572"/>
      <c r="N120" s="573">
        <v>84965</v>
      </c>
      <c r="O120" s="573">
        <v>387403</v>
      </c>
      <c r="P120" s="573">
        <v>0</v>
      </c>
      <c r="Q120" s="572">
        <v>0</v>
      </c>
      <c r="R120" s="572"/>
      <c r="S120" s="573">
        <v>344427</v>
      </c>
      <c r="T120" s="574">
        <v>208399</v>
      </c>
      <c r="U120" s="574">
        <v>552826</v>
      </c>
    </row>
    <row r="121" spans="1:21" x14ac:dyDescent="0.25">
      <c r="A121" s="569">
        <v>32905</v>
      </c>
      <c r="B121" s="570" t="s">
        <v>890</v>
      </c>
      <c r="C121" s="571">
        <v>9.3849999999999999E-4</v>
      </c>
      <c r="D121" s="571">
        <v>9.433E-4</v>
      </c>
      <c r="E121" s="572">
        <v>1254576</v>
      </c>
      <c r="F121" s="572">
        <v>3476247</v>
      </c>
      <c r="G121" s="572">
        <v>8625784</v>
      </c>
      <c r="H121" s="572"/>
      <c r="I121" s="573">
        <v>0</v>
      </c>
      <c r="J121" s="573">
        <v>4935015</v>
      </c>
      <c r="K121" s="573">
        <v>1272094</v>
      </c>
      <c r="L121" s="572">
        <v>30318</v>
      </c>
      <c r="M121" s="572"/>
      <c r="N121" s="573">
        <v>407667</v>
      </c>
      <c r="O121" s="573">
        <v>1858784</v>
      </c>
      <c r="P121" s="573">
        <v>0</v>
      </c>
      <c r="Q121" s="572">
        <v>254259</v>
      </c>
      <c r="R121" s="572"/>
      <c r="S121" s="573">
        <v>1652578</v>
      </c>
      <c r="T121" s="574">
        <v>-95614</v>
      </c>
      <c r="U121" s="574">
        <v>1556964</v>
      </c>
    </row>
    <row r="122" spans="1:21" x14ac:dyDescent="0.25">
      <c r="A122" s="569">
        <v>32910</v>
      </c>
      <c r="B122" s="570" t="s">
        <v>891</v>
      </c>
      <c r="C122" s="571">
        <v>1.2221000000000001E-3</v>
      </c>
      <c r="D122" s="571">
        <v>1.2444999999999999E-3</v>
      </c>
      <c r="E122" s="572">
        <v>1563320</v>
      </c>
      <c r="F122" s="572">
        <v>4586229</v>
      </c>
      <c r="G122" s="572">
        <v>11232361</v>
      </c>
      <c r="H122" s="572"/>
      <c r="I122" s="573">
        <v>0</v>
      </c>
      <c r="J122" s="573">
        <v>6426299</v>
      </c>
      <c r="K122" s="573">
        <v>1656500</v>
      </c>
      <c r="L122" s="572">
        <v>0</v>
      </c>
      <c r="M122" s="572"/>
      <c r="N122" s="573">
        <v>530857</v>
      </c>
      <c r="O122" s="573">
        <v>2420479</v>
      </c>
      <c r="P122" s="573">
        <v>0</v>
      </c>
      <c r="Q122" s="572">
        <v>266053</v>
      </c>
      <c r="R122" s="572"/>
      <c r="S122" s="573">
        <v>2151962</v>
      </c>
      <c r="T122" s="574">
        <v>-100976</v>
      </c>
      <c r="U122" s="574">
        <v>2050986</v>
      </c>
    </row>
    <row r="123" spans="1:21" x14ac:dyDescent="0.25">
      <c r="A123" s="569">
        <v>32920</v>
      </c>
      <c r="B123" s="570" t="s">
        <v>892</v>
      </c>
      <c r="C123" s="571">
        <v>1.0083E-3</v>
      </c>
      <c r="D123" s="571">
        <v>1.0342000000000001E-3</v>
      </c>
      <c r="E123" s="572">
        <v>1251000</v>
      </c>
      <c r="F123" s="572">
        <v>3811232</v>
      </c>
      <c r="G123" s="572">
        <v>9267319</v>
      </c>
      <c r="H123" s="572"/>
      <c r="I123" s="573">
        <v>0</v>
      </c>
      <c r="J123" s="573">
        <v>5302052</v>
      </c>
      <c r="K123" s="573">
        <v>1366704</v>
      </c>
      <c r="L123" s="572">
        <v>56423</v>
      </c>
      <c r="M123" s="572"/>
      <c r="N123" s="573">
        <v>437986</v>
      </c>
      <c r="O123" s="573">
        <v>1997029</v>
      </c>
      <c r="P123" s="573">
        <v>0</v>
      </c>
      <c r="Q123" s="572">
        <v>245712</v>
      </c>
      <c r="R123" s="572"/>
      <c r="S123" s="573">
        <v>1775487</v>
      </c>
      <c r="T123" s="574">
        <v>-84263</v>
      </c>
      <c r="U123" s="574">
        <v>1691224</v>
      </c>
    </row>
    <row r="124" spans="1:21" x14ac:dyDescent="0.25">
      <c r="A124" s="569">
        <v>33000</v>
      </c>
      <c r="B124" s="570" t="s">
        <v>893</v>
      </c>
      <c r="C124" s="571">
        <v>2.5539E-3</v>
      </c>
      <c r="D124" s="571">
        <v>2.5566999999999999E-3</v>
      </c>
      <c r="E124" s="572">
        <v>3038235.93</v>
      </c>
      <c r="F124" s="572">
        <v>9421946</v>
      </c>
      <c r="G124" s="572">
        <v>23472979</v>
      </c>
      <c r="H124" s="572"/>
      <c r="I124" s="573">
        <v>0</v>
      </c>
      <c r="J124" s="573">
        <v>13429446</v>
      </c>
      <c r="K124" s="573">
        <v>3461694</v>
      </c>
      <c r="L124" s="572">
        <v>0</v>
      </c>
      <c r="M124" s="572"/>
      <c r="N124" s="573">
        <v>1109366</v>
      </c>
      <c r="O124" s="573">
        <v>5058229</v>
      </c>
      <c r="P124" s="573">
        <v>0</v>
      </c>
      <c r="Q124" s="572">
        <v>374154</v>
      </c>
      <c r="R124" s="572"/>
      <c r="S124" s="573">
        <v>4497091</v>
      </c>
      <c r="T124" s="574">
        <v>-143725</v>
      </c>
      <c r="U124" s="574">
        <v>4353366</v>
      </c>
    </row>
    <row r="125" spans="1:21" x14ac:dyDescent="0.25">
      <c r="A125" s="569">
        <v>33001</v>
      </c>
      <c r="B125" s="570" t="s">
        <v>894</v>
      </c>
      <c r="C125" s="571">
        <v>7.1699999999999995E-5</v>
      </c>
      <c r="D125" s="571">
        <v>6.0399999999999998E-5</v>
      </c>
      <c r="E125" s="572">
        <v>81123.91</v>
      </c>
      <c r="F125" s="572">
        <v>222586</v>
      </c>
      <c r="G125" s="572">
        <v>658997</v>
      </c>
      <c r="H125" s="572"/>
      <c r="I125" s="573">
        <v>0</v>
      </c>
      <c r="J125" s="573">
        <v>377028</v>
      </c>
      <c r="K125" s="573">
        <v>97186</v>
      </c>
      <c r="L125" s="572">
        <v>127277</v>
      </c>
      <c r="M125" s="572"/>
      <c r="N125" s="573">
        <v>31145</v>
      </c>
      <c r="O125" s="573">
        <v>142008</v>
      </c>
      <c r="P125" s="573">
        <v>0</v>
      </c>
      <c r="Q125" s="572">
        <v>0</v>
      </c>
      <c r="R125" s="572"/>
      <c r="S125" s="573">
        <v>126255</v>
      </c>
      <c r="T125" s="574">
        <v>54629</v>
      </c>
      <c r="U125" s="574">
        <v>180883</v>
      </c>
    </row>
    <row r="126" spans="1:21" x14ac:dyDescent="0.25">
      <c r="A126" s="569">
        <v>33027</v>
      </c>
      <c r="B126" s="570" t="s">
        <v>895</v>
      </c>
      <c r="C126" s="571">
        <v>2.377E-4</v>
      </c>
      <c r="D126" s="571">
        <v>1.9379999999999999E-4</v>
      </c>
      <c r="E126" s="572">
        <v>250770.05</v>
      </c>
      <c r="F126" s="572">
        <v>714191</v>
      </c>
      <c r="G126" s="572">
        <v>2184709</v>
      </c>
      <c r="H126" s="572"/>
      <c r="I126" s="573">
        <v>0</v>
      </c>
      <c r="J126" s="573">
        <v>1249923</v>
      </c>
      <c r="K126" s="573">
        <v>322191</v>
      </c>
      <c r="L126" s="572">
        <v>322789</v>
      </c>
      <c r="M126" s="572"/>
      <c r="N126" s="573">
        <v>103252</v>
      </c>
      <c r="O126" s="573">
        <v>470786</v>
      </c>
      <c r="P126" s="573">
        <v>0</v>
      </c>
      <c r="Q126" s="572">
        <v>0</v>
      </c>
      <c r="R126" s="572"/>
      <c r="S126" s="573">
        <v>418559</v>
      </c>
      <c r="T126" s="574">
        <v>125184</v>
      </c>
      <c r="U126" s="574">
        <v>543743</v>
      </c>
    </row>
    <row r="127" spans="1:21" x14ac:dyDescent="0.25">
      <c r="A127" s="569">
        <v>33100</v>
      </c>
      <c r="B127" s="570" t="s">
        <v>896</v>
      </c>
      <c r="C127" s="571">
        <v>3.6789000000000001E-3</v>
      </c>
      <c r="D127" s="571">
        <v>3.6050000000000001E-3</v>
      </c>
      <c r="E127" s="572">
        <v>4595071</v>
      </c>
      <c r="F127" s="572">
        <v>13285139</v>
      </c>
      <c r="G127" s="572">
        <v>33812891</v>
      </c>
      <c r="H127" s="572"/>
      <c r="I127" s="573">
        <v>0</v>
      </c>
      <c r="J127" s="573">
        <v>19345154</v>
      </c>
      <c r="K127" s="573">
        <v>4986580</v>
      </c>
      <c r="L127" s="572">
        <v>994968</v>
      </c>
      <c r="M127" s="572"/>
      <c r="N127" s="573">
        <v>1598044</v>
      </c>
      <c r="O127" s="573">
        <v>7286393</v>
      </c>
      <c r="P127" s="573">
        <v>0</v>
      </c>
      <c r="Q127" s="572">
        <v>0</v>
      </c>
      <c r="R127" s="572"/>
      <c r="S127" s="573">
        <v>6478072</v>
      </c>
      <c r="T127" s="574">
        <v>421432</v>
      </c>
      <c r="U127" s="574">
        <v>6899504</v>
      </c>
    </row>
    <row r="128" spans="1:21" x14ac:dyDescent="0.25">
      <c r="A128" s="569">
        <v>33105</v>
      </c>
      <c r="B128" s="570" t="s">
        <v>897</v>
      </c>
      <c r="C128" s="571">
        <v>3.9419999999999999E-4</v>
      </c>
      <c r="D128" s="571">
        <v>4.281E-4</v>
      </c>
      <c r="E128" s="572">
        <v>531748.04</v>
      </c>
      <c r="F128" s="572">
        <v>1577633</v>
      </c>
      <c r="G128" s="572">
        <v>3623105</v>
      </c>
      <c r="H128" s="572"/>
      <c r="I128" s="573">
        <v>0</v>
      </c>
      <c r="J128" s="573">
        <v>2072864</v>
      </c>
      <c r="K128" s="573">
        <v>534320</v>
      </c>
      <c r="L128" s="572">
        <v>0</v>
      </c>
      <c r="M128" s="572"/>
      <c r="N128" s="573">
        <v>171233</v>
      </c>
      <c r="O128" s="573">
        <v>780749</v>
      </c>
      <c r="P128" s="573">
        <v>0</v>
      </c>
      <c r="Q128" s="572">
        <v>187955</v>
      </c>
      <c r="R128" s="572"/>
      <c r="S128" s="573">
        <v>694136</v>
      </c>
      <c r="T128" s="574">
        <v>-65525</v>
      </c>
      <c r="U128" s="574">
        <v>628610</v>
      </c>
    </row>
    <row r="129" spans="1:21" x14ac:dyDescent="0.25">
      <c r="A129" s="569">
        <v>33200</v>
      </c>
      <c r="B129" s="570" t="s">
        <v>898</v>
      </c>
      <c r="C129" s="571">
        <v>1.57856E-2</v>
      </c>
      <c r="D129" s="571">
        <v>1.54092E-2</v>
      </c>
      <c r="E129" s="572">
        <v>18831502</v>
      </c>
      <c r="F129" s="572">
        <v>56785953</v>
      </c>
      <c r="G129" s="572">
        <v>145085971</v>
      </c>
      <c r="H129" s="572"/>
      <c r="I129" s="573">
        <v>0</v>
      </c>
      <c r="J129" s="573">
        <v>83007110</v>
      </c>
      <c r="K129" s="573">
        <v>21396655</v>
      </c>
      <c r="L129" s="572">
        <v>1631592</v>
      </c>
      <c r="M129" s="572"/>
      <c r="N129" s="573">
        <v>6856965</v>
      </c>
      <c r="O129" s="573">
        <v>31264802</v>
      </c>
      <c r="P129" s="573">
        <v>0</v>
      </c>
      <c r="Q129" s="572">
        <v>683251</v>
      </c>
      <c r="R129" s="572"/>
      <c r="S129" s="573">
        <v>27796421</v>
      </c>
      <c r="T129" s="574">
        <v>210066</v>
      </c>
      <c r="U129" s="574">
        <v>28006487</v>
      </c>
    </row>
    <row r="130" spans="1:21" x14ac:dyDescent="0.25">
      <c r="A130" s="569">
        <v>33202</v>
      </c>
      <c r="B130" s="570" t="s">
        <v>899</v>
      </c>
      <c r="C130" s="571">
        <v>1.8359999999999999E-4</v>
      </c>
      <c r="D130" s="571">
        <v>1.5779999999999999E-4</v>
      </c>
      <c r="E130" s="572">
        <v>211201</v>
      </c>
      <c r="F130" s="572">
        <v>581524</v>
      </c>
      <c r="G130" s="572">
        <v>1687474</v>
      </c>
      <c r="H130" s="572"/>
      <c r="I130" s="573">
        <v>0</v>
      </c>
      <c r="J130" s="573">
        <v>965444</v>
      </c>
      <c r="K130" s="573">
        <v>248861</v>
      </c>
      <c r="L130" s="572">
        <v>114579</v>
      </c>
      <c r="M130" s="572"/>
      <c r="N130" s="573">
        <v>79752</v>
      </c>
      <c r="O130" s="573">
        <v>363636</v>
      </c>
      <c r="P130" s="573">
        <v>0</v>
      </c>
      <c r="Q130" s="572">
        <v>0</v>
      </c>
      <c r="R130" s="572"/>
      <c r="S130" s="573">
        <v>323296</v>
      </c>
      <c r="T130" s="574">
        <v>41498</v>
      </c>
      <c r="U130" s="574">
        <v>364794</v>
      </c>
    </row>
    <row r="131" spans="1:21" x14ac:dyDescent="0.25">
      <c r="A131" s="569">
        <v>33203</v>
      </c>
      <c r="B131" s="570" t="s">
        <v>900</v>
      </c>
      <c r="C131" s="571">
        <v>1.3540000000000001E-4</v>
      </c>
      <c r="D131" s="571">
        <v>1.3689999999999999E-4</v>
      </c>
      <c r="E131" s="572">
        <v>129371.63</v>
      </c>
      <c r="F131" s="572">
        <v>504504</v>
      </c>
      <c r="G131" s="572">
        <v>1244466</v>
      </c>
      <c r="H131" s="572"/>
      <c r="I131" s="573">
        <v>0</v>
      </c>
      <c r="J131" s="573">
        <v>711988</v>
      </c>
      <c r="K131" s="573">
        <v>183528</v>
      </c>
      <c r="L131" s="572">
        <v>38777</v>
      </c>
      <c r="M131" s="572"/>
      <c r="N131" s="573">
        <v>58815</v>
      </c>
      <c r="O131" s="573">
        <v>268172</v>
      </c>
      <c r="P131" s="573">
        <v>0</v>
      </c>
      <c r="Q131" s="572">
        <v>38583</v>
      </c>
      <c r="R131" s="572"/>
      <c r="S131" s="573">
        <v>238422</v>
      </c>
      <c r="T131" s="574">
        <v>4244</v>
      </c>
      <c r="U131" s="574">
        <v>242666</v>
      </c>
    </row>
    <row r="132" spans="1:21" x14ac:dyDescent="0.25">
      <c r="A132" s="569">
        <v>33204</v>
      </c>
      <c r="B132" s="570" t="s">
        <v>901</v>
      </c>
      <c r="C132" s="571">
        <v>4.4210000000000001E-4</v>
      </c>
      <c r="D132" s="571">
        <v>4.1550000000000002E-4</v>
      </c>
      <c r="E132" s="572">
        <v>463866.53</v>
      </c>
      <c r="F132" s="572">
        <v>1531200</v>
      </c>
      <c r="G132" s="572">
        <v>4063356</v>
      </c>
      <c r="H132" s="572"/>
      <c r="I132" s="573">
        <v>0</v>
      </c>
      <c r="J132" s="573">
        <v>2324742</v>
      </c>
      <c r="K132" s="573">
        <v>599246</v>
      </c>
      <c r="L132" s="572">
        <v>16495</v>
      </c>
      <c r="M132" s="572"/>
      <c r="N132" s="573">
        <v>192040</v>
      </c>
      <c r="O132" s="573">
        <v>875619</v>
      </c>
      <c r="P132" s="573">
        <v>0</v>
      </c>
      <c r="Q132" s="572">
        <v>34590</v>
      </c>
      <c r="R132" s="572"/>
      <c r="S132" s="573">
        <v>778482</v>
      </c>
      <c r="T132" s="574">
        <v>-13666</v>
      </c>
      <c r="U132" s="574">
        <v>764816</v>
      </c>
    </row>
    <row r="133" spans="1:21" x14ac:dyDescent="0.25">
      <c r="A133" s="569">
        <v>33205</v>
      </c>
      <c r="B133" s="570" t="s">
        <v>902</v>
      </c>
      <c r="C133" s="571">
        <v>1.2955E-3</v>
      </c>
      <c r="D133" s="571">
        <v>1.2324E-3</v>
      </c>
      <c r="E133" s="572">
        <v>1674309</v>
      </c>
      <c r="F133" s="572">
        <v>4541638</v>
      </c>
      <c r="G133" s="572">
        <v>11906983</v>
      </c>
      <c r="H133" s="572"/>
      <c r="I133" s="573">
        <v>0</v>
      </c>
      <c r="J133" s="573">
        <v>6812266</v>
      </c>
      <c r="K133" s="573">
        <v>1755991</v>
      </c>
      <c r="L133" s="572">
        <v>307018</v>
      </c>
      <c r="M133" s="572"/>
      <c r="N133" s="573">
        <v>562741</v>
      </c>
      <c r="O133" s="573">
        <v>2565854</v>
      </c>
      <c r="P133" s="573">
        <v>0</v>
      </c>
      <c r="Q133" s="572">
        <v>0</v>
      </c>
      <c r="R133" s="572"/>
      <c r="S133" s="573">
        <v>2281210</v>
      </c>
      <c r="T133" s="574">
        <v>97447</v>
      </c>
      <c r="U133" s="574">
        <v>2378656</v>
      </c>
    </row>
    <row r="134" spans="1:21" x14ac:dyDescent="0.25">
      <c r="A134" s="569">
        <v>33206</v>
      </c>
      <c r="B134" s="570" t="s">
        <v>903</v>
      </c>
      <c r="C134" s="571">
        <v>1.032E-4</v>
      </c>
      <c r="D134" s="571">
        <v>1.032E-4</v>
      </c>
      <c r="E134" s="572">
        <v>117887.69</v>
      </c>
      <c r="F134" s="572">
        <v>380312</v>
      </c>
      <c r="G134" s="572">
        <v>948515</v>
      </c>
      <c r="H134" s="572"/>
      <c r="I134" s="573">
        <v>0</v>
      </c>
      <c r="J134" s="573">
        <v>542668</v>
      </c>
      <c r="K134" s="573">
        <v>139883</v>
      </c>
      <c r="L134" s="572">
        <v>25894</v>
      </c>
      <c r="M134" s="572"/>
      <c r="N134" s="573">
        <v>44828</v>
      </c>
      <c r="O134" s="573">
        <v>204397</v>
      </c>
      <c r="P134" s="573">
        <v>0</v>
      </c>
      <c r="Q134" s="572">
        <v>10418</v>
      </c>
      <c r="R134" s="572"/>
      <c r="S134" s="573">
        <v>181722</v>
      </c>
      <c r="T134" s="574">
        <v>10105</v>
      </c>
      <c r="U134" s="574">
        <v>191827</v>
      </c>
    </row>
    <row r="135" spans="1:21" x14ac:dyDescent="0.25">
      <c r="A135" s="569">
        <v>33207</v>
      </c>
      <c r="B135" s="570" t="s">
        <v>1117</v>
      </c>
      <c r="C135" s="571">
        <v>2.231E-4</v>
      </c>
      <c r="D135" s="571">
        <v>1.02E-4</v>
      </c>
      <c r="E135" s="572">
        <v>224821.17</v>
      </c>
      <c r="F135" s="572">
        <v>375890</v>
      </c>
      <c r="G135" s="572">
        <v>2050519</v>
      </c>
      <c r="H135" s="572"/>
      <c r="I135" s="573">
        <v>0</v>
      </c>
      <c r="J135" s="573">
        <v>1173151</v>
      </c>
      <c r="K135" s="573">
        <v>302402</v>
      </c>
      <c r="L135" s="572">
        <v>672464</v>
      </c>
      <c r="M135" s="572"/>
      <c r="N135" s="573">
        <v>96910</v>
      </c>
      <c r="O135" s="573">
        <v>441870</v>
      </c>
      <c r="P135" s="573">
        <v>0</v>
      </c>
      <c r="Q135" s="572">
        <v>0</v>
      </c>
      <c r="R135" s="572"/>
      <c r="S135" s="573">
        <v>392851</v>
      </c>
      <c r="T135" s="574">
        <v>221127</v>
      </c>
      <c r="U135" s="574">
        <v>613977</v>
      </c>
    </row>
    <row r="136" spans="1:21" x14ac:dyDescent="0.25">
      <c r="A136" s="569">
        <v>33208</v>
      </c>
      <c r="B136" s="570" t="s">
        <v>1118</v>
      </c>
      <c r="C136" s="571">
        <v>3.6999999999999998E-5</v>
      </c>
      <c r="D136" s="571">
        <v>3.2299999999999999E-5</v>
      </c>
      <c r="E136" s="572"/>
      <c r="F136" s="572">
        <v>119032</v>
      </c>
      <c r="G136" s="572">
        <v>340068</v>
      </c>
      <c r="H136" s="572"/>
      <c r="I136" s="573">
        <v>0</v>
      </c>
      <c r="J136" s="573">
        <v>194561</v>
      </c>
      <c r="K136" s="573">
        <v>50152</v>
      </c>
      <c r="L136" s="572">
        <v>94103</v>
      </c>
      <c r="M136" s="572"/>
      <c r="N136" s="573">
        <v>16072</v>
      </c>
      <c r="O136" s="573">
        <v>73281.83</v>
      </c>
      <c r="P136" s="573">
        <v>0</v>
      </c>
      <c r="Q136" s="572">
        <v>20135</v>
      </c>
      <c r="R136" s="572"/>
      <c r="S136" s="573">
        <v>65152</v>
      </c>
      <c r="T136" s="574">
        <v>30285</v>
      </c>
      <c r="U136" s="574">
        <v>95438</v>
      </c>
    </row>
    <row r="137" spans="1:21" x14ac:dyDescent="0.25">
      <c r="A137" s="569">
        <v>33209</v>
      </c>
      <c r="B137" s="570" t="s">
        <v>1119</v>
      </c>
      <c r="C137" s="571">
        <v>6.5599999999999995E-5</v>
      </c>
      <c r="D137" s="571">
        <v>5.7000000000000003E-5</v>
      </c>
      <c r="E137" s="572">
        <v>73590.16</v>
      </c>
      <c r="F137" s="572">
        <v>210056</v>
      </c>
      <c r="G137" s="572">
        <v>602932</v>
      </c>
      <c r="H137" s="572"/>
      <c r="I137" s="573">
        <v>0</v>
      </c>
      <c r="J137" s="573">
        <v>344951</v>
      </c>
      <c r="K137" s="573">
        <v>88918</v>
      </c>
      <c r="L137" s="572">
        <v>187728</v>
      </c>
      <c r="M137" s="572"/>
      <c r="N137" s="573">
        <v>28495</v>
      </c>
      <c r="O137" s="573">
        <v>129927</v>
      </c>
      <c r="P137" s="573">
        <v>0</v>
      </c>
      <c r="Q137" s="572">
        <v>0</v>
      </c>
      <c r="R137" s="572"/>
      <c r="S137" s="573">
        <v>115513</v>
      </c>
      <c r="T137" s="574">
        <v>69759</v>
      </c>
      <c r="U137" s="574">
        <v>185272</v>
      </c>
    </row>
    <row r="138" spans="1:21" x14ac:dyDescent="0.25">
      <c r="A138" s="569">
        <v>33300</v>
      </c>
      <c r="B138" s="570" t="s">
        <v>904</v>
      </c>
      <c r="C138" s="571">
        <v>2.2869000000000001E-3</v>
      </c>
      <c r="D138" s="571">
        <v>2.2807000000000001E-3</v>
      </c>
      <c r="E138" s="572">
        <v>2814395.46</v>
      </c>
      <c r="F138" s="572">
        <v>8404831</v>
      </c>
      <c r="G138" s="572">
        <v>21018973</v>
      </c>
      <c r="H138" s="572"/>
      <c r="I138" s="573">
        <v>0</v>
      </c>
      <c r="J138" s="573">
        <v>12025451</v>
      </c>
      <c r="K138" s="573">
        <v>3099788</v>
      </c>
      <c r="L138" s="572">
        <v>0</v>
      </c>
      <c r="M138" s="572"/>
      <c r="N138" s="573">
        <v>993386</v>
      </c>
      <c r="O138" s="573">
        <v>4529411</v>
      </c>
      <c r="P138" s="573">
        <v>0</v>
      </c>
      <c r="Q138" s="572">
        <v>355175</v>
      </c>
      <c r="R138" s="572"/>
      <c r="S138" s="573">
        <v>4026938</v>
      </c>
      <c r="T138" s="574">
        <v>-181238</v>
      </c>
      <c r="U138" s="574">
        <v>3845700</v>
      </c>
    </row>
    <row r="139" spans="1:21" x14ac:dyDescent="0.25">
      <c r="A139" s="569">
        <v>33305</v>
      </c>
      <c r="B139" s="570" t="s">
        <v>905</v>
      </c>
      <c r="C139" s="571">
        <v>6.0360000000000003E-4</v>
      </c>
      <c r="D139" s="571">
        <v>6.2299999999999996E-4</v>
      </c>
      <c r="E139" s="572">
        <v>903728</v>
      </c>
      <c r="F139" s="572">
        <v>2295878</v>
      </c>
      <c r="G139" s="572">
        <v>5547708</v>
      </c>
      <c r="H139" s="572"/>
      <c r="I139" s="573">
        <v>0</v>
      </c>
      <c r="J139" s="573">
        <v>3173974</v>
      </c>
      <c r="K139" s="573">
        <v>818152</v>
      </c>
      <c r="L139" s="572">
        <v>37671</v>
      </c>
      <c r="M139" s="572"/>
      <c r="N139" s="573">
        <v>262192</v>
      </c>
      <c r="O139" s="573">
        <v>1195484</v>
      </c>
      <c r="P139" s="573">
        <v>0</v>
      </c>
      <c r="Q139" s="572">
        <v>80010</v>
      </c>
      <c r="R139" s="572"/>
      <c r="S139" s="573">
        <v>1062862</v>
      </c>
      <c r="T139" s="574">
        <v>-32495</v>
      </c>
      <c r="U139" s="574">
        <v>1030368</v>
      </c>
    </row>
    <row r="140" spans="1:21" x14ac:dyDescent="0.25">
      <c r="A140" s="569">
        <v>33400</v>
      </c>
      <c r="B140" s="570" t="s">
        <v>906</v>
      </c>
      <c r="C140" s="571">
        <v>2.05119E-2</v>
      </c>
      <c r="D140" s="571">
        <v>2.0228599999999999E-2</v>
      </c>
      <c r="E140" s="572">
        <v>25648364</v>
      </c>
      <c r="F140" s="572">
        <v>74546396</v>
      </c>
      <c r="G140" s="572">
        <v>188525550</v>
      </c>
      <c r="H140" s="572"/>
      <c r="I140" s="573">
        <v>0</v>
      </c>
      <c r="J140" s="573">
        <v>107859919</v>
      </c>
      <c r="K140" s="573">
        <v>27802937</v>
      </c>
      <c r="L140" s="572">
        <v>1992776</v>
      </c>
      <c r="M140" s="572"/>
      <c r="N140" s="573">
        <v>8909980</v>
      </c>
      <c r="O140" s="573">
        <v>40625664</v>
      </c>
      <c r="P140" s="573">
        <v>0</v>
      </c>
      <c r="Q140" s="572">
        <v>0</v>
      </c>
      <c r="R140" s="572"/>
      <c r="S140" s="573">
        <v>36118830</v>
      </c>
      <c r="T140" s="574">
        <v>789457</v>
      </c>
      <c r="U140" s="574">
        <v>36908287</v>
      </c>
    </row>
    <row r="141" spans="1:21" x14ac:dyDescent="0.25">
      <c r="A141" s="569">
        <v>33402</v>
      </c>
      <c r="B141" s="570" t="s">
        <v>907</v>
      </c>
      <c r="C141" s="571">
        <v>1.585E-4</v>
      </c>
      <c r="D141" s="571">
        <v>1.459E-4</v>
      </c>
      <c r="E141" s="572">
        <v>168912.39</v>
      </c>
      <c r="F141" s="572">
        <v>537670</v>
      </c>
      <c r="G141" s="572">
        <v>1456779</v>
      </c>
      <c r="H141" s="572"/>
      <c r="I141" s="573">
        <v>0</v>
      </c>
      <c r="J141" s="573">
        <v>833458</v>
      </c>
      <c r="K141" s="573">
        <v>214839</v>
      </c>
      <c r="L141" s="572">
        <v>45067</v>
      </c>
      <c r="M141" s="572"/>
      <c r="N141" s="573">
        <v>68849</v>
      </c>
      <c r="O141" s="573">
        <v>313924</v>
      </c>
      <c r="P141" s="573">
        <v>0</v>
      </c>
      <c r="Q141" s="572">
        <v>3136</v>
      </c>
      <c r="R141" s="572"/>
      <c r="S141" s="573">
        <v>279098</v>
      </c>
      <c r="T141" s="574">
        <v>18897</v>
      </c>
      <c r="U141" s="574">
        <v>297995</v>
      </c>
    </row>
    <row r="142" spans="1:21" x14ac:dyDescent="0.25">
      <c r="A142" s="575">
        <v>33403</v>
      </c>
      <c r="B142" s="570" t="s">
        <v>908</v>
      </c>
      <c r="C142" s="571">
        <v>0</v>
      </c>
      <c r="D142" s="571">
        <v>0</v>
      </c>
      <c r="E142" s="572"/>
      <c r="F142" s="572">
        <v>0</v>
      </c>
      <c r="G142" s="572">
        <v>0</v>
      </c>
      <c r="H142" s="572"/>
      <c r="I142" s="573">
        <v>0</v>
      </c>
      <c r="J142" s="573">
        <v>0</v>
      </c>
      <c r="K142" s="573">
        <v>0</v>
      </c>
      <c r="L142" s="572">
        <v>0</v>
      </c>
      <c r="M142" s="572"/>
      <c r="N142" s="573">
        <v>0</v>
      </c>
      <c r="O142" s="573">
        <v>0</v>
      </c>
      <c r="P142" s="573">
        <v>0</v>
      </c>
      <c r="Q142" s="572">
        <v>90748</v>
      </c>
      <c r="R142" s="572"/>
      <c r="S142" s="573">
        <v>0</v>
      </c>
      <c r="T142" s="574">
        <v>-50697</v>
      </c>
      <c r="U142" s="574">
        <v>-50697</v>
      </c>
    </row>
    <row r="143" spans="1:21" x14ac:dyDescent="0.25">
      <c r="A143" s="575">
        <v>33405</v>
      </c>
      <c r="B143" s="570" t="s">
        <v>909</v>
      </c>
      <c r="C143" s="571">
        <v>2.0352E-3</v>
      </c>
      <c r="D143" s="571">
        <v>2.0105000000000001E-3</v>
      </c>
      <c r="E143" s="572">
        <v>2740410.83</v>
      </c>
      <c r="F143" s="572">
        <v>7409091</v>
      </c>
      <c r="G143" s="572">
        <v>18705590</v>
      </c>
      <c r="H143" s="572"/>
      <c r="I143" s="573">
        <v>0</v>
      </c>
      <c r="J143" s="573">
        <v>10701910</v>
      </c>
      <c r="K143" s="573">
        <v>2758620</v>
      </c>
      <c r="L143" s="572">
        <v>601289</v>
      </c>
      <c r="M143" s="572"/>
      <c r="N143" s="573">
        <v>884052</v>
      </c>
      <c r="O143" s="573">
        <v>4030897</v>
      </c>
      <c r="P143" s="573">
        <v>0</v>
      </c>
      <c r="Q143" s="572">
        <v>28655</v>
      </c>
      <c r="R143" s="572"/>
      <c r="S143" s="573">
        <v>3583727</v>
      </c>
      <c r="T143" s="574">
        <v>269418</v>
      </c>
      <c r="U143" s="574">
        <v>3853145</v>
      </c>
    </row>
    <row r="144" spans="1:21" x14ac:dyDescent="0.25">
      <c r="A144" s="575">
        <v>33500</v>
      </c>
      <c r="B144" s="570" t="s">
        <v>910</v>
      </c>
      <c r="C144" s="571">
        <v>3.3923E-3</v>
      </c>
      <c r="D144" s="571">
        <v>3.3027E-3</v>
      </c>
      <c r="E144" s="572">
        <v>4126368</v>
      </c>
      <c r="F144" s="572">
        <v>12171103</v>
      </c>
      <c r="G144" s="572">
        <v>31178741</v>
      </c>
      <c r="H144" s="572"/>
      <c r="I144" s="573">
        <v>0</v>
      </c>
      <c r="J144" s="573">
        <v>17838094</v>
      </c>
      <c r="K144" s="573">
        <v>4598107</v>
      </c>
      <c r="L144" s="572">
        <v>524838</v>
      </c>
      <c r="M144" s="572"/>
      <c r="N144" s="573">
        <v>1473551</v>
      </c>
      <c r="O144" s="573">
        <v>6718755</v>
      </c>
      <c r="P144" s="573">
        <v>0</v>
      </c>
      <c r="Q144" s="572">
        <v>0</v>
      </c>
      <c r="R144" s="572"/>
      <c r="S144" s="573">
        <v>5973406</v>
      </c>
      <c r="T144" s="574">
        <v>223143</v>
      </c>
      <c r="U144" s="574">
        <v>6196549</v>
      </c>
    </row>
    <row r="145" spans="1:21" x14ac:dyDescent="0.25">
      <c r="A145" s="569">
        <v>33501</v>
      </c>
      <c r="B145" s="570" t="s">
        <v>911</v>
      </c>
      <c r="C145" s="571">
        <v>7.0699999999999997E-5</v>
      </c>
      <c r="D145" s="571">
        <v>6.86E-5</v>
      </c>
      <c r="E145" s="572">
        <v>80075</v>
      </c>
      <c r="F145" s="572">
        <v>252805</v>
      </c>
      <c r="G145" s="572">
        <v>649806</v>
      </c>
      <c r="H145" s="572"/>
      <c r="I145" s="573">
        <v>0</v>
      </c>
      <c r="J145" s="573">
        <v>371769</v>
      </c>
      <c r="K145" s="573">
        <v>95831</v>
      </c>
      <c r="L145" s="572">
        <v>15156</v>
      </c>
      <c r="M145" s="572"/>
      <c r="N145" s="573">
        <v>30711</v>
      </c>
      <c r="O145" s="573">
        <v>140028</v>
      </c>
      <c r="P145" s="573">
        <v>0</v>
      </c>
      <c r="Q145" s="572">
        <v>10890</v>
      </c>
      <c r="R145" s="572"/>
      <c r="S145" s="573">
        <v>124494</v>
      </c>
      <c r="T145" s="574">
        <v>-190</v>
      </c>
      <c r="U145" s="574">
        <v>124304</v>
      </c>
    </row>
    <row r="146" spans="1:21" x14ac:dyDescent="0.25">
      <c r="A146" s="569">
        <v>33600</v>
      </c>
      <c r="B146" s="570" t="s">
        <v>912</v>
      </c>
      <c r="C146" s="571">
        <v>1.0871499999999999E-2</v>
      </c>
      <c r="D146" s="571">
        <v>1.0561299999999999E-2</v>
      </c>
      <c r="E146" s="572">
        <v>13148406</v>
      </c>
      <c r="F146" s="572">
        <v>38920482</v>
      </c>
      <c r="G146" s="572">
        <v>99920315</v>
      </c>
      <c r="H146" s="572"/>
      <c r="I146" s="573">
        <v>0</v>
      </c>
      <c r="J146" s="573">
        <v>57166772</v>
      </c>
      <c r="K146" s="573">
        <v>14735818</v>
      </c>
      <c r="L146" s="572">
        <v>1020271</v>
      </c>
      <c r="M146" s="572"/>
      <c r="N146" s="573">
        <v>4722373</v>
      </c>
      <c r="O146" s="573">
        <v>21531984</v>
      </c>
      <c r="P146" s="573">
        <v>0</v>
      </c>
      <c r="Q146" s="572">
        <v>387970</v>
      </c>
      <c r="R146" s="572"/>
      <c r="S146" s="573">
        <v>19143320</v>
      </c>
      <c r="T146" s="574">
        <v>120495</v>
      </c>
      <c r="U146" s="574">
        <v>19263815</v>
      </c>
    </row>
    <row r="147" spans="1:21" x14ac:dyDescent="0.25">
      <c r="A147" s="569">
        <v>33605</v>
      </c>
      <c r="B147" s="570" t="s">
        <v>913</v>
      </c>
      <c r="C147" s="571">
        <v>1.4801E-3</v>
      </c>
      <c r="D147" s="571">
        <v>1.4997000000000001E-3</v>
      </c>
      <c r="E147" s="572">
        <v>2087359</v>
      </c>
      <c r="F147" s="572">
        <v>5526691</v>
      </c>
      <c r="G147" s="572">
        <v>13603648</v>
      </c>
      <c r="H147" s="572"/>
      <c r="I147" s="573">
        <v>0</v>
      </c>
      <c r="J147" s="573">
        <v>7782968</v>
      </c>
      <c r="K147" s="573">
        <v>2006207</v>
      </c>
      <c r="L147" s="572">
        <v>180059</v>
      </c>
      <c r="M147" s="572"/>
      <c r="N147" s="573">
        <v>642927</v>
      </c>
      <c r="O147" s="573">
        <v>2931471</v>
      </c>
      <c r="P147" s="573">
        <v>0</v>
      </c>
      <c r="Q147" s="572">
        <v>0</v>
      </c>
      <c r="R147" s="572"/>
      <c r="S147" s="573">
        <v>2606267</v>
      </c>
      <c r="T147" s="574">
        <v>66361</v>
      </c>
      <c r="U147" s="574">
        <v>2672627</v>
      </c>
    </row>
    <row r="148" spans="1:21" x14ac:dyDescent="0.25">
      <c r="A148" s="569">
        <v>33700</v>
      </c>
      <c r="B148" s="570" t="s">
        <v>914</v>
      </c>
      <c r="C148" s="571">
        <v>7.9049999999999997E-4</v>
      </c>
      <c r="D148" s="571">
        <v>8.1840000000000005E-4</v>
      </c>
      <c r="E148" s="572">
        <v>949581</v>
      </c>
      <c r="F148" s="572">
        <v>3015966</v>
      </c>
      <c r="G148" s="572">
        <v>7265512</v>
      </c>
      <c r="H148" s="572"/>
      <c r="I148" s="573">
        <v>0</v>
      </c>
      <c r="J148" s="573">
        <v>4156771</v>
      </c>
      <c r="K148" s="573">
        <v>1071486</v>
      </c>
      <c r="L148" s="572">
        <v>28615</v>
      </c>
      <c r="M148" s="572"/>
      <c r="N148" s="573">
        <v>343378</v>
      </c>
      <c r="O148" s="573">
        <v>1565656</v>
      </c>
      <c r="P148" s="573">
        <v>0</v>
      </c>
      <c r="Q148" s="572">
        <v>141260</v>
      </c>
      <c r="R148" s="572"/>
      <c r="S148" s="573">
        <v>1391969</v>
      </c>
      <c r="T148" s="574">
        <v>-26311</v>
      </c>
      <c r="U148" s="574">
        <v>1365658</v>
      </c>
    </row>
    <row r="149" spans="1:21" x14ac:dyDescent="0.25">
      <c r="A149" s="569">
        <v>33800</v>
      </c>
      <c r="B149" s="570" t="s">
        <v>915</v>
      </c>
      <c r="C149" s="571">
        <v>5.8219999999999995E-4</v>
      </c>
      <c r="D149" s="571">
        <v>5.754E-4</v>
      </c>
      <c r="E149" s="572">
        <v>731235.97</v>
      </c>
      <c r="F149" s="572">
        <v>2120463</v>
      </c>
      <c r="G149" s="572">
        <v>5351019</v>
      </c>
      <c r="H149" s="572"/>
      <c r="I149" s="573">
        <v>0</v>
      </c>
      <c r="J149" s="573">
        <v>3061445</v>
      </c>
      <c r="K149" s="573">
        <v>789145</v>
      </c>
      <c r="L149" s="572">
        <v>67842</v>
      </c>
      <c r="M149" s="572"/>
      <c r="N149" s="573">
        <v>252897</v>
      </c>
      <c r="O149" s="573">
        <v>1153099</v>
      </c>
      <c r="P149" s="573">
        <v>0</v>
      </c>
      <c r="Q149" s="572">
        <v>18448</v>
      </c>
      <c r="R149" s="572"/>
      <c r="S149" s="573">
        <v>1025180</v>
      </c>
      <c r="T149" s="574">
        <v>14096</v>
      </c>
      <c r="U149" s="574">
        <v>1039275</v>
      </c>
    </row>
    <row r="150" spans="1:21" x14ac:dyDescent="0.25">
      <c r="A150" s="569">
        <v>33900</v>
      </c>
      <c r="B150" s="570" t="s">
        <v>916</v>
      </c>
      <c r="C150" s="571">
        <v>3.0546000000000002E-3</v>
      </c>
      <c r="D150" s="571">
        <v>2.9675999999999999E-3</v>
      </c>
      <c r="E150" s="572">
        <v>3789538.45</v>
      </c>
      <c r="F150" s="572">
        <v>10936194</v>
      </c>
      <c r="G150" s="572">
        <v>28074929</v>
      </c>
      <c r="H150" s="572"/>
      <c r="I150" s="573">
        <v>0</v>
      </c>
      <c r="J150" s="573">
        <v>16062330</v>
      </c>
      <c r="K150" s="573">
        <v>4140370</v>
      </c>
      <c r="L150" s="572">
        <v>229529</v>
      </c>
      <c r="M150" s="572"/>
      <c r="N150" s="573">
        <v>1326860</v>
      </c>
      <c r="O150" s="573">
        <v>6049910</v>
      </c>
      <c r="P150" s="573">
        <v>0</v>
      </c>
      <c r="Q150" s="572">
        <v>338961</v>
      </c>
      <c r="R150" s="572"/>
      <c r="S150" s="573">
        <v>5378760</v>
      </c>
      <c r="T150" s="574">
        <v>-83002</v>
      </c>
      <c r="U150" s="574">
        <v>5295757</v>
      </c>
    </row>
    <row r="151" spans="1:21" x14ac:dyDescent="0.25">
      <c r="A151" s="569">
        <v>34000</v>
      </c>
      <c r="B151" s="570" t="s">
        <v>917</v>
      </c>
      <c r="C151" s="571">
        <v>1.3045000000000001E-3</v>
      </c>
      <c r="D151" s="571">
        <v>1.3382999999999999E-3</v>
      </c>
      <c r="E151" s="572">
        <v>1569652</v>
      </c>
      <c r="F151" s="572">
        <v>4931900</v>
      </c>
      <c r="G151" s="572">
        <v>11989703</v>
      </c>
      <c r="H151" s="572"/>
      <c r="I151" s="573">
        <v>0</v>
      </c>
      <c r="J151" s="573">
        <v>6859592</v>
      </c>
      <c r="K151" s="573">
        <v>1768190</v>
      </c>
      <c r="L151" s="572">
        <v>0</v>
      </c>
      <c r="M151" s="572"/>
      <c r="N151" s="573">
        <v>566650</v>
      </c>
      <c r="O151" s="573">
        <v>2583680</v>
      </c>
      <c r="P151" s="573">
        <v>0</v>
      </c>
      <c r="Q151" s="572">
        <v>450003</v>
      </c>
      <c r="R151" s="572"/>
      <c r="S151" s="573">
        <v>2297058</v>
      </c>
      <c r="T151" s="574">
        <v>-174317</v>
      </c>
      <c r="U151" s="574">
        <v>2122740</v>
      </c>
    </row>
    <row r="152" spans="1:21" x14ac:dyDescent="0.25">
      <c r="A152" s="569">
        <v>34100</v>
      </c>
      <c r="B152" s="570" t="s">
        <v>918</v>
      </c>
      <c r="C152" s="571">
        <v>2.9814299999999998E-2</v>
      </c>
      <c r="D152" s="571">
        <v>3.0440399999999999E-2</v>
      </c>
      <c r="E152" s="572">
        <v>35353749</v>
      </c>
      <c r="F152" s="572">
        <v>112178901</v>
      </c>
      <c r="G152" s="572">
        <v>274024215</v>
      </c>
      <c r="H152" s="572"/>
      <c r="I152" s="573">
        <v>0</v>
      </c>
      <c r="J152" s="573">
        <v>156775724</v>
      </c>
      <c r="K152" s="573">
        <v>40411912</v>
      </c>
      <c r="L152" s="572">
        <v>345334</v>
      </c>
      <c r="M152" s="572"/>
      <c r="N152" s="573">
        <v>12950765</v>
      </c>
      <c r="O152" s="573">
        <v>59049904</v>
      </c>
      <c r="P152" s="573">
        <v>0</v>
      </c>
      <c r="Q152" s="572">
        <v>5583362</v>
      </c>
      <c r="R152" s="572"/>
      <c r="S152" s="573">
        <v>52499166</v>
      </c>
      <c r="T152" s="574">
        <v>-1541138</v>
      </c>
      <c r="U152" s="574">
        <v>50958028</v>
      </c>
    </row>
    <row r="153" spans="1:21" x14ac:dyDescent="0.25">
      <c r="A153" s="569">
        <v>34105</v>
      </c>
      <c r="B153" s="570" t="s">
        <v>919</v>
      </c>
      <c r="C153" s="571">
        <v>2.5124000000000001E-3</v>
      </c>
      <c r="D153" s="571">
        <v>2.6684E-3</v>
      </c>
      <c r="E153" s="572">
        <v>3317965</v>
      </c>
      <c r="F153" s="572">
        <v>9833582</v>
      </c>
      <c r="G153" s="572">
        <v>23091551</v>
      </c>
      <c r="H153" s="572"/>
      <c r="I153" s="573">
        <v>0</v>
      </c>
      <c r="J153" s="573">
        <v>13211222</v>
      </c>
      <c r="K153" s="573">
        <v>3405443</v>
      </c>
      <c r="L153" s="572">
        <v>0</v>
      </c>
      <c r="M153" s="572"/>
      <c r="N153" s="573">
        <v>1091339</v>
      </c>
      <c r="O153" s="573">
        <v>4976034</v>
      </c>
      <c r="P153" s="573">
        <v>0</v>
      </c>
      <c r="Q153" s="572">
        <v>542902</v>
      </c>
      <c r="R153" s="572"/>
      <c r="S153" s="573">
        <v>4424015</v>
      </c>
      <c r="T153" s="574">
        <v>-172058</v>
      </c>
      <c r="U153" s="574">
        <v>4251957</v>
      </c>
    </row>
    <row r="154" spans="1:21" x14ac:dyDescent="0.25">
      <c r="A154" s="569">
        <v>34200</v>
      </c>
      <c r="B154" s="570" t="s">
        <v>920</v>
      </c>
      <c r="C154" s="571">
        <v>1.1073999999999999E-3</v>
      </c>
      <c r="D154" s="571">
        <v>1.3571E-3</v>
      </c>
      <c r="E154" s="572">
        <v>1460986</v>
      </c>
      <c r="F154" s="572">
        <v>5001182</v>
      </c>
      <c r="G154" s="572">
        <v>10178150</v>
      </c>
      <c r="H154" s="572"/>
      <c r="I154" s="573">
        <v>0</v>
      </c>
      <c r="J154" s="573">
        <v>5823160</v>
      </c>
      <c r="K154" s="573">
        <v>1501030</v>
      </c>
      <c r="L154" s="572">
        <v>0</v>
      </c>
      <c r="M154" s="572"/>
      <c r="N154" s="573">
        <v>481034</v>
      </c>
      <c r="O154" s="573">
        <v>2193305</v>
      </c>
      <c r="P154" s="573">
        <v>0</v>
      </c>
      <c r="Q154" s="572">
        <v>1364810</v>
      </c>
      <c r="R154" s="572"/>
      <c r="S154" s="573">
        <v>1949990</v>
      </c>
      <c r="T154" s="574">
        <v>-480769</v>
      </c>
      <c r="U154" s="574">
        <v>1469221</v>
      </c>
    </row>
    <row r="155" spans="1:21" x14ac:dyDescent="0.25">
      <c r="A155" s="569">
        <v>34205</v>
      </c>
      <c r="B155" s="570" t="s">
        <v>921</v>
      </c>
      <c r="C155" s="571">
        <v>4.4920000000000002E-4</v>
      </c>
      <c r="D155" s="571">
        <v>4.8720000000000002E-4</v>
      </c>
      <c r="E155" s="572">
        <v>649935</v>
      </c>
      <c r="F155" s="572">
        <v>1795428</v>
      </c>
      <c r="G155" s="572">
        <v>4128612</v>
      </c>
      <c r="H155" s="572"/>
      <c r="I155" s="573">
        <v>0</v>
      </c>
      <c r="J155" s="573">
        <v>2362076</v>
      </c>
      <c r="K155" s="573">
        <v>608870</v>
      </c>
      <c r="L155" s="572">
        <v>0</v>
      </c>
      <c r="M155" s="572"/>
      <c r="N155" s="573">
        <v>195124</v>
      </c>
      <c r="O155" s="573">
        <v>889681</v>
      </c>
      <c r="P155" s="573">
        <v>0</v>
      </c>
      <c r="Q155" s="572">
        <v>113846</v>
      </c>
      <c r="R155" s="572"/>
      <c r="S155" s="573">
        <v>790984</v>
      </c>
      <c r="T155" s="574">
        <v>-37805</v>
      </c>
      <c r="U155" s="574">
        <v>753179</v>
      </c>
    </row>
    <row r="156" spans="1:21" x14ac:dyDescent="0.25">
      <c r="A156" s="569">
        <v>34220</v>
      </c>
      <c r="B156" s="570" t="s">
        <v>922</v>
      </c>
      <c r="C156" s="571">
        <v>1.0677E-3</v>
      </c>
      <c r="D156" s="571">
        <v>1.0639E-3</v>
      </c>
      <c r="E156" s="572">
        <v>1429742</v>
      </c>
      <c r="F156" s="572">
        <v>3920682</v>
      </c>
      <c r="G156" s="572">
        <v>9813266</v>
      </c>
      <c r="H156" s="572"/>
      <c r="I156" s="573">
        <v>0</v>
      </c>
      <c r="J156" s="573">
        <v>5614401</v>
      </c>
      <c r="K156" s="573">
        <v>1447218</v>
      </c>
      <c r="L156" s="572">
        <v>84567</v>
      </c>
      <c r="M156" s="572"/>
      <c r="N156" s="573">
        <v>463789</v>
      </c>
      <c r="O156" s="573">
        <v>2114676</v>
      </c>
      <c r="P156" s="573">
        <v>0</v>
      </c>
      <c r="Q156" s="572">
        <v>12273</v>
      </c>
      <c r="R156" s="572"/>
      <c r="S156" s="573">
        <v>1880083</v>
      </c>
      <c r="T156" s="574">
        <v>18897</v>
      </c>
      <c r="U156" s="574">
        <v>1898980</v>
      </c>
    </row>
    <row r="157" spans="1:21" x14ac:dyDescent="0.25">
      <c r="A157" s="569">
        <v>34230</v>
      </c>
      <c r="B157" s="570" t="s">
        <v>923</v>
      </c>
      <c r="C157" s="571">
        <v>4.9019999999999999E-4</v>
      </c>
      <c r="D157" s="571">
        <v>4.9819999999999997E-4</v>
      </c>
      <c r="E157" s="572">
        <v>625777.5</v>
      </c>
      <c r="F157" s="572">
        <v>1835966</v>
      </c>
      <c r="G157" s="572">
        <v>4505444</v>
      </c>
      <c r="H157" s="572"/>
      <c r="I157" s="573">
        <v>0</v>
      </c>
      <c r="J157" s="573">
        <v>2577671</v>
      </c>
      <c r="K157" s="573">
        <v>664444</v>
      </c>
      <c r="L157" s="572">
        <v>1190</v>
      </c>
      <c r="M157" s="572"/>
      <c r="N157" s="573">
        <v>212934</v>
      </c>
      <c r="O157" s="573">
        <v>970885</v>
      </c>
      <c r="P157" s="573">
        <v>0</v>
      </c>
      <c r="Q157" s="572">
        <v>34910</v>
      </c>
      <c r="R157" s="572"/>
      <c r="S157" s="573">
        <v>863179</v>
      </c>
      <c r="T157" s="574">
        <v>-10167</v>
      </c>
      <c r="U157" s="574">
        <v>853013</v>
      </c>
    </row>
    <row r="158" spans="1:21" x14ac:dyDescent="0.25">
      <c r="A158" s="569">
        <v>34300</v>
      </c>
      <c r="B158" s="570" t="s">
        <v>924</v>
      </c>
      <c r="C158" s="571">
        <v>7.0816000000000004E-3</v>
      </c>
      <c r="D158" s="571">
        <v>7.0587000000000002E-3</v>
      </c>
      <c r="E158" s="572">
        <v>8398819</v>
      </c>
      <c r="F158" s="572">
        <v>26012707</v>
      </c>
      <c r="G158" s="572">
        <v>65087219</v>
      </c>
      <c r="H158" s="572"/>
      <c r="I158" s="573">
        <v>0</v>
      </c>
      <c r="J158" s="573">
        <v>37237935</v>
      </c>
      <c r="K158" s="573">
        <v>9598783</v>
      </c>
      <c r="L158" s="572">
        <v>769878</v>
      </c>
      <c r="M158" s="572"/>
      <c r="N158" s="573">
        <v>3076112</v>
      </c>
      <c r="O158" s="573">
        <v>14025746</v>
      </c>
      <c r="P158" s="573">
        <v>0</v>
      </c>
      <c r="Q158" s="572">
        <v>1531401</v>
      </c>
      <c r="R158" s="572"/>
      <c r="S158" s="573">
        <v>12469791</v>
      </c>
      <c r="T158" s="574">
        <v>-118556</v>
      </c>
      <c r="U158" s="574">
        <v>12351235</v>
      </c>
    </row>
    <row r="159" spans="1:21" x14ac:dyDescent="0.25">
      <c r="A159" s="569">
        <v>34400</v>
      </c>
      <c r="B159" s="570" t="s">
        <v>925</v>
      </c>
      <c r="C159" s="571">
        <v>2.9927E-3</v>
      </c>
      <c r="D159" s="571">
        <v>2.9892E-3</v>
      </c>
      <c r="E159" s="572">
        <v>3592331.59</v>
      </c>
      <c r="F159" s="572">
        <v>11015794</v>
      </c>
      <c r="G159" s="572">
        <v>27506004</v>
      </c>
      <c r="H159" s="572"/>
      <c r="I159" s="573">
        <v>0</v>
      </c>
      <c r="J159" s="573">
        <v>15736835</v>
      </c>
      <c r="K159" s="573">
        <v>4056467</v>
      </c>
      <c r="L159" s="572">
        <v>84697</v>
      </c>
      <c r="M159" s="572"/>
      <c r="N159" s="573">
        <v>1299972</v>
      </c>
      <c r="O159" s="573">
        <v>5927312</v>
      </c>
      <c r="P159" s="573">
        <v>0</v>
      </c>
      <c r="Q159" s="572">
        <v>251731</v>
      </c>
      <c r="R159" s="572"/>
      <c r="S159" s="573">
        <v>5269762</v>
      </c>
      <c r="T159" s="574">
        <v>-66046</v>
      </c>
      <c r="U159" s="574">
        <v>5203715</v>
      </c>
    </row>
    <row r="160" spans="1:21" x14ac:dyDescent="0.25">
      <c r="A160" s="569">
        <v>34405</v>
      </c>
      <c r="B160" s="570" t="s">
        <v>926</v>
      </c>
      <c r="C160" s="571">
        <v>5.9949999999999999E-4</v>
      </c>
      <c r="D160" s="571">
        <v>6.3489999999999998E-4</v>
      </c>
      <c r="E160" s="572">
        <v>768545.36</v>
      </c>
      <c r="F160" s="572">
        <v>2339732</v>
      </c>
      <c r="G160" s="572">
        <v>5510024</v>
      </c>
      <c r="H160" s="572"/>
      <c r="I160" s="573">
        <v>0</v>
      </c>
      <c r="J160" s="573">
        <v>3152415</v>
      </c>
      <c r="K160" s="573">
        <v>812595</v>
      </c>
      <c r="L160" s="572">
        <v>6190</v>
      </c>
      <c r="M160" s="572"/>
      <c r="N160" s="573">
        <v>260411</v>
      </c>
      <c r="O160" s="573">
        <v>1187364</v>
      </c>
      <c r="P160" s="573">
        <v>0</v>
      </c>
      <c r="Q160" s="572">
        <v>144133</v>
      </c>
      <c r="R160" s="572"/>
      <c r="S160" s="573">
        <v>1055643</v>
      </c>
      <c r="T160" s="574">
        <v>-45669</v>
      </c>
      <c r="U160" s="574">
        <v>1009974</v>
      </c>
    </row>
    <row r="161" spans="1:21" x14ac:dyDescent="0.25">
      <c r="A161" s="569">
        <v>34500</v>
      </c>
      <c r="B161" s="570" t="s">
        <v>927</v>
      </c>
      <c r="C161" s="571">
        <v>5.1397999999999999E-3</v>
      </c>
      <c r="D161" s="571">
        <v>5.0030999999999999E-3</v>
      </c>
      <c r="E161" s="572">
        <v>6236681</v>
      </c>
      <c r="F161" s="572">
        <v>18437414</v>
      </c>
      <c r="G161" s="572">
        <v>47240071</v>
      </c>
      <c r="H161" s="572"/>
      <c r="I161" s="573">
        <v>0</v>
      </c>
      <c r="J161" s="573">
        <v>27027160</v>
      </c>
      <c r="K161" s="573">
        <v>6966762</v>
      </c>
      <c r="L161" s="572">
        <v>389011</v>
      </c>
      <c r="M161" s="572"/>
      <c r="N161" s="573">
        <v>2232631</v>
      </c>
      <c r="O161" s="573">
        <v>10179836</v>
      </c>
      <c r="P161" s="573">
        <v>0</v>
      </c>
      <c r="Q161" s="572">
        <v>104571</v>
      </c>
      <c r="R161" s="572"/>
      <c r="S161" s="573">
        <v>9050530</v>
      </c>
      <c r="T161" s="574">
        <v>67087</v>
      </c>
      <c r="U161" s="574">
        <v>9117617</v>
      </c>
    </row>
    <row r="162" spans="1:21" x14ac:dyDescent="0.25">
      <c r="A162" s="569">
        <v>34501</v>
      </c>
      <c r="B162" s="570" t="s">
        <v>928</v>
      </c>
      <c r="C162" s="571">
        <v>6.19E-5</v>
      </c>
      <c r="D162" s="571">
        <v>6.2399999999999999E-5</v>
      </c>
      <c r="E162" s="572">
        <v>71406.880000000005</v>
      </c>
      <c r="F162" s="572">
        <v>229956</v>
      </c>
      <c r="G162" s="572">
        <v>568925</v>
      </c>
      <c r="H162" s="572"/>
      <c r="I162" s="573">
        <v>0</v>
      </c>
      <c r="J162" s="573">
        <v>325495</v>
      </c>
      <c r="K162" s="573">
        <v>83903</v>
      </c>
      <c r="L162" s="572">
        <v>12325</v>
      </c>
      <c r="M162" s="572"/>
      <c r="N162" s="573">
        <v>26888</v>
      </c>
      <c r="O162" s="573">
        <v>122599</v>
      </c>
      <c r="P162" s="573">
        <v>0</v>
      </c>
      <c r="Q162" s="572">
        <v>7457</v>
      </c>
      <c r="R162" s="572"/>
      <c r="S162" s="573">
        <v>108998</v>
      </c>
      <c r="T162" s="574">
        <v>2591</v>
      </c>
      <c r="U162" s="574">
        <v>111589</v>
      </c>
    </row>
    <row r="163" spans="1:21" x14ac:dyDescent="0.25">
      <c r="A163" s="569">
        <v>34505</v>
      </c>
      <c r="B163" s="570" t="s">
        <v>929</v>
      </c>
      <c r="C163" s="571">
        <v>6.3159999999999996E-4</v>
      </c>
      <c r="D163" s="571">
        <v>6.1439999999999997E-4</v>
      </c>
      <c r="E163" s="572">
        <v>899053.49</v>
      </c>
      <c r="F163" s="572">
        <v>2264186</v>
      </c>
      <c r="G163" s="572">
        <v>5805056</v>
      </c>
      <c r="H163" s="572"/>
      <c r="I163" s="573">
        <v>0</v>
      </c>
      <c r="J163" s="573">
        <v>3321210</v>
      </c>
      <c r="K163" s="573">
        <v>856105</v>
      </c>
      <c r="L163" s="572">
        <v>216794</v>
      </c>
      <c r="M163" s="572"/>
      <c r="N163" s="573">
        <v>274355</v>
      </c>
      <c r="O163" s="573">
        <v>1250941</v>
      </c>
      <c r="P163" s="573">
        <v>0</v>
      </c>
      <c r="Q163" s="572">
        <v>23456</v>
      </c>
      <c r="R163" s="572"/>
      <c r="S163" s="573">
        <v>1112167</v>
      </c>
      <c r="T163" s="574">
        <v>75535</v>
      </c>
      <c r="U163" s="574">
        <v>1187702</v>
      </c>
    </row>
    <row r="164" spans="1:21" x14ac:dyDescent="0.25">
      <c r="A164" s="569">
        <v>34600</v>
      </c>
      <c r="B164" s="570" t="s">
        <v>930</v>
      </c>
      <c r="C164" s="571">
        <v>1.2158E-3</v>
      </c>
      <c r="D164" s="571">
        <v>1.2436000000000001E-3</v>
      </c>
      <c r="E164" s="572">
        <v>1584755.27</v>
      </c>
      <c r="F164" s="572">
        <v>4582912</v>
      </c>
      <c r="G164" s="572">
        <v>11174458</v>
      </c>
      <c r="H164" s="572"/>
      <c r="I164" s="573">
        <v>0</v>
      </c>
      <c r="J164" s="573">
        <v>6393171</v>
      </c>
      <c r="K164" s="573">
        <v>1647961</v>
      </c>
      <c r="L164" s="572">
        <v>0</v>
      </c>
      <c r="M164" s="572"/>
      <c r="N164" s="573">
        <v>528120</v>
      </c>
      <c r="O164" s="573">
        <v>2408001</v>
      </c>
      <c r="P164" s="573">
        <v>0</v>
      </c>
      <c r="Q164" s="572">
        <v>248265</v>
      </c>
      <c r="R164" s="572"/>
      <c r="S164" s="573">
        <v>2140868</v>
      </c>
      <c r="T164" s="574">
        <v>-105690</v>
      </c>
      <c r="U164" s="574">
        <v>2035179</v>
      </c>
    </row>
    <row r="165" spans="1:21" x14ac:dyDescent="0.25">
      <c r="A165" s="569">
        <v>34605</v>
      </c>
      <c r="B165" s="570" t="s">
        <v>931</v>
      </c>
      <c r="C165" s="571">
        <v>2.766E-4</v>
      </c>
      <c r="D165" s="571">
        <v>2.7379999999999999E-4</v>
      </c>
      <c r="E165" s="572">
        <v>394146</v>
      </c>
      <c r="F165" s="572">
        <v>1009007</v>
      </c>
      <c r="G165" s="572">
        <v>2542240</v>
      </c>
      <c r="H165" s="572"/>
      <c r="I165" s="573">
        <v>0</v>
      </c>
      <c r="J165" s="573">
        <v>1454475</v>
      </c>
      <c r="K165" s="573">
        <v>374919</v>
      </c>
      <c r="L165" s="572">
        <v>53242</v>
      </c>
      <c r="M165" s="572"/>
      <c r="N165" s="573">
        <v>120150</v>
      </c>
      <c r="O165" s="573">
        <v>547831</v>
      </c>
      <c r="P165" s="573">
        <v>0</v>
      </c>
      <c r="Q165" s="572">
        <v>24363</v>
      </c>
      <c r="R165" s="572"/>
      <c r="S165" s="573">
        <v>487057</v>
      </c>
      <c r="T165" s="574">
        <v>8804</v>
      </c>
      <c r="U165" s="574">
        <v>495861</v>
      </c>
    </row>
    <row r="166" spans="1:21" x14ac:dyDescent="0.25">
      <c r="A166" s="569">
        <v>34700</v>
      </c>
      <c r="B166" s="570" t="s">
        <v>932</v>
      </c>
      <c r="C166" s="571">
        <v>3.3E-3</v>
      </c>
      <c r="D166" s="571">
        <v>3.3221000000000001E-3</v>
      </c>
      <c r="E166" s="572">
        <v>3726768.48</v>
      </c>
      <c r="F166" s="572">
        <v>12242596</v>
      </c>
      <c r="G166" s="572">
        <v>30330409</v>
      </c>
      <c r="H166" s="572"/>
      <c r="I166" s="573">
        <v>0</v>
      </c>
      <c r="J166" s="573">
        <v>17352743</v>
      </c>
      <c r="K166" s="573">
        <v>4472998.2</v>
      </c>
      <c r="L166" s="572">
        <v>214101</v>
      </c>
      <c r="M166" s="572"/>
      <c r="N166" s="573">
        <v>1433457.3</v>
      </c>
      <c r="O166" s="573">
        <v>6535947</v>
      </c>
      <c r="P166" s="573">
        <v>0</v>
      </c>
      <c r="Q166" s="572">
        <v>443827</v>
      </c>
      <c r="R166" s="572"/>
      <c r="S166" s="573">
        <v>5810878</v>
      </c>
      <c r="T166" s="574">
        <v>-33151</v>
      </c>
      <c r="U166" s="574">
        <v>5777727</v>
      </c>
    </row>
    <row r="167" spans="1:21" x14ac:dyDescent="0.25">
      <c r="A167" s="569">
        <v>34800</v>
      </c>
      <c r="B167" s="570" t="s">
        <v>933</v>
      </c>
      <c r="C167" s="571">
        <v>3.6390000000000001E-4</v>
      </c>
      <c r="D167" s="571">
        <v>3.2420000000000002E-4</v>
      </c>
      <c r="E167" s="572">
        <v>494524.79</v>
      </c>
      <c r="F167" s="572">
        <v>1194741</v>
      </c>
      <c r="G167" s="572">
        <v>3344617</v>
      </c>
      <c r="H167" s="572"/>
      <c r="I167" s="573">
        <v>0</v>
      </c>
      <c r="J167" s="573">
        <v>1913534</v>
      </c>
      <c r="K167" s="573">
        <v>493250</v>
      </c>
      <c r="L167" s="572">
        <v>192965</v>
      </c>
      <c r="M167" s="572"/>
      <c r="N167" s="573">
        <v>158071</v>
      </c>
      <c r="O167" s="573">
        <v>720737</v>
      </c>
      <c r="P167" s="573">
        <v>0</v>
      </c>
      <c r="Q167" s="572">
        <v>25591</v>
      </c>
      <c r="R167" s="572"/>
      <c r="S167" s="573">
        <v>640781</v>
      </c>
      <c r="T167" s="574">
        <v>53501</v>
      </c>
      <c r="U167" s="574">
        <v>694282</v>
      </c>
    </row>
    <row r="168" spans="1:21" x14ac:dyDescent="0.25">
      <c r="A168" s="569">
        <v>34900</v>
      </c>
      <c r="B168" s="570" t="s">
        <v>934</v>
      </c>
      <c r="C168" s="571">
        <v>7.3692000000000002E-3</v>
      </c>
      <c r="D168" s="571">
        <v>7.5664E-3</v>
      </c>
      <c r="E168" s="572">
        <v>9002722</v>
      </c>
      <c r="F168" s="572">
        <v>27883682</v>
      </c>
      <c r="G168" s="572">
        <v>67730560</v>
      </c>
      <c r="H168" s="572"/>
      <c r="I168" s="573">
        <v>0</v>
      </c>
      <c r="J168" s="573">
        <v>38750253</v>
      </c>
      <c r="K168" s="573">
        <v>9988612</v>
      </c>
      <c r="L168" s="572">
        <v>0</v>
      </c>
      <c r="M168" s="572"/>
      <c r="N168" s="573">
        <v>3201040</v>
      </c>
      <c r="O168" s="573">
        <v>14595364</v>
      </c>
      <c r="P168" s="573">
        <v>0</v>
      </c>
      <c r="Q168" s="572">
        <v>1710518</v>
      </c>
      <c r="R168" s="572"/>
      <c r="S168" s="573">
        <v>12976218</v>
      </c>
      <c r="T168" s="574">
        <v>-670298</v>
      </c>
      <c r="U168" s="574">
        <v>12305920</v>
      </c>
    </row>
    <row r="169" spans="1:21" x14ac:dyDescent="0.25">
      <c r="A169" s="569">
        <v>34901</v>
      </c>
      <c r="B169" s="570" t="s">
        <v>935</v>
      </c>
      <c r="C169" s="571">
        <v>1.8909999999999999E-4</v>
      </c>
      <c r="D169" s="571">
        <v>1.8100000000000001E-4</v>
      </c>
      <c r="E169" s="572">
        <v>200083.26</v>
      </c>
      <c r="F169" s="572">
        <v>667021</v>
      </c>
      <c r="G169" s="572">
        <v>1738024</v>
      </c>
      <c r="H169" s="572"/>
      <c r="I169" s="573">
        <v>0</v>
      </c>
      <c r="J169" s="573">
        <v>994365</v>
      </c>
      <c r="K169" s="573">
        <v>256316</v>
      </c>
      <c r="L169" s="572">
        <v>10228</v>
      </c>
      <c r="M169" s="572"/>
      <c r="N169" s="573">
        <v>82141</v>
      </c>
      <c r="O169" s="573">
        <v>374530</v>
      </c>
      <c r="P169" s="573">
        <v>0</v>
      </c>
      <c r="Q169" s="572">
        <v>60342</v>
      </c>
      <c r="R169" s="572"/>
      <c r="S169" s="573">
        <v>332981</v>
      </c>
      <c r="T169" s="574">
        <v>-17104</v>
      </c>
      <c r="U169" s="574">
        <v>315876</v>
      </c>
    </row>
    <row r="170" spans="1:21" x14ac:dyDescent="0.25">
      <c r="A170" s="569">
        <v>34903</v>
      </c>
      <c r="B170" s="570" t="s">
        <v>936</v>
      </c>
      <c r="C170" s="571">
        <v>1.34E-5</v>
      </c>
      <c r="D170" s="571">
        <v>2.02E-5</v>
      </c>
      <c r="E170" s="572">
        <v>24821</v>
      </c>
      <c r="F170" s="572">
        <v>74441</v>
      </c>
      <c r="G170" s="572">
        <v>123160</v>
      </c>
      <c r="H170" s="572"/>
      <c r="I170" s="573">
        <v>0</v>
      </c>
      <c r="J170" s="573">
        <v>70463</v>
      </c>
      <c r="K170" s="573">
        <v>18163</v>
      </c>
      <c r="L170" s="572">
        <v>0</v>
      </c>
      <c r="M170" s="572"/>
      <c r="N170" s="573">
        <v>5821</v>
      </c>
      <c r="O170" s="573">
        <v>26540</v>
      </c>
      <c r="P170" s="573">
        <v>0</v>
      </c>
      <c r="Q170" s="572">
        <v>21256</v>
      </c>
      <c r="R170" s="572"/>
      <c r="S170" s="573">
        <v>23596</v>
      </c>
      <c r="T170" s="574">
        <v>-6784</v>
      </c>
      <c r="U170" s="574">
        <v>16812</v>
      </c>
    </row>
    <row r="171" spans="1:21" x14ac:dyDescent="0.25">
      <c r="A171" s="569">
        <v>34905</v>
      </c>
      <c r="B171" s="570" t="s">
        <v>937</v>
      </c>
      <c r="C171" s="571">
        <v>7.2610000000000003E-4</v>
      </c>
      <c r="D171" s="571">
        <v>7.8080000000000001E-4</v>
      </c>
      <c r="E171" s="572">
        <v>938319</v>
      </c>
      <c r="F171" s="572">
        <v>2877403</v>
      </c>
      <c r="G171" s="572">
        <v>6673609</v>
      </c>
      <c r="H171" s="572"/>
      <c r="I171" s="573">
        <v>0</v>
      </c>
      <c r="J171" s="573">
        <v>3818129</v>
      </c>
      <c r="K171" s="573">
        <v>984195</v>
      </c>
      <c r="L171" s="572">
        <v>31978</v>
      </c>
      <c r="M171" s="572"/>
      <c r="N171" s="573">
        <v>315404</v>
      </c>
      <c r="O171" s="573">
        <v>1438106</v>
      </c>
      <c r="P171" s="573">
        <v>0</v>
      </c>
      <c r="Q171" s="572">
        <v>187277</v>
      </c>
      <c r="R171" s="572"/>
      <c r="S171" s="573">
        <v>1278569</v>
      </c>
      <c r="T171" s="574">
        <v>-43350</v>
      </c>
      <c r="U171" s="574">
        <v>1235219</v>
      </c>
    </row>
    <row r="172" spans="1:21" x14ac:dyDescent="0.25">
      <c r="A172" s="569">
        <v>34910</v>
      </c>
      <c r="B172" s="570" t="s">
        <v>938</v>
      </c>
      <c r="C172" s="571">
        <v>2.3143E-3</v>
      </c>
      <c r="D172" s="571">
        <v>2.2087999999999999E-3</v>
      </c>
      <c r="E172" s="572">
        <v>2713831</v>
      </c>
      <c r="F172" s="572">
        <v>8139865</v>
      </c>
      <c r="G172" s="572">
        <v>21270808</v>
      </c>
      <c r="H172" s="572"/>
      <c r="I172" s="573">
        <v>0</v>
      </c>
      <c r="J172" s="573">
        <v>12169531</v>
      </c>
      <c r="K172" s="573">
        <v>3136927</v>
      </c>
      <c r="L172" s="572">
        <v>470343</v>
      </c>
      <c r="M172" s="572"/>
      <c r="N172" s="573">
        <v>1005288</v>
      </c>
      <c r="O172" s="573">
        <v>4583679</v>
      </c>
      <c r="P172" s="573">
        <v>0</v>
      </c>
      <c r="Q172" s="572">
        <v>0</v>
      </c>
      <c r="R172" s="572"/>
      <c r="S172" s="573">
        <v>4075186</v>
      </c>
      <c r="T172" s="574">
        <v>171108</v>
      </c>
      <c r="U172" s="574">
        <v>4246294</v>
      </c>
    </row>
    <row r="173" spans="1:21" x14ac:dyDescent="0.25">
      <c r="A173" s="569">
        <v>35000</v>
      </c>
      <c r="B173" s="570" t="s">
        <v>939</v>
      </c>
      <c r="C173" s="571">
        <v>1.5556999999999999E-3</v>
      </c>
      <c r="D173" s="571">
        <v>1.5065E-3</v>
      </c>
      <c r="E173" s="572">
        <v>1833579</v>
      </c>
      <c r="F173" s="572">
        <v>5551751</v>
      </c>
      <c r="G173" s="572">
        <v>14298490</v>
      </c>
      <c r="H173" s="572"/>
      <c r="I173" s="573">
        <v>0</v>
      </c>
      <c r="J173" s="573">
        <v>8180504</v>
      </c>
      <c r="K173" s="573">
        <v>2108680</v>
      </c>
      <c r="L173" s="572">
        <v>227205</v>
      </c>
      <c r="M173" s="572"/>
      <c r="N173" s="573">
        <v>675767</v>
      </c>
      <c r="O173" s="573">
        <v>3081204</v>
      </c>
      <c r="P173" s="573">
        <v>0</v>
      </c>
      <c r="Q173" s="572">
        <v>0</v>
      </c>
      <c r="R173" s="572"/>
      <c r="S173" s="573">
        <v>2739389</v>
      </c>
      <c r="T173" s="574">
        <v>81578</v>
      </c>
      <c r="U173" s="574">
        <v>2820966</v>
      </c>
    </row>
    <row r="174" spans="1:21" x14ac:dyDescent="0.25">
      <c r="A174" s="569">
        <v>35005</v>
      </c>
      <c r="B174" s="570" t="s">
        <v>940</v>
      </c>
      <c r="C174" s="571">
        <v>7.0509999999999995E-4</v>
      </c>
      <c r="D174" s="571">
        <v>7.2009999999999999E-4</v>
      </c>
      <c r="E174" s="572">
        <v>892704</v>
      </c>
      <c r="F174" s="572">
        <v>2653711</v>
      </c>
      <c r="G174" s="572">
        <v>6480597</v>
      </c>
      <c r="H174" s="572"/>
      <c r="I174" s="573">
        <v>0</v>
      </c>
      <c r="J174" s="573">
        <v>3707703</v>
      </c>
      <c r="K174" s="573">
        <v>955731</v>
      </c>
      <c r="L174" s="572">
        <v>113888</v>
      </c>
      <c r="M174" s="572"/>
      <c r="N174" s="573">
        <v>306282</v>
      </c>
      <c r="O174" s="573">
        <v>1396514</v>
      </c>
      <c r="P174" s="573">
        <v>0</v>
      </c>
      <c r="Q174" s="572">
        <v>55865</v>
      </c>
      <c r="R174" s="572"/>
      <c r="S174" s="573">
        <v>1241591</v>
      </c>
      <c r="T174" s="574">
        <v>42601</v>
      </c>
      <c r="U174" s="574">
        <v>1284192</v>
      </c>
    </row>
    <row r="175" spans="1:21" x14ac:dyDescent="0.25">
      <c r="A175" s="569">
        <v>35100</v>
      </c>
      <c r="B175" s="570" t="s">
        <v>941</v>
      </c>
      <c r="C175" s="571">
        <v>1.29987E-2</v>
      </c>
      <c r="D175" s="571">
        <v>1.2978699999999999E-2</v>
      </c>
      <c r="E175" s="572">
        <v>15145033</v>
      </c>
      <c r="F175" s="572">
        <v>47829079</v>
      </c>
      <c r="G175" s="572">
        <v>119471481</v>
      </c>
      <c r="H175" s="572"/>
      <c r="I175" s="573">
        <v>0</v>
      </c>
      <c r="J175" s="573">
        <v>68352455</v>
      </c>
      <c r="K175" s="573">
        <v>17619140</v>
      </c>
      <c r="L175" s="572">
        <v>666082</v>
      </c>
      <c r="M175" s="572"/>
      <c r="N175" s="573">
        <v>5646388</v>
      </c>
      <c r="O175" s="573">
        <v>25745095</v>
      </c>
      <c r="P175" s="573">
        <v>0</v>
      </c>
      <c r="Q175" s="572">
        <v>2523009</v>
      </c>
      <c r="R175" s="572"/>
      <c r="S175" s="573">
        <v>22889047</v>
      </c>
      <c r="T175" s="574">
        <v>-878950</v>
      </c>
      <c r="U175" s="574">
        <v>22010097</v>
      </c>
    </row>
    <row r="176" spans="1:21" x14ac:dyDescent="0.25">
      <c r="A176" s="569">
        <v>35105</v>
      </c>
      <c r="B176" s="570" t="s">
        <v>942</v>
      </c>
      <c r="C176" s="571">
        <v>1.1724999999999999E-3</v>
      </c>
      <c r="D176" s="571">
        <v>1.2034000000000001E-3</v>
      </c>
      <c r="E176" s="572">
        <v>1448373</v>
      </c>
      <c r="F176" s="572">
        <v>4434767</v>
      </c>
      <c r="G176" s="572">
        <v>10776486</v>
      </c>
      <c r="H176" s="572"/>
      <c r="I176" s="573">
        <v>0</v>
      </c>
      <c r="J176" s="573">
        <v>6165482</v>
      </c>
      <c r="K176" s="573">
        <v>1589270</v>
      </c>
      <c r="L176" s="572">
        <v>94413</v>
      </c>
      <c r="M176" s="572"/>
      <c r="N176" s="573">
        <v>509312</v>
      </c>
      <c r="O176" s="573">
        <v>2322242</v>
      </c>
      <c r="P176" s="573">
        <v>0</v>
      </c>
      <c r="Q176" s="572">
        <v>203439</v>
      </c>
      <c r="R176" s="572"/>
      <c r="S176" s="573">
        <v>2064622.42</v>
      </c>
      <c r="T176" s="574">
        <v>-11502</v>
      </c>
      <c r="U176" s="574">
        <v>2053121</v>
      </c>
    </row>
    <row r="177" spans="1:21" x14ac:dyDescent="0.25">
      <c r="A177" s="569">
        <v>35106</v>
      </c>
      <c r="B177" s="570" t="s">
        <v>943</v>
      </c>
      <c r="C177" s="571">
        <v>2.9930000000000001E-4</v>
      </c>
      <c r="D177" s="571">
        <v>2.6420000000000003E-4</v>
      </c>
      <c r="E177" s="572">
        <v>313262</v>
      </c>
      <c r="F177" s="572">
        <v>973629</v>
      </c>
      <c r="G177" s="572">
        <v>2750876</v>
      </c>
      <c r="H177" s="572"/>
      <c r="I177" s="573">
        <v>0</v>
      </c>
      <c r="J177" s="573">
        <v>1573841</v>
      </c>
      <c r="K177" s="573">
        <v>405687</v>
      </c>
      <c r="L177" s="572">
        <v>223940</v>
      </c>
      <c r="M177" s="572"/>
      <c r="N177" s="573">
        <v>130010</v>
      </c>
      <c r="O177" s="573">
        <v>592791</v>
      </c>
      <c r="P177" s="573">
        <v>0</v>
      </c>
      <c r="Q177" s="572">
        <v>0</v>
      </c>
      <c r="R177" s="572"/>
      <c r="S177" s="573">
        <v>527029</v>
      </c>
      <c r="T177" s="574">
        <v>90741</v>
      </c>
      <c r="U177" s="574">
        <v>617770</v>
      </c>
    </row>
    <row r="178" spans="1:21" x14ac:dyDescent="0.25">
      <c r="A178" s="569">
        <v>35200</v>
      </c>
      <c r="B178" s="570" t="s">
        <v>944</v>
      </c>
      <c r="C178" s="571">
        <v>5.8060000000000002E-4</v>
      </c>
      <c r="D178" s="571">
        <v>5.6170000000000005E-4</v>
      </c>
      <c r="E178" s="572">
        <v>777969.94</v>
      </c>
      <c r="F178" s="572">
        <v>2069976</v>
      </c>
      <c r="G178" s="572">
        <v>5336314</v>
      </c>
      <c r="H178" s="572"/>
      <c r="I178" s="573">
        <v>0</v>
      </c>
      <c r="J178" s="573">
        <v>3053031</v>
      </c>
      <c r="K178" s="573">
        <v>786977</v>
      </c>
      <c r="L178" s="572">
        <v>201070</v>
      </c>
      <c r="M178" s="572"/>
      <c r="N178" s="573">
        <v>252202</v>
      </c>
      <c r="O178" s="573">
        <v>1149931</v>
      </c>
      <c r="P178" s="573">
        <v>0</v>
      </c>
      <c r="Q178" s="572">
        <v>0</v>
      </c>
      <c r="R178" s="572"/>
      <c r="S178" s="573">
        <v>1022362</v>
      </c>
      <c r="T178" s="574">
        <v>77930</v>
      </c>
      <c r="U178" s="574">
        <v>1100292</v>
      </c>
    </row>
    <row r="179" spans="1:21" x14ac:dyDescent="0.25">
      <c r="A179" s="569">
        <v>35300</v>
      </c>
      <c r="B179" s="570" t="s">
        <v>945</v>
      </c>
      <c r="C179" s="571">
        <v>3.8329000000000002E-3</v>
      </c>
      <c r="D179" s="571">
        <v>3.6911000000000001E-3</v>
      </c>
      <c r="E179" s="572">
        <v>4617867.83</v>
      </c>
      <c r="F179" s="572">
        <v>13602434</v>
      </c>
      <c r="G179" s="572">
        <v>35228310</v>
      </c>
      <c r="H179" s="572"/>
      <c r="I179" s="573">
        <v>0</v>
      </c>
      <c r="J179" s="573">
        <v>20154948</v>
      </c>
      <c r="K179" s="573">
        <v>5195320</v>
      </c>
      <c r="L179" s="572">
        <v>499060</v>
      </c>
      <c r="M179" s="572"/>
      <c r="N179" s="573">
        <v>1664939</v>
      </c>
      <c r="O179" s="573">
        <v>7591403</v>
      </c>
      <c r="P179" s="573">
        <v>0</v>
      </c>
      <c r="Q179" s="572">
        <v>246296</v>
      </c>
      <c r="R179" s="572"/>
      <c r="S179" s="573">
        <v>6749246</v>
      </c>
      <c r="T179" s="574">
        <v>25060</v>
      </c>
      <c r="U179" s="574">
        <v>6774306</v>
      </c>
    </row>
    <row r="180" spans="1:21" x14ac:dyDescent="0.25">
      <c r="A180" s="569">
        <v>35305</v>
      </c>
      <c r="B180" s="570" t="s">
        <v>946</v>
      </c>
      <c r="C180" s="571">
        <v>1.42E-3</v>
      </c>
      <c r="D180" s="571">
        <v>1.3343999999999999E-3</v>
      </c>
      <c r="E180" s="572">
        <v>1830820</v>
      </c>
      <c r="F180" s="572">
        <v>4917528</v>
      </c>
      <c r="G180" s="572">
        <v>13051267</v>
      </c>
      <c r="H180" s="572"/>
      <c r="I180" s="573">
        <v>0</v>
      </c>
      <c r="J180" s="573">
        <v>7466938</v>
      </c>
      <c r="K180" s="573">
        <v>1924745</v>
      </c>
      <c r="L180" s="572">
        <v>729730</v>
      </c>
      <c r="M180" s="572"/>
      <c r="N180" s="573">
        <v>616821.02</v>
      </c>
      <c r="O180" s="573">
        <v>2812438</v>
      </c>
      <c r="P180" s="573">
        <v>0</v>
      </c>
      <c r="Q180" s="572">
        <v>0</v>
      </c>
      <c r="R180" s="572"/>
      <c r="S180" s="573">
        <v>2500438</v>
      </c>
      <c r="T180" s="574">
        <v>261668</v>
      </c>
      <c r="U180" s="574">
        <v>2762106</v>
      </c>
    </row>
    <row r="181" spans="1:21" x14ac:dyDescent="0.25">
      <c r="A181" s="569">
        <v>35400</v>
      </c>
      <c r="B181" s="570" t="s">
        <v>947</v>
      </c>
      <c r="C181" s="571">
        <v>3.0752000000000002E-3</v>
      </c>
      <c r="D181" s="571">
        <v>3.1616999999999999E-3</v>
      </c>
      <c r="E181" s="572">
        <v>3945927</v>
      </c>
      <c r="F181" s="572">
        <v>11651491</v>
      </c>
      <c r="G181" s="572">
        <v>28264265</v>
      </c>
      <c r="H181" s="572"/>
      <c r="I181" s="573">
        <v>0</v>
      </c>
      <c r="J181" s="573">
        <v>16170653</v>
      </c>
      <c r="K181" s="573">
        <v>4168292</v>
      </c>
      <c r="L181" s="572">
        <v>28955</v>
      </c>
      <c r="M181" s="572"/>
      <c r="N181" s="573">
        <v>1335808</v>
      </c>
      <c r="O181" s="573">
        <v>6090710</v>
      </c>
      <c r="P181" s="573">
        <v>0</v>
      </c>
      <c r="Q181" s="572">
        <v>315819</v>
      </c>
      <c r="R181" s="572"/>
      <c r="S181" s="573">
        <v>5415034</v>
      </c>
      <c r="T181" s="574">
        <v>-90068</v>
      </c>
      <c r="U181" s="574">
        <v>5324966</v>
      </c>
    </row>
    <row r="182" spans="1:21" x14ac:dyDescent="0.25">
      <c r="A182" s="569">
        <v>35401</v>
      </c>
      <c r="B182" s="570" t="s">
        <v>948</v>
      </c>
      <c r="C182" s="571">
        <v>2.7900000000000001E-5</v>
      </c>
      <c r="D182" s="571">
        <v>3.29E-5</v>
      </c>
      <c r="E182" s="572">
        <v>37048</v>
      </c>
      <c r="F182" s="572">
        <v>121243</v>
      </c>
      <c r="G182" s="572">
        <v>256430</v>
      </c>
      <c r="H182" s="572"/>
      <c r="I182" s="573">
        <v>0</v>
      </c>
      <c r="J182" s="573">
        <v>146710</v>
      </c>
      <c r="K182" s="573">
        <v>37817</v>
      </c>
      <c r="L182" s="572">
        <v>27208</v>
      </c>
      <c r="M182" s="572"/>
      <c r="N182" s="573">
        <v>12119</v>
      </c>
      <c r="O182" s="573">
        <v>55258</v>
      </c>
      <c r="P182" s="573">
        <v>0</v>
      </c>
      <c r="Q182" s="572">
        <v>35444</v>
      </c>
      <c r="R182" s="572"/>
      <c r="S182" s="573">
        <v>49128</v>
      </c>
      <c r="T182" s="574">
        <v>-4942</v>
      </c>
      <c r="U182" s="574">
        <v>44186</v>
      </c>
    </row>
    <row r="183" spans="1:21" x14ac:dyDescent="0.25">
      <c r="A183" s="569">
        <v>35402</v>
      </c>
      <c r="B183" s="570" t="s">
        <v>949</v>
      </c>
      <c r="C183" s="571">
        <v>0</v>
      </c>
      <c r="D183" s="571">
        <v>0</v>
      </c>
      <c r="E183" s="572">
        <v>0</v>
      </c>
      <c r="F183" s="572">
        <v>0</v>
      </c>
      <c r="G183" s="572">
        <v>0</v>
      </c>
      <c r="H183" s="572"/>
      <c r="I183" s="573">
        <v>0</v>
      </c>
      <c r="J183" s="573">
        <v>0</v>
      </c>
      <c r="K183" s="573">
        <v>0</v>
      </c>
      <c r="L183" s="572">
        <v>0</v>
      </c>
      <c r="M183" s="572"/>
      <c r="N183" s="573">
        <v>0</v>
      </c>
      <c r="O183" s="573">
        <v>0</v>
      </c>
      <c r="P183" s="573">
        <v>0</v>
      </c>
      <c r="Q183" s="572">
        <v>224602</v>
      </c>
      <c r="R183" s="572"/>
      <c r="S183" s="573">
        <v>0</v>
      </c>
      <c r="T183" s="574">
        <v>-125476</v>
      </c>
      <c r="U183" s="574">
        <v>-125476</v>
      </c>
    </row>
    <row r="184" spans="1:21" x14ac:dyDescent="0.25">
      <c r="A184" s="569">
        <v>35405</v>
      </c>
      <c r="B184" s="570" t="s">
        <v>950</v>
      </c>
      <c r="C184" s="571">
        <v>1.0782999999999999E-3</v>
      </c>
      <c r="D184" s="571">
        <v>1.0586E-3</v>
      </c>
      <c r="E184" s="572">
        <v>1332448</v>
      </c>
      <c r="F184" s="572">
        <v>3901151</v>
      </c>
      <c r="G184" s="572">
        <v>9910691</v>
      </c>
      <c r="H184" s="572"/>
      <c r="I184" s="573">
        <v>0</v>
      </c>
      <c r="J184" s="573">
        <v>5670140</v>
      </c>
      <c r="K184" s="573">
        <v>1461586</v>
      </c>
      <c r="L184" s="572">
        <v>60701</v>
      </c>
      <c r="M184" s="572"/>
      <c r="N184" s="573">
        <v>468393</v>
      </c>
      <c r="O184" s="573">
        <v>2135670</v>
      </c>
      <c r="P184" s="573">
        <v>0</v>
      </c>
      <c r="Q184" s="572">
        <v>84207</v>
      </c>
      <c r="R184" s="572"/>
      <c r="S184" s="573">
        <v>1898748</v>
      </c>
      <c r="T184" s="574">
        <v>-8792</v>
      </c>
      <c r="U184" s="574">
        <v>1889956</v>
      </c>
    </row>
    <row r="185" spans="1:21" x14ac:dyDescent="0.25">
      <c r="A185" s="569">
        <v>35500</v>
      </c>
      <c r="B185" s="570" t="s">
        <v>951</v>
      </c>
      <c r="C185" s="571">
        <v>4.3315999999999997E-3</v>
      </c>
      <c r="D185" s="571">
        <v>4.3539E-3</v>
      </c>
      <c r="E185" s="572">
        <v>5186817</v>
      </c>
      <c r="F185" s="572">
        <v>16044984</v>
      </c>
      <c r="G185" s="572">
        <v>39811879</v>
      </c>
      <c r="H185" s="572"/>
      <c r="I185" s="573">
        <v>0</v>
      </c>
      <c r="J185" s="573">
        <v>22777316</v>
      </c>
      <c r="K185" s="573">
        <v>5871285</v>
      </c>
      <c r="L185" s="572">
        <v>241768</v>
      </c>
      <c r="M185" s="572"/>
      <c r="N185" s="573">
        <v>1881565</v>
      </c>
      <c r="O185" s="573">
        <v>8579124</v>
      </c>
      <c r="P185" s="573">
        <v>0</v>
      </c>
      <c r="Q185" s="572">
        <v>554445</v>
      </c>
      <c r="R185" s="572"/>
      <c r="S185" s="573">
        <v>7627393</v>
      </c>
      <c r="T185" s="574">
        <v>-127378</v>
      </c>
      <c r="U185" s="574">
        <v>7500015</v>
      </c>
    </row>
    <row r="186" spans="1:21" x14ac:dyDescent="0.25">
      <c r="A186" s="569">
        <v>35600</v>
      </c>
      <c r="B186" s="570" t="s">
        <v>952</v>
      </c>
      <c r="C186" s="571">
        <v>1.7164999999999999E-3</v>
      </c>
      <c r="D186" s="571">
        <v>1.6930999999999999E-3</v>
      </c>
      <c r="E186" s="572">
        <v>2130102</v>
      </c>
      <c r="F186" s="572">
        <v>6239409</v>
      </c>
      <c r="G186" s="572">
        <v>15776408</v>
      </c>
      <c r="H186" s="572"/>
      <c r="I186" s="573">
        <v>0</v>
      </c>
      <c r="J186" s="573">
        <v>9026056</v>
      </c>
      <c r="K186" s="573">
        <v>2326637</v>
      </c>
      <c r="L186" s="572">
        <v>40234</v>
      </c>
      <c r="M186" s="572"/>
      <c r="N186" s="573">
        <v>745615</v>
      </c>
      <c r="O186" s="573">
        <v>3399683</v>
      </c>
      <c r="P186" s="573">
        <v>0</v>
      </c>
      <c r="Q186" s="572">
        <v>175152</v>
      </c>
      <c r="R186" s="572"/>
      <c r="S186" s="573">
        <v>3022537</v>
      </c>
      <c r="T186" s="574">
        <v>-76896</v>
      </c>
      <c r="U186" s="574">
        <v>2945641</v>
      </c>
    </row>
    <row r="187" spans="1:21" x14ac:dyDescent="0.25">
      <c r="A187" s="569">
        <v>35700</v>
      </c>
      <c r="B187" s="570" t="s">
        <v>953</v>
      </c>
      <c r="C187" s="571">
        <v>9.657E-4</v>
      </c>
      <c r="D187" s="571">
        <v>1.0131000000000001E-3</v>
      </c>
      <c r="E187" s="572">
        <v>1208896.53</v>
      </c>
      <c r="F187" s="572">
        <v>3733474</v>
      </c>
      <c r="G187" s="572">
        <v>8875781</v>
      </c>
      <c r="H187" s="572"/>
      <c r="I187" s="573">
        <v>0</v>
      </c>
      <c r="J187" s="573">
        <v>5078044</v>
      </c>
      <c r="K187" s="573">
        <v>1308962</v>
      </c>
      <c r="L187" s="572">
        <v>32785</v>
      </c>
      <c r="M187" s="572"/>
      <c r="N187" s="573">
        <v>419482</v>
      </c>
      <c r="O187" s="573">
        <v>1912656</v>
      </c>
      <c r="P187" s="573">
        <v>0</v>
      </c>
      <c r="Q187" s="572">
        <v>239627</v>
      </c>
      <c r="R187" s="572"/>
      <c r="S187" s="573">
        <v>1700474</v>
      </c>
      <c r="T187" s="574">
        <v>-71998</v>
      </c>
      <c r="U187" s="574">
        <v>1628476</v>
      </c>
    </row>
    <row r="188" spans="1:21" x14ac:dyDescent="0.25">
      <c r="A188" s="569">
        <v>35800</v>
      </c>
      <c r="B188" s="570" t="s">
        <v>954</v>
      </c>
      <c r="C188" s="571">
        <v>1.3967999999999999E-3</v>
      </c>
      <c r="D188" s="571">
        <v>1.4509E-3</v>
      </c>
      <c r="E188" s="572">
        <v>1848729</v>
      </c>
      <c r="F188" s="572">
        <v>5346854</v>
      </c>
      <c r="G188" s="572">
        <v>12838035</v>
      </c>
      <c r="H188" s="572"/>
      <c r="I188" s="573">
        <v>0</v>
      </c>
      <c r="J188" s="573">
        <v>7344943</v>
      </c>
      <c r="K188" s="573">
        <v>1893298</v>
      </c>
      <c r="L188" s="572">
        <v>0</v>
      </c>
      <c r="M188" s="572"/>
      <c r="N188" s="573">
        <v>606743</v>
      </c>
      <c r="O188" s="573">
        <v>2766488</v>
      </c>
      <c r="P188" s="573">
        <v>0</v>
      </c>
      <c r="Q188" s="572">
        <v>215379</v>
      </c>
      <c r="R188" s="572"/>
      <c r="S188" s="573">
        <v>2459586</v>
      </c>
      <c r="T188" s="574">
        <v>-78921</v>
      </c>
      <c r="U188" s="574">
        <v>2380665</v>
      </c>
    </row>
    <row r="189" spans="1:21" x14ac:dyDescent="0.25">
      <c r="A189" s="569">
        <v>35805</v>
      </c>
      <c r="B189" s="570" t="s">
        <v>955</v>
      </c>
      <c r="C189" s="571">
        <v>2.2379999999999999E-4</v>
      </c>
      <c r="D189" s="571">
        <v>1.796E-4</v>
      </c>
      <c r="E189" s="572">
        <v>343336</v>
      </c>
      <c r="F189" s="572">
        <v>661862</v>
      </c>
      <c r="G189" s="572">
        <v>2056953</v>
      </c>
      <c r="H189" s="572"/>
      <c r="I189" s="573">
        <v>0</v>
      </c>
      <c r="J189" s="573">
        <v>1176831</v>
      </c>
      <c r="K189" s="573">
        <v>303351</v>
      </c>
      <c r="L189" s="572">
        <v>200284</v>
      </c>
      <c r="M189" s="572"/>
      <c r="N189" s="573">
        <v>97214</v>
      </c>
      <c r="O189" s="573">
        <v>443256</v>
      </c>
      <c r="P189" s="573">
        <v>0</v>
      </c>
      <c r="Q189" s="572">
        <v>47415</v>
      </c>
      <c r="R189" s="572"/>
      <c r="S189" s="573">
        <v>394083</v>
      </c>
      <c r="T189" s="574">
        <v>37139</v>
      </c>
      <c r="U189" s="574">
        <v>431222</v>
      </c>
    </row>
    <row r="190" spans="1:21" x14ac:dyDescent="0.25">
      <c r="A190" s="569">
        <v>35900</v>
      </c>
      <c r="B190" s="570" t="s">
        <v>956</v>
      </c>
      <c r="C190" s="571">
        <v>2.5728999999999999E-3</v>
      </c>
      <c r="D190" s="571">
        <v>2.5831999999999999E-3</v>
      </c>
      <c r="E190" s="572">
        <v>3099844</v>
      </c>
      <c r="F190" s="572">
        <v>9519603</v>
      </c>
      <c r="G190" s="572">
        <v>23647609</v>
      </c>
      <c r="H190" s="572"/>
      <c r="I190" s="573">
        <v>0</v>
      </c>
      <c r="J190" s="573">
        <v>13529355</v>
      </c>
      <c r="K190" s="573">
        <v>3487448</v>
      </c>
      <c r="L190" s="572">
        <v>0</v>
      </c>
      <c r="M190" s="572"/>
      <c r="N190" s="573">
        <v>1117619</v>
      </c>
      <c r="O190" s="573">
        <v>5095860</v>
      </c>
      <c r="P190" s="573">
        <v>0</v>
      </c>
      <c r="Q190" s="572">
        <v>476209</v>
      </c>
      <c r="R190" s="572"/>
      <c r="S190" s="573">
        <v>4530548</v>
      </c>
      <c r="T190" s="574">
        <v>-211700</v>
      </c>
      <c r="U190" s="574">
        <v>4318848</v>
      </c>
    </row>
    <row r="191" spans="1:21" x14ac:dyDescent="0.25">
      <c r="A191" s="569">
        <v>35905</v>
      </c>
      <c r="B191" s="570" t="s">
        <v>957</v>
      </c>
      <c r="C191" s="571">
        <v>3.5429999999999999E-4</v>
      </c>
      <c r="D191" s="571">
        <v>3.6640000000000002E-4</v>
      </c>
      <c r="E191" s="572">
        <v>533486.52</v>
      </c>
      <c r="F191" s="572">
        <v>1350257</v>
      </c>
      <c r="G191" s="572">
        <v>3256383</v>
      </c>
      <c r="H191" s="572"/>
      <c r="I191" s="573">
        <v>0</v>
      </c>
      <c r="J191" s="573">
        <v>1863054</v>
      </c>
      <c r="K191" s="573">
        <v>480237</v>
      </c>
      <c r="L191" s="572">
        <v>38923</v>
      </c>
      <c r="M191" s="572"/>
      <c r="N191" s="573">
        <v>153901</v>
      </c>
      <c r="O191" s="573">
        <v>701723</v>
      </c>
      <c r="P191" s="573">
        <v>0</v>
      </c>
      <c r="Q191" s="572">
        <v>0</v>
      </c>
      <c r="R191" s="572"/>
      <c r="S191" s="573">
        <v>623877</v>
      </c>
      <c r="T191" s="574">
        <v>14440</v>
      </c>
      <c r="U191" s="574">
        <v>638317</v>
      </c>
    </row>
    <row r="192" spans="1:21" x14ac:dyDescent="0.25">
      <c r="A192" s="569">
        <v>36000</v>
      </c>
      <c r="B192" s="570" t="s">
        <v>958</v>
      </c>
      <c r="C192" s="571">
        <v>5.8661999999999999E-2</v>
      </c>
      <c r="D192" s="571">
        <v>5.6787200000000003E-2</v>
      </c>
      <c r="E192" s="572">
        <v>67840944</v>
      </c>
      <c r="F192" s="572">
        <v>209272076</v>
      </c>
      <c r="G192" s="572">
        <v>539164378</v>
      </c>
      <c r="H192" s="572"/>
      <c r="I192" s="573">
        <v>0</v>
      </c>
      <c r="J192" s="573">
        <v>308468671</v>
      </c>
      <c r="K192" s="573">
        <v>79513643</v>
      </c>
      <c r="L192" s="572">
        <v>1286089</v>
      </c>
      <c r="M192" s="572"/>
      <c r="N192" s="573">
        <v>25481658</v>
      </c>
      <c r="O192" s="573">
        <v>116185371</v>
      </c>
      <c r="P192" s="573">
        <v>0</v>
      </c>
      <c r="Q192" s="572">
        <v>5513637</v>
      </c>
      <c r="R192" s="572"/>
      <c r="S192" s="573">
        <v>103296273</v>
      </c>
      <c r="T192" s="574">
        <v>-2030294</v>
      </c>
      <c r="U192" s="574">
        <v>101265980</v>
      </c>
    </row>
    <row r="193" spans="1:21" x14ac:dyDescent="0.25">
      <c r="A193" s="569">
        <v>36001</v>
      </c>
      <c r="B193" s="570" t="s">
        <v>959</v>
      </c>
      <c r="C193" s="571">
        <v>3.2799999999999998E-5</v>
      </c>
      <c r="D193" s="571">
        <v>3.4600000000000001E-5</v>
      </c>
      <c r="E193" s="572">
        <v>33856</v>
      </c>
      <c r="F193" s="572">
        <v>127508</v>
      </c>
      <c r="G193" s="572">
        <v>301466</v>
      </c>
      <c r="H193" s="572"/>
      <c r="I193" s="573">
        <v>0</v>
      </c>
      <c r="J193" s="573">
        <v>172476</v>
      </c>
      <c r="K193" s="573">
        <v>44459</v>
      </c>
      <c r="L193" s="572">
        <v>0</v>
      </c>
      <c r="M193" s="572"/>
      <c r="N193" s="573">
        <v>14248</v>
      </c>
      <c r="O193" s="573">
        <v>64963</v>
      </c>
      <c r="P193" s="573">
        <v>0</v>
      </c>
      <c r="Q193" s="572">
        <v>89847</v>
      </c>
      <c r="R193" s="572"/>
      <c r="S193" s="573">
        <v>57757</v>
      </c>
      <c r="T193" s="574">
        <v>-36872</v>
      </c>
      <c r="U193" s="574">
        <v>20885</v>
      </c>
    </row>
    <row r="194" spans="1:21" x14ac:dyDescent="0.25">
      <c r="A194" s="569">
        <v>36002</v>
      </c>
      <c r="B194" s="570" t="s">
        <v>960</v>
      </c>
      <c r="C194" s="571">
        <v>1.4239999999999999E-4</v>
      </c>
      <c r="D194" s="571">
        <v>2.019E-4</v>
      </c>
      <c r="E194" s="572"/>
      <c r="F194" s="572">
        <v>744041</v>
      </c>
      <c r="G194" s="572">
        <v>1308803</v>
      </c>
      <c r="H194" s="572"/>
      <c r="I194" s="573">
        <v>0</v>
      </c>
      <c r="J194" s="573">
        <v>748797</v>
      </c>
      <c r="K194" s="573">
        <v>193017</v>
      </c>
      <c r="L194" s="572">
        <v>61294</v>
      </c>
      <c r="M194" s="572"/>
      <c r="N194" s="573">
        <v>61856</v>
      </c>
      <c r="O194" s="573">
        <v>282036</v>
      </c>
      <c r="P194" s="573">
        <v>0</v>
      </c>
      <c r="Q194" s="572">
        <v>381636</v>
      </c>
      <c r="R194" s="572"/>
      <c r="S194" s="573">
        <v>250748</v>
      </c>
      <c r="T194" s="574">
        <v>-78253</v>
      </c>
      <c r="U194" s="574">
        <v>172495</v>
      </c>
    </row>
    <row r="195" spans="1:21" x14ac:dyDescent="0.25">
      <c r="A195" s="569">
        <v>36003</v>
      </c>
      <c r="B195" s="570" t="s">
        <v>961</v>
      </c>
      <c r="C195" s="571">
        <v>4.481E-4</v>
      </c>
      <c r="D195" s="571">
        <v>4.4470000000000002E-4</v>
      </c>
      <c r="E195" s="572">
        <v>456416.97</v>
      </c>
      <c r="F195" s="572">
        <v>1638808</v>
      </c>
      <c r="G195" s="572">
        <v>4118502</v>
      </c>
      <c r="H195" s="572"/>
      <c r="I195" s="573">
        <v>0</v>
      </c>
      <c r="J195" s="573">
        <v>2356292</v>
      </c>
      <c r="K195" s="573">
        <v>607379</v>
      </c>
      <c r="L195" s="572">
        <v>7097</v>
      </c>
      <c r="M195" s="572"/>
      <c r="N195" s="573">
        <v>194646</v>
      </c>
      <c r="O195" s="573">
        <v>887502</v>
      </c>
      <c r="P195" s="573">
        <v>0</v>
      </c>
      <c r="Q195" s="572">
        <v>113433</v>
      </c>
      <c r="R195" s="572"/>
      <c r="S195" s="573">
        <v>789047</v>
      </c>
      <c r="T195" s="574">
        <v>-32111</v>
      </c>
      <c r="U195" s="574">
        <v>756935</v>
      </c>
    </row>
    <row r="196" spans="1:21" x14ac:dyDescent="0.25">
      <c r="A196" s="569">
        <v>36004</v>
      </c>
      <c r="B196" s="570" t="s">
        <v>962</v>
      </c>
      <c r="C196" s="571">
        <v>2.1230000000000001E-4</v>
      </c>
      <c r="D196" s="571">
        <v>1.662E-4</v>
      </c>
      <c r="E196" s="572">
        <v>213964.6</v>
      </c>
      <c r="F196" s="572">
        <v>612480</v>
      </c>
      <c r="G196" s="572">
        <v>1951256</v>
      </c>
      <c r="H196" s="572"/>
      <c r="I196" s="573">
        <v>0</v>
      </c>
      <c r="J196" s="573">
        <v>1116360</v>
      </c>
      <c r="K196" s="573">
        <v>287763</v>
      </c>
      <c r="L196" s="572">
        <v>540573</v>
      </c>
      <c r="M196" s="572"/>
      <c r="N196" s="573">
        <v>92219</v>
      </c>
      <c r="O196" s="573">
        <v>420479</v>
      </c>
      <c r="P196" s="573">
        <v>0</v>
      </c>
      <c r="Q196" s="572">
        <v>0</v>
      </c>
      <c r="R196" s="572"/>
      <c r="S196" s="573">
        <v>373833</v>
      </c>
      <c r="T196" s="574">
        <v>230231</v>
      </c>
      <c r="U196" s="574">
        <v>604065</v>
      </c>
    </row>
    <row r="197" spans="1:21" x14ac:dyDescent="0.25">
      <c r="A197" s="569">
        <v>36005</v>
      </c>
      <c r="B197" s="570" t="s">
        <v>963</v>
      </c>
      <c r="C197" s="571">
        <v>5.0835000000000003E-3</v>
      </c>
      <c r="D197" s="571">
        <v>4.8573000000000002E-3</v>
      </c>
      <c r="E197" s="572">
        <v>6530099</v>
      </c>
      <c r="F197" s="572">
        <v>17900112</v>
      </c>
      <c r="G197" s="572">
        <v>46722616</v>
      </c>
      <c r="H197" s="572"/>
      <c r="I197" s="573">
        <v>0</v>
      </c>
      <c r="J197" s="573">
        <v>26731112</v>
      </c>
      <c r="K197" s="573">
        <v>6890450</v>
      </c>
      <c r="L197" s="572">
        <v>2208480</v>
      </c>
      <c r="M197" s="572"/>
      <c r="N197" s="573">
        <v>2208176</v>
      </c>
      <c r="O197" s="573">
        <v>10068329</v>
      </c>
      <c r="P197" s="573">
        <v>0</v>
      </c>
      <c r="Q197" s="572">
        <v>0</v>
      </c>
      <c r="R197" s="572"/>
      <c r="S197" s="573">
        <v>8951393</v>
      </c>
      <c r="T197" s="574">
        <v>866971</v>
      </c>
      <c r="U197" s="574">
        <v>9818364</v>
      </c>
    </row>
    <row r="198" spans="1:21" x14ac:dyDescent="0.25">
      <c r="A198" s="569">
        <v>36006</v>
      </c>
      <c r="B198" s="570" t="s">
        <v>964</v>
      </c>
      <c r="C198" s="571">
        <v>5.3390000000000002E-4</v>
      </c>
      <c r="D198" s="571">
        <v>5.419E-4</v>
      </c>
      <c r="E198" s="572">
        <v>574383.54</v>
      </c>
      <c r="F198" s="572">
        <v>1997009</v>
      </c>
      <c r="G198" s="572">
        <v>4907093</v>
      </c>
      <c r="H198" s="572"/>
      <c r="I198" s="573">
        <v>0</v>
      </c>
      <c r="J198" s="573">
        <v>2807463</v>
      </c>
      <c r="K198" s="573">
        <v>723677</v>
      </c>
      <c r="L198" s="572">
        <v>29904</v>
      </c>
      <c r="M198" s="572"/>
      <c r="N198" s="573">
        <v>231916</v>
      </c>
      <c r="O198" s="573">
        <v>1057437</v>
      </c>
      <c r="P198" s="573">
        <v>0</v>
      </c>
      <c r="Q198" s="572">
        <v>162253</v>
      </c>
      <c r="R198" s="572"/>
      <c r="S198" s="573">
        <v>940130</v>
      </c>
      <c r="T198" s="574">
        <v>-34882</v>
      </c>
      <c r="U198" s="574">
        <v>905248</v>
      </c>
    </row>
    <row r="199" spans="1:21" x14ac:dyDescent="0.25">
      <c r="A199" s="569">
        <v>36007</v>
      </c>
      <c r="B199" s="570" t="s">
        <v>965</v>
      </c>
      <c r="C199" s="571">
        <v>1.7589999999999999E-4</v>
      </c>
      <c r="D199" s="571">
        <v>1.8760000000000001E-4</v>
      </c>
      <c r="E199" s="572">
        <v>203084.61</v>
      </c>
      <c r="F199" s="572">
        <v>691343</v>
      </c>
      <c r="G199" s="572">
        <v>1616703</v>
      </c>
      <c r="H199" s="572"/>
      <c r="I199" s="573">
        <v>0</v>
      </c>
      <c r="J199" s="573">
        <v>924954</v>
      </c>
      <c r="K199" s="573">
        <v>238424</v>
      </c>
      <c r="L199" s="572">
        <v>19155</v>
      </c>
      <c r="M199" s="572"/>
      <c r="N199" s="573">
        <v>76408</v>
      </c>
      <c r="O199" s="573">
        <v>348386</v>
      </c>
      <c r="P199" s="573">
        <v>0</v>
      </c>
      <c r="Q199" s="572">
        <v>62572</v>
      </c>
      <c r="R199" s="572"/>
      <c r="S199" s="573">
        <v>309737</v>
      </c>
      <c r="T199" s="574">
        <v>-7762</v>
      </c>
      <c r="U199" s="574">
        <v>301975</v>
      </c>
    </row>
    <row r="200" spans="1:21" x14ac:dyDescent="0.25">
      <c r="A200" s="569">
        <v>36008</v>
      </c>
      <c r="B200" s="570" t="s">
        <v>966</v>
      </c>
      <c r="C200" s="571">
        <v>5.4390000000000005E-4</v>
      </c>
      <c r="D200" s="571">
        <v>5.4699999999999996E-4</v>
      </c>
      <c r="E200" s="572">
        <v>549609</v>
      </c>
      <c r="F200" s="572">
        <v>2015803</v>
      </c>
      <c r="G200" s="572">
        <v>4999003</v>
      </c>
      <c r="H200" s="572"/>
      <c r="I200" s="573">
        <v>0</v>
      </c>
      <c r="J200" s="573">
        <v>2860048</v>
      </c>
      <c r="K200" s="573">
        <v>737231</v>
      </c>
      <c r="L200" s="572">
        <v>30712</v>
      </c>
      <c r="M200" s="572"/>
      <c r="N200" s="573">
        <v>236260</v>
      </c>
      <c r="O200" s="573">
        <v>1077243</v>
      </c>
      <c r="P200" s="573">
        <v>0</v>
      </c>
      <c r="Q200" s="572">
        <v>121488</v>
      </c>
      <c r="R200" s="572"/>
      <c r="S200" s="573">
        <v>957738</v>
      </c>
      <c r="T200" s="574">
        <v>-17949</v>
      </c>
      <c r="U200" s="574">
        <v>939790</v>
      </c>
    </row>
    <row r="201" spans="1:21" x14ac:dyDescent="0.25">
      <c r="A201" s="569">
        <v>36009</v>
      </c>
      <c r="B201" s="570" t="s">
        <v>967</v>
      </c>
      <c r="C201" s="571">
        <v>1.7899999999999999E-4</v>
      </c>
      <c r="D201" s="571">
        <v>1.551E-4</v>
      </c>
      <c r="E201" s="572">
        <v>178529.76</v>
      </c>
      <c r="F201" s="572">
        <v>571574</v>
      </c>
      <c r="G201" s="572">
        <v>1645195</v>
      </c>
      <c r="H201" s="572"/>
      <c r="I201" s="573">
        <v>0</v>
      </c>
      <c r="J201" s="573">
        <v>941255</v>
      </c>
      <c r="K201" s="573">
        <v>242626</v>
      </c>
      <c r="L201" s="572">
        <v>220522</v>
      </c>
      <c r="M201" s="572"/>
      <c r="N201" s="573">
        <v>77754</v>
      </c>
      <c r="O201" s="573">
        <v>354525.61</v>
      </c>
      <c r="P201" s="573">
        <v>0</v>
      </c>
      <c r="Q201" s="572">
        <v>0</v>
      </c>
      <c r="R201" s="572"/>
      <c r="S201" s="573">
        <v>315196</v>
      </c>
      <c r="T201" s="574">
        <v>86689</v>
      </c>
      <c r="U201" s="574">
        <v>401885</v>
      </c>
    </row>
    <row r="202" spans="1:21" x14ac:dyDescent="0.25">
      <c r="A202" s="569">
        <v>36100</v>
      </c>
      <c r="B202" s="570" t="s">
        <v>968</v>
      </c>
      <c r="C202" s="571">
        <v>7.7249999999999997E-4</v>
      </c>
      <c r="D202" s="571">
        <v>7.8470000000000005E-4</v>
      </c>
      <c r="E202" s="572">
        <v>1025991.67</v>
      </c>
      <c r="F202" s="572">
        <v>2891775</v>
      </c>
      <c r="G202" s="572">
        <v>7100073</v>
      </c>
      <c r="H202" s="572"/>
      <c r="I202" s="573">
        <v>0</v>
      </c>
      <c r="J202" s="573">
        <v>4062119</v>
      </c>
      <c r="K202" s="573">
        <v>1047088</v>
      </c>
      <c r="L202" s="572">
        <v>8863</v>
      </c>
      <c r="M202" s="572"/>
      <c r="N202" s="573">
        <v>335559</v>
      </c>
      <c r="O202" s="573">
        <v>1530006</v>
      </c>
      <c r="P202" s="573">
        <v>0</v>
      </c>
      <c r="Q202" s="572">
        <v>84839</v>
      </c>
      <c r="R202" s="572"/>
      <c r="S202" s="573">
        <v>1360274</v>
      </c>
      <c r="T202" s="574">
        <v>-41521</v>
      </c>
      <c r="U202" s="574">
        <v>1318753</v>
      </c>
    </row>
    <row r="203" spans="1:21" x14ac:dyDescent="0.25">
      <c r="A203" s="569">
        <v>36102</v>
      </c>
      <c r="B203" s="570" t="s">
        <v>969</v>
      </c>
      <c r="C203" s="571">
        <v>1.615E-4</v>
      </c>
      <c r="D203" s="571">
        <v>1.21E-4</v>
      </c>
      <c r="E203" s="572">
        <v>166733.16</v>
      </c>
      <c r="F203" s="572">
        <v>445909</v>
      </c>
      <c r="G203" s="572">
        <v>1484352</v>
      </c>
      <c r="H203" s="572"/>
      <c r="I203" s="573">
        <v>0</v>
      </c>
      <c r="J203" s="573">
        <v>849233</v>
      </c>
      <c r="K203" s="573">
        <v>218906</v>
      </c>
      <c r="L203" s="572">
        <v>111668</v>
      </c>
      <c r="M203" s="572"/>
      <c r="N203" s="573">
        <v>70153</v>
      </c>
      <c r="O203" s="573">
        <v>319865</v>
      </c>
      <c r="P203" s="573">
        <v>0</v>
      </c>
      <c r="Q203" s="572">
        <v>164069</v>
      </c>
      <c r="R203" s="572"/>
      <c r="S203" s="573">
        <v>284381</v>
      </c>
      <c r="T203" s="574">
        <v>-33704</v>
      </c>
      <c r="U203" s="574">
        <v>250677</v>
      </c>
    </row>
    <row r="204" spans="1:21" x14ac:dyDescent="0.25">
      <c r="A204" s="569">
        <v>36105</v>
      </c>
      <c r="B204" s="570" t="s">
        <v>970</v>
      </c>
      <c r="C204" s="571">
        <v>4.1159999999999998E-4</v>
      </c>
      <c r="D204" s="571">
        <v>4.0910000000000002E-4</v>
      </c>
      <c r="E204" s="572">
        <v>573322</v>
      </c>
      <c r="F204" s="572">
        <v>1507615</v>
      </c>
      <c r="G204" s="572">
        <v>3783029</v>
      </c>
      <c r="H204" s="572"/>
      <c r="I204" s="573">
        <v>0</v>
      </c>
      <c r="J204" s="573">
        <v>2164360</v>
      </c>
      <c r="K204" s="573">
        <v>557905</v>
      </c>
      <c r="L204" s="572">
        <v>47372</v>
      </c>
      <c r="M204" s="572"/>
      <c r="N204" s="573">
        <v>178791</v>
      </c>
      <c r="O204" s="573">
        <v>815211</v>
      </c>
      <c r="P204" s="573">
        <v>0</v>
      </c>
      <c r="Q204" s="572">
        <v>27700</v>
      </c>
      <c r="R204" s="572"/>
      <c r="S204" s="573">
        <v>724775</v>
      </c>
      <c r="T204" s="574">
        <v>-1530</v>
      </c>
      <c r="U204" s="574">
        <v>723245</v>
      </c>
    </row>
    <row r="205" spans="1:21" x14ac:dyDescent="0.25">
      <c r="A205" s="569">
        <v>36200</v>
      </c>
      <c r="B205" s="570" t="s">
        <v>971</v>
      </c>
      <c r="C205" s="571">
        <v>1.632E-3</v>
      </c>
      <c r="D205" s="571">
        <v>1.5869E-3</v>
      </c>
      <c r="E205" s="572">
        <v>2089501.46</v>
      </c>
      <c r="F205" s="572">
        <v>5848041</v>
      </c>
      <c r="G205" s="572">
        <v>14999766</v>
      </c>
      <c r="H205" s="572"/>
      <c r="I205" s="573">
        <v>0</v>
      </c>
      <c r="J205" s="573">
        <v>8581720</v>
      </c>
      <c r="K205" s="573">
        <v>2212101</v>
      </c>
      <c r="L205" s="572">
        <v>200554</v>
      </c>
      <c r="M205" s="572"/>
      <c r="N205" s="573">
        <v>708910</v>
      </c>
      <c r="O205" s="573">
        <v>3232322.88</v>
      </c>
      <c r="P205" s="573">
        <v>0</v>
      </c>
      <c r="Q205" s="572">
        <v>31572</v>
      </c>
      <c r="R205" s="572"/>
      <c r="S205" s="573">
        <v>2873743</v>
      </c>
      <c r="T205" s="574">
        <v>42954</v>
      </c>
      <c r="U205" s="574">
        <v>2916697</v>
      </c>
    </row>
    <row r="206" spans="1:21" x14ac:dyDescent="0.25">
      <c r="A206" s="569">
        <v>36205</v>
      </c>
      <c r="B206" s="570" t="s">
        <v>972</v>
      </c>
      <c r="C206" s="571">
        <v>2.812E-4</v>
      </c>
      <c r="D206" s="571">
        <v>2.611E-4</v>
      </c>
      <c r="E206" s="572">
        <v>364701</v>
      </c>
      <c r="F206" s="572">
        <v>962205</v>
      </c>
      <c r="G206" s="572">
        <v>2584518</v>
      </c>
      <c r="H206" s="572"/>
      <c r="I206" s="573">
        <v>0</v>
      </c>
      <c r="J206" s="573">
        <v>1478664</v>
      </c>
      <c r="K206" s="573">
        <v>381154</v>
      </c>
      <c r="L206" s="572">
        <v>125578</v>
      </c>
      <c r="M206" s="572"/>
      <c r="N206" s="573">
        <v>122148</v>
      </c>
      <c r="O206" s="573">
        <v>556942</v>
      </c>
      <c r="P206" s="573">
        <v>0</v>
      </c>
      <c r="Q206" s="572">
        <v>0</v>
      </c>
      <c r="R206" s="572"/>
      <c r="S206" s="573">
        <v>495157</v>
      </c>
      <c r="T206" s="574">
        <v>44246</v>
      </c>
      <c r="U206" s="574">
        <v>539403</v>
      </c>
    </row>
    <row r="207" spans="1:21" x14ac:dyDescent="0.25">
      <c r="A207" s="569">
        <v>36300</v>
      </c>
      <c r="B207" s="570" t="s">
        <v>973</v>
      </c>
      <c r="C207" s="571">
        <v>5.0688E-3</v>
      </c>
      <c r="D207" s="571">
        <v>4.8706000000000001E-3</v>
      </c>
      <c r="E207" s="572">
        <v>6246830</v>
      </c>
      <c r="F207" s="572">
        <v>17949125</v>
      </c>
      <c r="G207" s="572">
        <v>46587508</v>
      </c>
      <c r="H207" s="572"/>
      <c r="I207" s="573">
        <v>0</v>
      </c>
      <c r="J207" s="573">
        <v>26653813</v>
      </c>
      <c r="K207" s="573">
        <v>6870525</v>
      </c>
      <c r="L207" s="572">
        <v>600254</v>
      </c>
      <c r="M207" s="572"/>
      <c r="N207" s="573">
        <v>2201790</v>
      </c>
      <c r="O207" s="573">
        <v>10039215</v>
      </c>
      <c r="P207" s="573">
        <v>0</v>
      </c>
      <c r="Q207" s="572">
        <v>112531</v>
      </c>
      <c r="R207" s="572"/>
      <c r="S207" s="573">
        <v>8925508</v>
      </c>
      <c r="T207" s="574">
        <v>115233</v>
      </c>
      <c r="U207" s="574">
        <v>9040741</v>
      </c>
    </row>
    <row r="208" spans="1:21" x14ac:dyDescent="0.25">
      <c r="A208" s="569">
        <v>36301</v>
      </c>
      <c r="B208" s="570" t="s">
        <v>974</v>
      </c>
      <c r="C208" s="571">
        <v>6.3499999999999999E-5</v>
      </c>
      <c r="D208" s="571">
        <v>5.0699999999999999E-5</v>
      </c>
      <c r="E208" s="572">
        <v>66605.39</v>
      </c>
      <c r="F208" s="572">
        <v>186840</v>
      </c>
      <c r="G208" s="572">
        <v>583631</v>
      </c>
      <c r="H208" s="572"/>
      <c r="I208" s="573">
        <v>0</v>
      </c>
      <c r="J208" s="573">
        <v>333909</v>
      </c>
      <c r="K208" s="573">
        <v>86071</v>
      </c>
      <c r="L208" s="572">
        <v>39647</v>
      </c>
      <c r="M208" s="572"/>
      <c r="N208" s="573">
        <v>27583</v>
      </c>
      <c r="O208" s="573">
        <v>125767</v>
      </c>
      <c r="P208" s="573">
        <v>0</v>
      </c>
      <c r="Q208" s="572">
        <v>0</v>
      </c>
      <c r="R208" s="572"/>
      <c r="S208" s="573">
        <v>111815</v>
      </c>
      <c r="T208" s="574">
        <v>12852</v>
      </c>
      <c r="U208" s="574">
        <v>124668</v>
      </c>
    </row>
    <row r="209" spans="1:21" x14ac:dyDescent="0.25">
      <c r="A209" s="569">
        <v>36302</v>
      </c>
      <c r="B209" s="570" t="s">
        <v>975</v>
      </c>
      <c r="C209" s="571">
        <v>1.2420000000000001E-4</v>
      </c>
      <c r="D209" s="571">
        <v>1.2669999999999999E-4</v>
      </c>
      <c r="E209" s="572">
        <v>132633</v>
      </c>
      <c r="F209" s="572">
        <v>466915</v>
      </c>
      <c r="G209" s="572">
        <v>1141526</v>
      </c>
      <c r="H209" s="572"/>
      <c r="I209" s="573">
        <v>0</v>
      </c>
      <c r="J209" s="573">
        <v>653094</v>
      </c>
      <c r="K209" s="573">
        <v>168347</v>
      </c>
      <c r="L209" s="572">
        <v>67426</v>
      </c>
      <c r="M209" s="572"/>
      <c r="N209" s="573">
        <v>53950</v>
      </c>
      <c r="O209" s="573">
        <v>245989</v>
      </c>
      <c r="P209" s="573">
        <v>0</v>
      </c>
      <c r="Q209" s="572">
        <v>28473</v>
      </c>
      <c r="R209" s="572"/>
      <c r="S209" s="573">
        <v>218700</v>
      </c>
      <c r="T209" s="574">
        <v>20897</v>
      </c>
      <c r="U209" s="574">
        <v>239598</v>
      </c>
    </row>
    <row r="210" spans="1:21" x14ac:dyDescent="0.25">
      <c r="A210" s="569">
        <v>36305</v>
      </c>
      <c r="B210" s="570" t="s">
        <v>976</v>
      </c>
      <c r="C210" s="571">
        <v>9.9630000000000009E-4</v>
      </c>
      <c r="D210" s="571">
        <v>9.7300000000000002E-4</v>
      </c>
      <c r="E210" s="572">
        <v>1392474.15</v>
      </c>
      <c r="F210" s="572">
        <v>3585698</v>
      </c>
      <c r="G210" s="572">
        <v>9157026</v>
      </c>
      <c r="H210" s="572"/>
      <c r="I210" s="573">
        <v>0</v>
      </c>
      <c r="J210" s="573">
        <v>5238951</v>
      </c>
      <c r="K210" s="573">
        <v>1350439</v>
      </c>
      <c r="L210" s="572">
        <v>276407</v>
      </c>
      <c r="M210" s="572"/>
      <c r="N210" s="573">
        <v>432774</v>
      </c>
      <c r="O210" s="573">
        <v>1973262</v>
      </c>
      <c r="P210" s="573">
        <v>0</v>
      </c>
      <c r="Q210" s="572">
        <v>58199</v>
      </c>
      <c r="R210" s="572"/>
      <c r="S210" s="573">
        <v>1754357</v>
      </c>
      <c r="T210" s="574">
        <v>56125</v>
      </c>
      <c r="U210" s="574">
        <v>1810481</v>
      </c>
    </row>
    <row r="211" spans="1:21" x14ac:dyDescent="0.25">
      <c r="A211" s="569">
        <v>36400</v>
      </c>
      <c r="B211" s="570" t="s">
        <v>977</v>
      </c>
      <c r="C211" s="571">
        <v>5.4936000000000004E-3</v>
      </c>
      <c r="D211" s="571">
        <v>5.4408E-3</v>
      </c>
      <c r="E211" s="572">
        <v>7057843</v>
      </c>
      <c r="F211" s="572">
        <v>20050425</v>
      </c>
      <c r="G211" s="572">
        <v>50491859</v>
      </c>
      <c r="H211" s="572"/>
      <c r="I211" s="573">
        <v>0</v>
      </c>
      <c r="J211" s="573">
        <v>28887585</v>
      </c>
      <c r="K211" s="573">
        <v>7446322</v>
      </c>
      <c r="L211" s="572">
        <v>238394</v>
      </c>
      <c r="M211" s="572"/>
      <c r="N211" s="573">
        <v>2386315</v>
      </c>
      <c r="O211" s="573">
        <v>10880569</v>
      </c>
      <c r="P211" s="573">
        <v>0</v>
      </c>
      <c r="Q211" s="572">
        <v>1316974</v>
      </c>
      <c r="R211" s="572"/>
      <c r="S211" s="573">
        <v>9673526</v>
      </c>
      <c r="T211" s="574">
        <v>-633239</v>
      </c>
      <c r="U211" s="574">
        <v>9040287</v>
      </c>
    </row>
    <row r="212" spans="1:21" x14ac:dyDescent="0.25">
      <c r="A212" s="569">
        <v>36405</v>
      </c>
      <c r="B212" s="570" t="s">
        <v>978</v>
      </c>
      <c r="C212" s="571">
        <v>9.4269999999999998E-4</v>
      </c>
      <c r="D212" s="571">
        <v>9.0160000000000001E-4</v>
      </c>
      <c r="E212" s="572">
        <v>1192167.48</v>
      </c>
      <c r="F212" s="572">
        <v>3322575</v>
      </c>
      <c r="G212" s="572">
        <v>8664387</v>
      </c>
      <c r="H212" s="572"/>
      <c r="I212" s="573">
        <v>0</v>
      </c>
      <c r="J212" s="573">
        <v>4957100</v>
      </c>
      <c r="K212" s="573">
        <v>1277786</v>
      </c>
      <c r="L212" s="572">
        <v>323451</v>
      </c>
      <c r="M212" s="572"/>
      <c r="N212" s="573">
        <v>409491</v>
      </c>
      <c r="O212" s="573">
        <v>1867102</v>
      </c>
      <c r="P212" s="573">
        <v>0</v>
      </c>
      <c r="Q212" s="572">
        <v>0</v>
      </c>
      <c r="R212" s="572"/>
      <c r="S212" s="573">
        <v>1659974</v>
      </c>
      <c r="T212" s="574">
        <v>137975</v>
      </c>
      <c r="U212" s="574">
        <v>1797949</v>
      </c>
    </row>
    <row r="213" spans="1:21" x14ac:dyDescent="0.25">
      <c r="A213" s="569">
        <v>36500</v>
      </c>
      <c r="B213" s="570" t="s">
        <v>979</v>
      </c>
      <c r="C213" s="571">
        <v>1.07055E-2</v>
      </c>
      <c r="D213" s="571">
        <v>1.0474600000000001E-2</v>
      </c>
      <c r="E213" s="572">
        <v>12914489</v>
      </c>
      <c r="F213" s="572">
        <v>38600975</v>
      </c>
      <c r="G213" s="572">
        <v>98394604</v>
      </c>
      <c r="H213" s="572"/>
      <c r="I213" s="573">
        <v>0</v>
      </c>
      <c r="J213" s="573">
        <v>56293876</v>
      </c>
      <c r="K213" s="573">
        <v>14510813</v>
      </c>
      <c r="L213" s="572">
        <v>1359270</v>
      </c>
      <c r="M213" s="572"/>
      <c r="N213" s="573">
        <v>4650266</v>
      </c>
      <c r="O213" s="573">
        <v>21203206</v>
      </c>
      <c r="P213" s="573">
        <v>0</v>
      </c>
      <c r="Q213" s="572">
        <v>0</v>
      </c>
      <c r="R213" s="572"/>
      <c r="S213" s="573">
        <v>18851015</v>
      </c>
      <c r="T213" s="574">
        <v>594246</v>
      </c>
      <c r="U213" s="574">
        <v>19445261</v>
      </c>
    </row>
    <row r="214" spans="1:21" x14ac:dyDescent="0.25">
      <c r="A214" s="569">
        <v>36501</v>
      </c>
      <c r="B214" s="570" t="s">
        <v>980</v>
      </c>
      <c r="C214" s="571">
        <v>1.205E-4</v>
      </c>
      <c r="D214" s="571">
        <v>1.187E-4</v>
      </c>
      <c r="E214" s="572">
        <v>138944</v>
      </c>
      <c r="F214" s="572">
        <v>437433</v>
      </c>
      <c r="G214" s="572">
        <v>1107519</v>
      </c>
      <c r="H214" s="572"/>
      <c r="I214" s="573">
        <v>0</v>
      </c>
      <c r="J214" s="573">
        <v>633638</v>
      </c>
      <c r="K214" s="573">
        <v>163332</v>
      </c>
      <c r="L214" s="572">
        <v>23571</v>
      </c>
      <c r="M214" s="572"/>
      <c r="N214" s="573">
        <v>52343</v>
      </c>
      <c r="O214" s="573">
        <v>238661</v>
      </c>
      <c r="P214" s="573">
        <v>0</v>
      </c>
      <c r="Q214" s="572">
        <v>4857</v>
      </c>
      <c r="R214" s="572"/>
      <c r="S214" s="573">
        <v>212185</v>
      </c>
      <c r="T214" s="574">
        <v>8078</v>
      </c>
      <c r="U214" s="574">
        <v>220263</v>
      </c>
    </row>
    <row r="215" spans="1:21" x14ac:dyDescent="0.25">
      <c r="A215" s="569">
        <v>36502</v>
      </c>
      <c r="B215" s="570" t="s">
        <v>981</v>
      </c>
      <c r="C215" s="571">
        <v>5.1600000000000001E-5</v>
      </c>
      <c r="D215" s="571">
        <v>4.3699999999999998E-5</v>
      </c>
      <c r="E215" s="572">
        <v>51913</v>
      </c>
      <c r="F215" s="572">
        <v>161043</v>
      </c>
      <c r="G215" s="572">
        <v>474257</v>
      </c>
      <c r="H215" s="572"/>
      <c r="I215" s="573">
        <v>0</v>
      </c>
      <c r="J215" s="573">
        <v>271334</v>
      </c>
      <c r="K215" s="573">
        <v>69941</v>
      </c>
      <c r="L215" s="572">
        <v>28723</v>
      </c>
      <c r="M215" s="572"/>
      <c r="N215" s="573">
        <v>22414</v>
      </c>
      <c r="O215" s="573">
        <v>102198</v>
      </c>
      <c r="P215" s="573">
        <v>0</v>
      </c>
      <c r="Q215" s="572">
        <v>8746</v>
      </c>
      <c r="R215" s="572"/>
      <c r="S215" s="573">
        <v>90861</v>
      </c>
      <c r="T215" s="574">
        <v>8075</v>
      </c>
      <c r="U215" s="574">
        <v>98936</v>
      </c>
    </row>
    <row r="216" spans="1:21" x14ac:dyDescent="0.25">
      <c r="A216" s="569">
        <v>36505</v>
      </c>
      <c r="B216" s="570" t="s">
        <v>982</v>
      </c>
      <c r="C216" s="571">
        <v>2.1451999999999999E-3</v>
      </c>
      <c r="D216" s="571">
        <v>2.0844000000000001E-3</v>
      </c>
      <c r="E216" s="572">
        <v>2838462.55</v>
      </c>
      <c r="F216" s="572">
        <v>7681427</v>
      </c>
      <c r="G216" s="572">
        <v>19716604</v>
      </c>
      <c r="H216" s="572"/>
      <c r="I216" s="573">
        <v>0</v>
      </c>
      <c r="J216" s="573">
        <v>11280335</v>
      </c>
      <c r="K216" s="573">
        <v>2907720</v>
      </c>
      <c r="L216" s="572">
        <v>530581</v>
      </c>
      <c r="M216" s="572"/>
      <c r="N216" s="573">
        <v>931834</v>
      </c>
      <c r="O216" s="573">
        <v>4248762</v>
      </c>
      <c r="P216" s="573">
        <v>0</v>
      </c>
      <c r="Q216" s="572">
        <v>191590</v>
      </c>
      <c r="R216" s="572"/>
      <c r="S216" s="573">
        <v>3777423</v>
      </c>
      <c r="T216" s="574">
        <v>141962</v>
      </c>
      <c r="U216" s="574">
        <v>3919384</v>
      </c>
    </row>
    <row r="217" spans="1:21" x14ac:dyDescent="0.25">
      <c r="A217" s="569">
        <v>36600</v>
      </c>
      <c r="B217" s="570" t="s">
        <v>983</v>
      </c>
      <c r="C217" s="571">
        <v>7.938E-4</v>
      </c>
      <c r="D217" s="571">
        <v>8.3319999999999998E-4</v>
      </c>
      <c r="E217" s="572">
        <v>1095362.55</v>
      </c>
      <c r="F217" s="572">
        <v>3070507</v>
      </c>
      <c r="G217" s="572">
        <v>7295842</v>
      </c>
      <c r="H217" s="572"/>
      <c r="I217" s="573">
        <v>0</v>
      </c>
      <c r="J217" s="573">
        <v>4174123</v>
      </c>
      <c r="K217" s="573">
        <v>1075959</v>
      </c>
      <c r="L217" s="572">
        <v>0</v>
      </c>
      <c r="M217" s="572"/>
      <c r="N217" s="573">
        <v>344812</v>
      </c>
      <c r="O217" s="573">
        <v>1572192</v>
      </c>
      <c r="P217" s="573">
        <v>0</v>
      </c>
      <c r="Q217" s="572">
        <v>237782</v>
      </c>
      <c r="R217" s="572"/>
      <c r="S217" s="573">
        <v>1397780</v>
      </c>
      <c r="T217" s="574">
        <v>-96293</v>
      </c>
      <c r="U217" s="574">
        <v>1301487</v>
      </c>
    </row>
    <row r="218" spans="1:21" x14ac:dyDescent="0.25">
      <c r="A218" s="569">
        <v>36601</v>
      </c>
      <c r="B218" s="570" t="s">
        <v>984</v>
      </c>
      <c r="C218" s="571">
        <v>4.0440000000000002E-4</v>
      </c>
      <c r="D218" s="571">
        <v>3.6059999999999998E-4</v>
      </c>
      <c r="E218" s="572">
        <v>431383.73</v>
      </c>
      <c r="F218" s="572">
        <v>1328882</v>
      </c>
      <c r="G218" s="572">
        <v>3716854</v>
      </c>
      <c r="H218" s="572"/>
      <c r="I218" s="573">
        <v>0</v>
      </c>
      <c r="J218" s="573">
        <v>2126500</v>
      </c>
      <c r="K218" s="573">
        <v>548146</v>
      </c>
      <c r="L218" s="572">
        <v>255952</v>
      </c>
      <c r="M218" s="572"/>
      <c r="N218" s="573">
        <v>175664</v>
      </c>
      <c r="O218" s="573">
        <v>800951</v>
      </c>
      <c r="P218" s="573">
        <v>0</v>
      </c>
      <c r="Q218" s="572">
        <v>0</v>
      </c>
      <c r="R218" s="572"/>
      <c r="S218" s="573">
        <v>712097</v>
      </c>
      <c r="T218" s="574">
        <v>97730</v>
      </c>
      <c r="U218" s="574">
        <v>809827</v>
      </c>
    </row>
    <row r="219" spans="1:21" x14ac:dyDescent="0.25">
      <c r="A219" s="569">
        <v>36700</v>
      </c>
      <c r="B219" s="570" t="s">
        <v>985</v>
      </c>
      <c r="C219" s="571">
        <v>9.1280000000000007E-3</v>
      </c>
      <c r="D219" s="571">
        <v>9.4318000000000006E-3</v>
      </c>
      <c r="E219" s="572">
        <v>10969467</v>
      </c>
      <c r="F219" s="572">
        <v>34758050</v>
      </c>
      <c r="G219" s="572">
        <v>83895749</v>
      </c>
      <c r="H219" s="572"/>
      <c r="I219" s="573">
        <v>0</v>
      </c>
      <c r="J219" s="573">
        <v>47998739</v>
      </c>
      <c r="K219" s="573">
        <v>12372584</v>
      </c>
      <c r="L219" s="572">
        <v>1127334</v>
      </c>
      <c r="M219" s="572"/>
      <c r="N219" s="573">
        <v>3965030</v>
      </c>
      <c r="O219" s="573">
        <v>18078826</v>
      </c>
      <c r="P219" s="573">
        <v>0</v>
      </c>
      <c r="Q219" s="572">
        <v>1563328</v>
      </c>
      <c r="R219" s="572"/>
      <c r="S219" s="573">
        <v>16073240</v>
      </c>
      <c r="T219" s="574">
        <v>37449</v>
      </c>
      <c r="U219" s="574">
        <v>16110689</v>
      </c>
    </row>
    <row r="220" spans="1:21" x14ac:dyDescent="0.25">
      <c r="A220" s="569">
        <v>36701</v>
      </c>
      <c r="B220" s="570" t="s">
        <v>986</v>
      </c>
      <c r="C220" s="571">
        <v>4.6300000000000001E-5</v>
      </c>
      <c r="D220" s="571">
        <v>3.3599999999999997E-5</v>
      </c>
      <c r="E220" s="572">
        <v>43809.16</v>
      </c>
      <c r="F220" s="572">
        <v>123823</v>
      </c>
      <c r="G220" s="572">
        <v>425545</v>
      </c>
      <c r="H220" s="572"/>
      <c r="I220" s="573">
        <v>0</v>
      </c>
      <c r="J220" s="573">
        <v>243464</v>
      </c>
      <c r="K220" s="573">
        <v>62758</v>
      </c>
      <c r="L220" s="572">
        <v>114561</v>
      </c>
      <c r="M220" s="572"/>
      <c r="N220" s="573">
        <v>20112</v>
      </c>
      <c r="O220" s="573">
        <v>91701</v>
      </c>
      <c r="P220" s="573">
        <v>0</v>
      </c>
      <c r="Q220" s="572">
        <v>0</v>
      </c>
      <c r="R220" s="572"/>
      <c r="S220" s="573">
        <v>81528</v>
      </c>
      <c r="T220" s="574">
        <v>49482</v>
      </c>
      <c r="U220" s="574">
        <v>131011</v>
      </c>
    </row>
    <row r="221" spans="1:21" x14ac:dyDescent="0.25">
      <c r="A221" s="569">
        <v>36705</v>
      </c>
      <c r="B221" s="570" t="s">
        <v>987</v>
      </c>
      <c r="C221" s="571">
        <v>1.0365999999999999E-3</v>
      </c>
      <c r="D221" s="571">
        <v>1.0287E-3</v>
      </c>
      <c r="E221" s="572">
        <v>1348858.14</v>
      </c>
      <c r="F221" s="572">
        <v>3790963</v>
      </c>
      <c r="G221" s="572">
        <v>9527425</v>
      </c>
      <c r="H221" s="572"/>
      <c r="I221" s="573">
        <v>0</v>
      </c>
      <c r="J221" s="573">
        <v>5450865</v>
      </c>
      <c r="K221" s="573">
        <v>1405064</v>
      </c>
      <c r="L221" s="572">
        <v>85054</v>
      </c>
      <c r="M221" s="572"/>
      <c r="N221" s="573">
        <v>450279</v>
      </c>
      <c r="O221" s="573">
        <v>2053080</v>
      </c>
      <c r="P221" s="573">
        <v>0</v>
      </c>
      <c r="Q221" s="572">
        <v>56437</v>
      </c>
      <c r="R221" s="572"/>
      <c r="S221" s="573">
        <v>1825320</v>
      </c>
      <c r="T221" s="574">
        <v>-3873</v>
      </c>
      <c r="U221" s="574">
        <v>1821447</v>
      </c>
    </row>
    <row r="222" spans="1:21" x14ac:dyDescent="0.25">
      <c r="A222" s="569">
        <v>36800</v>
      </c>
      <c r="B222" s="570" t="s">
        <v>988</v>
      </c>
      <c r="C222" s="571">
        <v>3.4369000000000001E-3</v>
      </c>
      <c r="D222" s="571">
        <v>3.3264000000000002E-3</v>
      </c>
      <c r="E222" s="572">
        <v>4310027.09</v>
      </c>
      <c r="F222" s="572">
        <v>12258443</v>
      </c>
      <c r="G222" s="572">
        <v>31588661</v>
      </c>
      <c r="H222" s="572"/>
      <c r="I222" s="573">
        <v>0</v>
      </c>
      <c r="J222" s="573">
        <v>18072619</v>
      </c>
      <c r="K222" s="573">
        <v>4658560</v>
      </c>
      <c r="L222" s="572">
        <v>496977</v>
      </c>
      <c r="M222" s="572"/>
      <c r="N222" s="573">
        <v>1492924</v>
      </c>
      <c r="O222" s="573">
        <v>6807090</v>
      </c>
      <c r="P222" s="573">
        <v>0</v>
      </c>
      <c r="Q222" s="572">
        <v>69208</v>
      </c>
      <c r="R222" s="572"/>
      <c r="S222" s="573">
        <v>6051941</v>
      </c>
      <c r="T222" s="574">
        <v>119064</v>
      </c>
      <c r="U222" s="574">
        <v>6171005</v>
      </c>
    </row>
    <row r="223" spans="1:21" x14ac:dyDescent="0.25">
      <c r="A223" s="569">
        <v>36801</v>
      </c>
      <c r="B223" s="570" t="s">
        <v>989</v>
      </c>
      <c r="C223" s="571">
        <v>0</v>
      </c>
      <c r="D223" s="571">
        <v>5.8400000000000003E-5</v>
      </c>
      <c r="E223" s="572"/>
      <c r="F223" s="572">
        <v>215216</v>
      </c>
      <c r="G223" s="572">
        <v>0</v>
      </c>
      <c r="H223" s="572"/>
      <c r="I223" s="573">
        <v>0</v>
      </c>
      <c r="J223" s="573">
        <v>0</v>
      </c>
      <c r="K223" s="573">
        <v>0</v>
      </c>
      <c r="L223" s="572">
        <v>0</v>
      </c>
      <c r="M223" s="572"/>
      <c r="N223" s="573">
        <v>0</v>
      </c>
      <c r="O223" s="573">
        <v>0</v>
      </c>
      <c r="P223" s="573">
        <v>0</v>
      </c>
      <c r="Q223" s="572">
        <v>233338</v>
      </c>
      <c r="R223" s="572"/>
      <c r="S223" s="573">
        <v>0</v>
      </c>
      <c r="T223" s="574">
        <v>-70677</v>
      </c>
      <c r="U223" s="574">
        <v>-70677</v>
      </c>
    </row>
    <row r="224" spans="1:21" x14ac:dyDescent="0.25">
      <c r="A224" s="569">
        <v>36802</v>
      </c>
      <c r="B224" s="570" t="s">
        <v>990</v>
      </c>
      <c r="C224" s="571">
        <v>9.0199999999999997E-5</v>
      </c>
      <c r="D224" s="571">
        <v>8.42E-5</v>
      </c>
      <c r="E224" s="572">
        <v>89375</v>
      </c>
      <c r="F224" s="572">
        <v>310294</v>
      </c>
      <c r="G224" s="572">
        <v>829031</v>
      </c>
      <c r="H224" s="572"/>
      <c r="I224" s="573">
        <v>0</v>
      </c>
      <c r="J224" s="573">
        <v>474308</v>
      </c>
      <c r="K224" s="573">
        <v>122262</v>
      </c>
      <c r="L224" s="572">
        <v>1278</v>
      </c>
      <c r="M224" s="572"/>
      <c r="N224" s="573">
        <v>39181</v>
      </c>
      <c r="O224" s="573">
        <v>178649</v>
      </c>
      <c r="P224" s="573">
        <v>0</v>
      </c>
      <c r="Q224" s="572">
        <v>43898</v>
      </c>
      <c r="R224" s="572"/>
      <c r="S224" s="573">
        <v>158831</v>
      </c>
      <c r="T224" s="574">
        <v>-20748</v>
      </c>
      <c r="U224" s="574">
        <v>138083</v>
      </c>
    </row>
    <row r="225" spans="1:21" x14ac:dyDescent="0.25">
      <c r="A225" s="569">
        <v>36810</v>
      </c>
      <c r="B225" s="570" t="s">
        <v>991</v>
      </c>
      <c r="C225" s="571">
        <v>6.6347000000000003E-3</v>
      </c>
      <c r="D225" s="571">
        <v>6.4930999999999999E-3</v>
      </c>
      <c r="E225" s="572">
        <v>7899363</v>
      </c>
      <c r="F225" s="572">
        <v>23928359</v>
      </c>
      <c r="G225" s="572">
        <v>60979747</v>
      </c>
      <c r="H225" s="572"/>
      <c r="I225" s="573">
        <v>0</v>
      </c>
      <c r="J225" s="573">
        <v>34887953</v>
      </c>
      <c r="K225" s="573">
        <v>8993031</v>
      </c>
      <c r="L225" s="572">
        <v>507831</v>
      </c>
      <c r="M225" s="572"/>
      <c r="N225" s="573">
        <v>2881988</v>
      </c>
      <c r="O225" s="573">
        <v>13140620</v>
      </c>
      <c r="P225" s="573">
        <v>0</v>
      </c>
      <c r="Q225" s="572">
        <v>0</v>
      </c>
      <c r="R225" s="572"/>
      <c r="S225" s="573">
        <v>11682857</v>
      </c>
      <c r="T225" s="574">
        <v>190463</v>
      </c>
      <c r="U225" s="574">
        <v>11873321</v>
      </c>
    </row>
    <row r="226" spans="1:21" x14ac:dyDescent="0.25">
      <c r="A226" s="569">
        <v>36900</v>
      </c>
      <c r="B226" s="570" t="s">
        <v>992</v>
      </c>
      <c r="C226" s="571">
        <v>6.5419999999999996E-4</v>
      </c>
      <c r="D226" s="571">
        <v>6.3560000000000005E-4</v>
      </c>
      <c r="E226" s="572">
        <v>827506.58</v>
      </c>
      <c r="F226" s="572">
        <v>2342312</v>
      </c>
      <c r="G226" s="572">
        <v>6012774</v>
      </c>
      <c r="H226" s="572"/>
      <c r="I226" s="573">
        <v>0</v>
      </c>
      <c r="J226" s="573">
        <v>3440050</v>
      </c>
      <c r="K226" s="573">
        <v>886738</v>
      </c>
      <c r="L226" s="572">
        <v>70923</v>
      </c>
      <c r="M226" s="572"/>
      <c r="N226" s="573">
        <v>284172</v>
      </c>
      <c r="O226" s="573">
        <v>1295702</v>
      </c>
      <c r="P226" s="573">
        <v>0</v>
      </c>
      <c r="Q226" s="572">
        <v>0</v>
      </c>
      <c r="R226" s="572"/>
      <c r="S226" s="573">
        <v>1151962</v>
      </c>
      <c r="T226" s="574">
        <v>22451</v>
      </c>
      <c r="U226" s="574">
        <v>1174413</v>
      </c>
    </row>
    <row r="227" spans="1:21" x14ac:dyDescent="0.25">
      <c r="A227" s="569">
        <v>36901</v>
      </c>
      <c r="B227" s="570" t="s">
        <v>993</v>
      </c>
      <c r="C227" s="571">
        <v>2.1709999999999999E-4</v>
      </c>
      <c r="D227" s="571">
        <v>1.983E-4</v>
      </c>
      <c r="E227" s="572">
        <v>272212</v>
      </c>
      <c r="F227" s="572">
        <v>730775</v>
      </c>
      <c r="G227" s="572">
        <v>1995373</v>
      </c>
      <c r="H227" s="572"/>
      <c r="I227" s="573">
        <v>0</v>
      </c>
      <c r="J227" s="573">
        <v>1141600</v>
      </c>
      <c r="K227" s="573">
        <v>294269</v>
      </c>
      <c r="L227" s="572">
        <v>95725</v>
      </c>
      <c r="M227" s="572"/>
      <c r="N227" s="573">
        <v>94304</v>
      </c>
      <c r="O227" s="573">
        <v>429986</v>
      </c>
      <c r="P227" s="573">
        <v>0</v>
      </c>
      <c r="Q227" s="572">
        <v>885</v>
      </c>
      <c r="R227" s="572"/>
      <c r="S227" s="573">
        <v>382285</v>
      </c>
      <c r="T227" s="574">
        <v>30123</v>
      </c>
      <c r="U227" s="574">
        <v>412408</v>
      </c>
    </row>
    <row r="228" spans="1:21" x14ac:dyDescent="0.25">
      <c r="A228" s="569">
        <v>36905</v>
      </c>
      <c r="B228" s="570" t="s">
        <v>994</v>
      </c>
      <c r="C228" s="571">
        <v>2.084E-4</v>
      </c>
      <c r="D228" s="571">
        <v>1.9870000000000001E-4</v>
      </c>
      <c r="E228" s="572">
        <v>299197</v>
      </c>
      <c r="F228" s="572">
        <v>732249</v>
      </c>
      <c r="G228" s="572">
        <v>1915411</v>
      </c>
      <c r="H228" s="572"/>
      <c r="I228" s="573">
        <v>0</v>
      </c>
      <c r="J228" s="573">
        <v>1095852</v>
      </c>
      <c r="K228" s="573">
        <v>282477</v>
      </c>
      <c r="L228" s="572">
        <v>79457</v>
      </c>
      <c r="M228" s="572"/>
      <c r="N228" s="573">
        <v>90525</v>
      </c>
      <c r="O228" s="573">
        <v>412755</v>
      </c>
      <c r="P228" s="573">
        <v>0</v>
      </c>
      <c r="Q228" s="572">
        <v>562</v>
      </c>
      <c r="R228" s="572"/>
      <c r="S228" s="573">
        <v>366966</v>
      </c>
      <c r="T228" s="574">
        <v>27728</v>
      </c>
      <c r="U228" s="574">
        <v>394693</v>
      </c>
    </row>
    <row r="229" spans="1:21" x14ac:dyDescent="0.25">
      <c r="A229" s="569">
        <v>37000</v>
      </c>
      <c r="B229" s="570" t="s">
        <v>995</v>
      </c>
      <c r="C229" s="571">
        <v>2.2902999999999999E-3</v>
      </c>
      <c r="D229" s="571">
        <v>2.1697000000000001E-3</v>
      </c>
      <c r="E229" s="572">
        <v>2829364.21</v>
      </c>
      <c r="F229" s="572">
        <v>7995774</v>
      </c>
      <c r="G229" s="572">
        <v>21050223</v>
      </c>
      <c r="H229" s="572"/>
      <c r="I229" s="573">
        <v>0</v>
      </c>
      <c r="J229" s="573">
        <v>12043330</v>
      </c>
      <c r="K229" s="573">
        <v>3104396</v>
      </c>
      <c r="L229" s="572">
        <v>508916</v>
      </c>
      <c r="M229" s="572"/>
      <c r="N229" s="573">
        <v>994863</v>
      </c>
      <c r="O229" s="573">
        <v>4536145</v>
      </c>
      <c r="P229" s="573">
        <v>0</v>
      </c>
      <c r="Q229" s="572">
        <v>177339</v>
      </c>
      <c r="R229" s="572"/>
      <c r="S229" s="573">
        <v>4032925</v>
      </c>
      <c r="T229" s="574">
        <v>61465</v>
      </c>
      <c r="U229" s="574">
        <v>4094390</v>
      </c>
    </row>
    <row r="230" spans="1:21" x14ac:dyDescent="0.25">
      <c r="A230" s="569">
        <v>37001</v>
      </c>
      <c r="B230" s="570" t="s">
        <v>1150</v>
      </c>
      <c r="C230" s="571">
        <v>4.4100000000000001E-5</v>
      </c>
      <c r="D230" s="571">
        <v>0</v>
      </c>
      <c r="E230" s="572">
        <v>48004.07</v>
      </c>
      <c r="F230" s="572"/>
      <c r="G230" s="572">
        <v>405325</v>
      </c>
      <c r="H230" s="572"/>
      <c r="I230" s="573">
        <v>0</v>
      </c>
      <c r="J230" s="573">
        <v>231896</v>
      </c>
      <c r="K230" s="573">
        <v>59776</v>
      </c>
      <c r="L230" s="572">
        <v>148075</v>
      </c>
      <c r="M230" s="572"/>
      <c r="N230" s="573">
        <v>19156</v>
      </c>
      <c r="O230" s="573">
        <v>87344</v>
      </c>
      <c r="P230" s="573">
        <v>0</v>
      </c>
      <c r="Q230" s="572">
        <v>0</v>
      </c>
      <c r="R230" s="572"/>
      <c r="S230" s="573">
        <v>77654</v>
      </c>
      <c r="T230" s="574">
        <v>42428</v>
      </c>
      <c r="U230" s="574">
        <v>120083</v>
      </c>
    </row>
    <row r="231" spans="1:21" x14ac:dyDescent="0.25">
      <c r="A231" s="569">
        <v>37005</v>
      </c>
      <c r="B231" s="570" t="s">
        <v>996</v>
      </c>
      <c r="C231" s="571">
        <v>5.3939999999999999E-4</v>
      </c>
      <c r="D231" s="571">
        <v>5.4609999999999999E-4</v>
      </c>
      <c r="E231" s="572">
        <v>756011.25</v>
      </c>
      <c r="F231" s="572">
        <v>2012487</v>
      </c>
      <c r="G231" s="572">
        <v>4957643</v>
      </c>
      <c r="H231" s="572"/>
      <c r="I231" s="573">
        <v>0</v>
      </c>
      <c r="J231" s="573">
        <v>2836385</v>
      </c>
      <c r="K231" s="573">
        <v>731132</v>
      </c>
      <c r="L231" s="572">
        <v>71728</v>
      </c>
      <c r="M231" s="572"/>
      <c r="N231" s="573">
        <v>234305</v>
      </c>
      <c r="O231" s="573">
        <v>1068330</v>
      </c>
      <c r="P231" s="573">
        <v>0</v>
      </c>
      <c r="Q231" s="572">
        <v>0</v>
      </c>
      <c r="R231" s="572"/>
      <c r="S231" s="573">
        <v>949814</v>
      </c>
      <c r="T231" s="574">
        <v>26846</v>
      </c>
      <c r="U231" s="574">
        <v>976661</v>
      </c>
    </row>
    <row r="232" spans="1:21" x14ac:dyDescent="0.25">
      <c r="A232" s="569">
        <v>37100</v>
      </c>
      <c r="B232" s="570" t="s">
        <v>997</v>
      </c>
      <c r="C232" s="571">
        <v>3.1722999999999999E-3</v>
      </c>
      <c r="D232" s="571">
        <v>3.0909000000000002E-3</v>
      </c>
      <c r="E232" s="572">
        <v>3814576</v>
      </c>
      <c r="F232" s="572">
        <v>11390578</v>
      </c>
      <c r="G232" s="572">
        <v>29156714</v>
      </c>
      <c r="H232" s="572"/>
      <c r="I232" s="573">
        <v>0</v>
      </c>
      <c r="J232" s="573">
        <v>16681245</v>
      </c>
      <c r="K232" s="573">
        <v>4299907</v>
      </c>
      <c r="L232" s="572">
        <v>461419</v>
      </c>
      <c r="M232" s="572"/>
      <c r="N232" s="573">
        <v>1377987</v>
      </c>
      <c r="O232" s="573">
        <v>6283026</v>
      </c>
      <c r="P232" s="573">
        <v>0</v>
      </c>
      <c r="Q232" s="572">
        <v>337220</v>
      </c>
      <c r="R232" s="572"/>
      <c r="S232" s="573">
        <v>5586014</v>
      </c>
      <c r="T232" s="574">
        <v>-22519</v>
      </c>
      <c r="U232" s="574">
        <v>5563495</v>
      </c>
    </row>
    <row r="233" spans="1:21" x14ac:dyDescent="0.25">
      <c r="A233" s="569">
        <v>37200</v>
      </c>
      <c r="B233" s="570" t="s">
        <v>998</v>
      </c>
      <c r="C233" s="571">
        <v>7.157E-4</v>
      </c>
      <c r="D233" s="571">
        <v>7.4390000000000003E-4</v>
      </c>
      <c r="E233" s="572">
        <v>926475</v>
      </c>
      <c r="F233" s="572">
        <v>2741419</v>
      </c>
      <c r="G233" s="572">
        <v>6578022</v>
      </c>
      <c r="H233" s="572"/>
      <c r="I233" s="573">
        <v>0</v>
      </c>
      <c r="J233" s="573">
        <v>3763442</v>
      </c>
      <c r="K233" s="573">
        <v>970098</v>
      </c>
      <c r="L233" s="572">
        <v>75711</v>
      </c>
      <c r="M233" s="572"/>
      <c r="N233" s="573">
        <v>310886</v>
      </c>
      <c r="O233" s="573">
        <v>1417508</v>
      </c>
      <c r="P233" s="573">
        <v>0</v>
      </c>
      <c r="Q233" s="572">
        <v>135677</v>
      </c>
      <c r="R233" s="572"/>
      <c r="S233" s="573">
        <v>1260256</v>
      </c>
      <c r="T233" s="574">
        <v>-23304</v>
      </c>
      <c r="U233" s="574">
        <v>1236952</v>
      </c>
    </row>
    <row r="234" spans="1:21" x14ac:dyDescent="0.25">
      <c r="A234" s="569">
        <v>37300</v>
      </c>
      <c r="B234" s="570" t="s">
        <v>999</v>
      </c>
      <c r="C234" s="571">
        <v>1.8910000000000001E-3</v>
      </c>
      <c r="D234" s="571">
        <v>1.8423000000000001E-3</v>
      </c>
      <c r="E234" s="572">
        <v>2317890.73</v>
      </c>
      <c r="F234" s="572">
        <v>6789240</v>
      </c>
      <c r="G234" s="572">
        <v>17380243</v>
      </c>
      <c r="H234" s="572"/>
      <c r="I234" s="573">
        <v>0</v>
      </c>
      <c r="J234" s="573">
        <v>9943648</v>
      </c>
      <c r="K234" s="573">
        <v>2563164</v>
      </c>
      <c r="L234" s="572">
        <v>102205</v>
      </c>
      <c r="M234" s="572"/>
      <c r="N234" s="573">
        <v>821414</v>
      </c>
      <c r="O234" s="573">
        <v>3745296</v>
      </c>
      <c r="P234" s="573">
        <v>0</v>
      </c>
      <c r="Q234" s="572">
        <v>359064</v>
      </c>
      <c r="R234" s="572"/>
      <c r="S234" s="573">
        <v>3329809</v>
      </c>
      <c r="T234" s="574">
        <v>-149383</v>
      </c>
      <c r="U234" s="574">
        <v>3180426</v>
      </c>
    </row>
    <row r="235" spans="1:21" x14ac:dyDescent="0.25">
      <c r="A235" s="569">
        <v>37301</v>
      </c>
      <c r="B235" s="570" t="s">
        <v>1000</v>
      </c>
      <c r="C235" s="571">
        <v>1.974E-4</v>
      </c>
      <c r="D235" s="571">
        <v>1.941E-4</v>
      </c>
      <c r="E235" s="572">
        <v>234621.66</v>
      </c>
      <c r="F235" s="572">
        <v>715297</v>
      </c>
      <c r="G235" s="572">
        <v>1814310</v>
      </c>
      <c r="H235" s="572"/>
      <c r="I235" s="573">
        <v>0</v>
      </c>
      <c r="J235" s="573">
        <v>1038010</v>
      </c>
      <c r="K235" s="573">
        <v>267567</v>
      </c>
      <c r="L235" s="572">
        <v>82121</v>
      </c>
      <c r="M235" s="572"/>
      <c r="N235" s="573">
        <v>85747</v>
      </c>
      <c r="O235" s="573">
        <v>390968</v>
      </c>
      <c r="P235" s="573">
        <v>0</v>
      </c>
      <c r="Q235" s="572">
        <v>1281</v>
      </c>
      <c r="R235" s="572"/>
      <c r="S235" s="573">
        <v>347596</v>
      </c>
      <c r="T235" s="574">
        <v>33474</v>
      </c>
      <c r="U235" s="574">
        <v>381071</v>
      </c>
    </row>
    <row r="236" spans="1:21" x14ac:dyDescent="0.25">
      <c r="A236" s="569">
        <v>37305</v>
      </c>
      <c r="B236" s="570" t="s">
        <v>1001</v>
      </c>
      <c r="C236" s="571">
        <v>5.6899999999999995E-4</v>
      </c>
      <c r="D236" s="571">
        <v>6.1359999999999995E-4</v>
      </c>
      <c r="E236" s="572">
        <v>825933</v>
      </c>
      <c r="F236" s="572">
        <v>2261237</v>
      </c>
      <c r="G236" s="572">
        <v>5229698</v>
      </c>
      <c r="H236" s="572"/>
      <c r="I236" s="573">
        <v>0</v>
      </c>
      <c r="J236" s="573">
        <v>2992034</v>
      </c>
      <c r="K236" s="573">
        <v>771253</v>
      </c>
      <c r="L236" s="572">
        <v>0</v>
      </c>
      <c r="M236" s="572"/>
      <c r="N236" s="573">
        <v>247163</v>
      </c>
      <c r="O236" s="573">
        <v>1126955.71</v>
      </c>
      <c r="P236" s="573">
        <v>0</v>
      </c>
      <c r="Q236" s="572">
        <v>369515</v>
      </c>
      <c r="R236" s="572"/>
      <c r="S236" s="573">
        <v>1001936</v>
      </c>
      <c r="T236" s="574">
        <v>-141397</v>
      </c>
      <c r="U236" s="574">
        <v>860539</v>
      </c>
    </row>
    <row r="237" spans="1:21" x14ac:dyDescent="0.25">
      <c r="A237" s="569">
        <v>37400</v>
      </c>
      <c r="B237" s="570" t="s">
        <v>1002</v>
      </c>
      <c r="C237" s="571">
        <v>9.1569000000000008E-3</v>
      </c>
      <c r="D237" s="571">
        <v>9.2087999999999996E-3</v>
      </c>
      <c r="E237" s="572">
        <v>10687673</v>
      </c>
      <c r="F237" s="572">
        <v>33936251</v>
      </c>
      <c r="G237" s="572">
        <v>84161370</v>
      </c>
      <c r="H237" s="572"/>
      <c r="I237" s="573">
        <v>0</v>
      </c>
      <c r="J237" s="573">
        <v>48150707</v>
      </c>
      <c r="K237" s="573">
        <v>12411757</v>
      </c>
      <c r="L237" s="572">
        <v>102319</v>
      </c>
      <c r="M237" s="572"/>
      <c r="N237" s="573">
        <v>3977583</v>
      </c>
      <c r="O237" s="573">
        <v>18136065</v>
      </c>
      <c r="P237" s="573">
        <v>0</v>
      </c>
      <c r="Q237" s="572">
        <v>1253089</v>
      </c>
      <c r="R237" s="572"/>
      <c r="S237" s="573">
        <v>16124129</v>
      </c>
      <c r="T237" s="574">
        <v>-407995</v>
      </c>
      <c r="U237" s="574">
        <v>15716134</v>
      </c>
    </row>
    <row r="238" spans="1:21" x14ac:dyDescent="0.25">
      <c r="A238" s="569">
        <v>37405</v>
      </c>
      <c r="B238" s="570" t="s">
        <v>1003</v>
      </c>
      <c r="C238" s="571">
        <v>2.0752000000000001E-3</v>
      </c>
      <c r="D238" s="571">
        <v>1.9784E-3</v>
      </c>
      <c r="E238" s="572">
        <v>2527980</v>
      </c>
      <c r="F238" s="572">
        <v>7290796</v>
      </c>
      <c r="G238" s="572">
        <v>19073232</v>
      </c>
      <c r="H238" s="572"/>
      <c r="I238" s="573">
        <v>0</v>
      </c>
      <c r="J238" s="573">
        <v>10912246</v>
      </c>
      <c r="K238" s="573">
        <v>2812838</v>
      </c>
      <c r="L238" s="572">
        <v>599792</v>
      </c>
      <c r="M238" s="572"/>
      <c r="N238" s="573">
        <v>901427</v>
      </c>
      <c r="O238" s="573">
        <v>4110120</v>
      </c>
      <c r="P238" s="573">
        <v>0</v>
      </c>
      <c r="Q238" s="572">
        <v>0</v>
      </c>
      <c r="R238" s="572"/>
      <c r="S238" s="573">
        <v>3654162</v>
      </c>
      <c r="T238" s="574">
        <v>226753</v>
      </c>
      <c r="U238" s="574">
        <v>3880915</v>
      </c>
    </row>
    <row r="239" spans="1:21" x14ac:dyDescent="0.25">
      <c r="A239" s="569">
        <v>37500</v>
      </c>
      <c r="B239" s="570" t="s">
        <v>1004</v>
      </c>
      <c r="C239" s="571">
        <v>1.0169000000000001E-3</v>
      </c>
      <c r="D239" s="571">
        <v>1.0656000000000001E-3</v>
      </c>
      <c r="E239" s="572">
        <v>1373813</v>
      </c>
      <c r="F239" s="572">
        <v>3926947</v>
      </c>
      <c r="G239" s="572">
        <v>9346361</v>
      </c>
      <c r="H239" s="572"/>
      <c r="I239" s="573">
        <v>0</v>
      </c>
      <c r="J239" s="573">
        <v>5347274</v>
      </c>
      <c r="K239" s="573">
        <v>1378361</v>
      </c>
      <c r="L239" s="572">
        <v>230793</v>
      </c>
      <c r="M239" s="572"/>
      <c r="N239" s="573">
        <v>441722</v>
      </c>
      <c r="O239" s="573">
        <v>2014062</v>
      </c>
      <c r="P239" s="573">
        <v>0</v>
      </c>
      <c r="Q239" s="572">
        <v>108197</v>
      </c>
      <c r="R239" s="572"/>
      <c r="S239" s="573">
        <v>1790631</v>
      </c>
      <c r="T239" s="574">
        <v>71608</v>
      </c>
      <c r="U239" s="574">
        <v>1862239</v>
      </c>
    </row>
    <row r="240" spans="1:21" x14ac:dyDescent="0.25">
      <c r="A240" s="569">
        <v>37600</v>
      </c>
      <c r="B240" s="570" t="s">
        <v>1005</v>
      </c>
      <c r="C240" s="571">
        <v>6.4549000000000004E-3</v>
      </c>
      <c r="D240" s="571">
        <v>6.4326000000000001E-3</v>
      </c>
      <c r="E240" s="572">
        <v>7626236</v>
      </c>
      <c r="F240" s="572">
        <v>23705405</v>
      </c>
      <c r="G240" s="572">
        <v>59327199</v>
      </c>
      <c r="H240" s="572"/>
      <c r="I240" s="573">
        <v>0</v>
      </c>
      <c r="J240" s="573">
        <v>33942491</v>
      </c>
      <c r="K240" s="573">
        <v>8749320</v>
      </c>
      <c r="L240" s="572">
        <v>0</v>
      </c>
      <c r="M240" s="572"/>
      <c r="N240" s="573">
        <v>2803886</v>
      </c>
      <c r="O240" s="573">
        <v>12784510</v>
      </c>
      <c r="P240" s="573">
        <v>0</v>
      </c>
      <c r="Q240" s="572">
        <v>1130498</v>
      </c>
      <c r="R240" s="572"/>
      <c r="S240" s="573">
        <v>11366253</v>
      </c>
      <c r="T240" s="574">
        <v>-414681</v>
      </c>
      <c r="U240" s="574">
        <v>10951571</v>
      </c>
    </row>
    <row r="241" spans="1:21" x14ac:dyDescent="0.25">
      <c r="A241" s="569">
        <v>37601</v>
      </c>
      <c r="B241" s="570" t="s">
        <v>1006</v>
      </c>
      <c r="C241" s="571">
        <v>2.029E-4</v>
      </c>
      <c r="D241" s="571">
        <v>8.25E-5</v>
      </c>
      <c r="E241" s="572">
        <v>204986</v>
      </c>
      <c r="F241" s="572">
        <v>304029</v>
      </c>
      <c r="G241" s="572">
        <v>1864861</v>
      </c>
      <c r="H241" s="572"/>
      <c r="I241" s="573">
        <v>0</v>
      </c>
      <c r="J241" s="573">
        <v>1066931</v>
      </c>
      <c r="K241" s="573">
        <v>275022</v>
      </c>
      <c r="L241" s="572">
        <v>588427</v>
      </c>
      <c r="M241" s="572"/>
      <c r="N241" s="573">
        <v>88136</v>
      </c>
      <c r="O241" s="573">
        <v>401862</v>
      </c>
      <c r="P241" s="573">
        <v>0</v>
      </c>
      <c r="Q241" s="572">
        <v>0</v>
      </c>
      <c r="R241" s="572"/>
      <c r="S241" s="573">
        <v>357281</v>
      </c>
      <c r="T241" s="574">
        <v>205125</v>
      </c>
      <c r="U241" s="574">
        <v>562406</v>
      </c>
    </row>
    <row r="242" spans="1:21" x14ac:dyDescent="0.25">
      <c r="A242" s="569">
        <v>37605</v>
      </c>
      <c r="B242" s="570" t="s">
        <v>1007</v>
      </c>
      <c r="C242" s="571">
        <v>7.6970000000000001E-4</v>
      </c>
      <c r="D242" s="571">
        <v>7.3910000000000002E-4</v>
      </c>
      <c r="E242" s="572">
        <v>948931</v>
      </c>
      <c r="F242" s="572">
        <v>2723730</v>
      </c>
      <c r="G242" s="572">
        <v>7074338</v>
      </c>
      <c r="H242" s="572"/>
      <c r="I242" s="573">
        <v>0</v>
      </c>
      <c r="J242" s="573">
        <v>4047396</v>
      </c>
      <c r="K242" s="573">
        <v>1043293</v>
      </c>
      <c r="L242" s="572">
        <v>83580</v>
      </c>
      <c r="M242" s="572"/>
      <c r="N242" s="573">
        <v>334343</v>
      </c>
      <c r="O242" s="573">
        <v>1524460</v>
      </c>
      <c r="P242" s="573">
        <v>0</v>
      </c>
      <c r="Q242" s="572">
        <v>20415</v>
      </c>
      <c r="R242" s="572"/>
      <c r="S242" s="573">
        <v>1355343</v>
      </c>
      <c r="T242" s="574">
        <v>15608</v>
      </c>
      <c r="U242" s="574">
        <v>1370951</v>
      </c>
    </row>
    <row r="243" spans="1:21" x14ac:dyDescent="0.25">
      <c r="A243" s="569">
        <v>37610</v>
      </c>
      <c r="B243" s="570" t="s">
        <v>1008</v>
      </c>
      <c r="C243" s="571">
        <v>1.9426999999999999E-3</v>
      </c>
      <c r="D243" s="571">
        <v>2.0593E-3</v>
      </c>
      <c r="E243" s="572">
        <v>2187554.94</v>
      </c>
      <c r="F243" s="572">
        <v>7588928</v>
      </c>
      <c r="G243" s="572">
        <v>17855420</v>
      </c>
      <c r="H243" s="572"/>
      <c r="I243" s="573">
        <v>0</v>
      </c>
      <c r="J243" s="573">
        <v>10215507</v>
      </c>
      <c r="K243" s="573">
        <v>2633240</v>
      </c>
      <c r="L243" s="572">
        <v>10412</v>
      </c>
      <c r="M243" s="572"/>
      <c r="N243" s="573">
        <v>843872</v>
      </c>
      <c r="O243" s="573">
        <v>3847692</v>
      </c>
      <c r="P243" s="573">
        <v>0</v>
      </c>
      <c r="Q243" s="572">
        <v>856589</v>
      </c>
      <c r="R243" s="572"/>
      <c r="S243" s="573">
        <v>3420846</v>
      </c>
      <c r="T243" s="574">
        <v>-261626</v>
      </c>
      <c r="U243" s="574">
        <v>3159220</v>
      </c>
    </row>
    <row r="244" spans="1:21" x14ac:dyDescent="0.25">
      <c r="A244" s="569">
        <v>37700</v>
      </c>
      <c r="B244" s="570" t="s">
        <v>1009</v>
      </c>
      <c r="C244" s="571">
        <v>2.7463000000000001E-3</v>
      </c>
      <c r="D244" s="571">
        <v>2.7039999999999998E-3</v>
      </c>
      <c r="E244" s="572">
        <v>3374355</v>
      </c>
      <c r="F244" s="572">
        <v>9964775</v>
      </c>
      <c r="G244" s="572">
        <v>25241334</v>
      </c>
      <c r="H244" s="572"/>
      <c r="I244" s="573">
        <v>0</v>
      </c>
      <c r="J244" s="573">
        <v>14441163</v>
      </c>
      <c r="K244" s="573">
        <v>3722483</v>
      </c>
      <c r="L244" s="572">
        <v>55207</v>
      </c>
      <c r="M244" s="572"/>
      <c r="N244" s="573">
        <v>1192941</v>
      </c>
      <c r="O244" s="573">
        <v>5439294</v>
      </c>
      <c r="P244" s="573">
        <v>0</v>
      </c>
      <c r="Q244" s="572">
        <v>172136</v>
      </c>
      <c r="R244" s="572"/>
      <c r="S244" s="573">
        <v>4835883</v>
      </c>
      <c r="T244" s="574">
        <v>-74123</v>
      </c>
      <c r="U244" s="574">
        <v>4761760</v>
      </c>
    </row>
    <row r="245" spans="1:21" x14ac:dyDescent="0.25">
      <c r="A245" s="569">
        <v>37705</v>
      </c>
      <c r="B245" s="570" t="s">
        <v>1010</v>
      </c>
      <c r="C245" s="571">
        <v>8.03E-4</v>
      </c>
      <c r="D245" s="571">
        <v>7.9880000000000001E-4</v>
      </c>
      <c r="E245" s="572">
        <v>1000791</v>
      </c>
      <c r="F245" s="572">
        <v>2943736</v>
      </c>
      <c r="G245" s="572">
        <v>7380399</v>
      </c>
      <c r="H245" s="572"/>
      <c r="I245" s="573">
        <v>0</v>
      </c>
      <c r="J245" s="573">
        <v>4222501</v>
      </c>
      <c r="K245" s="573">
        <v>1088430</v>
      </c>
      <c r="L245" s="572">
        <v>200597</v>
      </c>
      <c r="M245" s="572"/>
      <c r="N245" s="573">
        <v>348808</v>
      </c>
      <c r="O245" s="573">
        <v>1590413.77</v>
      </c>
      <c r="P245" s="573">
        <v>0</v>
      </c>
      <c r="Q245" s="572">
        <v>1450</v>
      </c>
      <c r="R245" s="572"/>
      <c r="S245" s="573">
        <v>1413980</v>
      </c>
      <c r="T245" s="574">
        <v>105184</v>
      </c>
      <c r="U245" s="574">
        <v>1519164</v>
      </c>
    </row>
    <row r="246" spans="1:21" x14ac:dyDescent="0.25">
      <c r="A246" s="569">
        <v>37800</v>
      </c>
      <c r="B246" s="570" t="s">
        <v>1011</v>
      </c>
      <c r="C246" s="571">
        <v>8.3046000000000005E-3</v>
      </c>
      <c r="D246" s="571">
        <v>8.3140999999999996E-3</v>
      </c>
      <c r="E246" s="572">
        <v>10326533</v>
      </c>
      <c r="F246" s="572">
        <v>30639105</v>
      </c>
      <c r="G246" s="572">
        <v>76327853</v>
      </c>
      <c r="H246" s="572"/>
      <c r="I246" s="573">
        <v>0</v>
      </c>
      <c r="J246" s="573">
        <v>43668967</v>
      </c>
      <c r="K246" s="573">
        <v>11256503</v>
      </c>
      <c r="L246" s="572">
        <v>232682</v>
      </c>
      <c r="M246" s="572"/>
      <c r="N246" s="573">
        <v>3607360</v>
      </c>
      <c r="O246" s="573">
        <v>16448008</v>
      </c>
      <c r="P246" s="573">
        <v>0</v>
      </c>
      <c r="Q246" s="572">
        <v>302653</v>
      </c>
      <c r="R246" s="572"/>
      <c r="S246" s="573">
        <v>14623338</v>
      </c>
      <c r="T246" s="574">
        <v>35155</v>
      </c>
      <c r="U246" s="574">
        <v>14658493</v>
      </c>
    </row>
    <row r="247" spans="1:21" x14ac:dyDescent="0.25">
      <c r="A247" s="569">
        <v>37801</v>
      </c>
      <c r="B247" s="570" t="s">
        <v>1012</v>
      </c>
      <c r="C247" s="571">
        <v>5.3900000000000002E-5</v>
      </c>
      <c r="D247" s="571">
        <v>5.6499999999999998E-5</v>
      </c>
      <c r="E247" s="572">
        <v>63338</v>
      </c>
      <c r="F247" s="572">
        <v>208214</v>
      </c>
      <c r="G247" s="572">
        <v>495397</v>
      </c>
      <c r="H247" s="572"/>
      <c r="I247" s="573">
        <v>0</v>
      </c>
      <c r="J247" s="573">
        <v>283428</v>
      </c>
      <c r="K247" s="573">
        <v>73059</v>
      </c>
      <c r="L247" s="572">
        <v>141029</v>
      </c>
      <c r="M247" s="572"/>
      <c r="N247" s="573">
        <v>23413</v>
      </c>
      <c r="O247" s="573">
        <v>106754</v>
      </c>
      <c r="P247" s="573">
        <v>0</v>
      </c>
      <c r="Q247" s="572">
        <v>13169</v>
      </c>
      <c r="R247" s="572"/>
      <c r="S247" s="573">
        <v>94911</v>
      </c>
      <c r="T247" s="574">
        <v>62897</v>
      </c>
      <c r="U247" s="574">
        <v>157808</v>
      </c>
    </row>
    <row r="248" spans="1:21" x14ac:dyDescent="0.25">
      <c r="A248" s="569">
        <v>37805</v>
      </c>
      <c r="B248" s="570" t="s">
        <v>1013</v>
      </c>
      <c r="C248" s="571">
        <v>6.6949999999999996E-4</v>
      </c>
      <c r="D248" s="571">
        <v>7.4660000000000004E-4</v>
      </c>
      <c r="E248" s="572">
        <v>884208.79</v>
      </c>
      <c r="F248" s="572">
        <v>2751369</v>
      </c>
      <c r="G248" s="572">
        <v>6153397</v>
      </c>
      <c r="H248" s="572"/>
      <c r="I248" s="573">
        <v>0</v>
      </c>
      <c r="J248" s="573">
        <v>3520503</v>
      </c>
      <c r="K248" s="573">
        <v>907476</v>
      </c>
      <c r="L248" s="572">
        <v>79272</v>
      </c>
      <c r="M248" s="572"/>
      <c r="N248" s="573">
        <v>290818</v>
      </c>
      <c r="O248" s="573">
        <v>1326005</v>
      </c>
      <c r="P248" s="573">
        <v>0</v>
      </c>
      <c r="Q248" s="572">
        <v>448677</v>
      </c>
      <c r="R248" s="572"/>
      <c r="S248" s="573">
        <v>1178904</v>
      </c>
      <c r="T248" s="574">
        <v>-103986</v>
      </c>
      <c r="U248" s="574">
        <v>1074918</v>
      </c>
    </row>
    <row r="249" spans="1:21" x14ac:dyDescent="0.25">
      <c r="A249" s="569">
        <v>37900</v>
      </c>
      <c r="B249" s="570" t="s">
        <v>1014</v>
      </c>
      <c r="C249" s="571">
        <v>4.5617000000000001E-3</v>
      </c>
      <c r="D249" s="571">
        <v>4.7647999999999996E-3</v>
      </c>
      <c r="E249" s="572">
        <v>5820539</v>
      </c>
      <c r="F249" s="572">
        <v>17559231</v>
      </c>
      <c r="G249" s="572">
        <v>41926735</v>
      </c>
      <c r="H249" s="572"/>
      <c r="I249" s="573">
        <v>0</v>
      </c>
      <c r="J249" s="573">
        <v>23987275</v>
      </c>
      <c r="K249" s="573">
        <v>6183175</v>
      </c>
      <c r="L249" s="572">
        <v>88219</v>
      </c>
      <c r="M249" s="572"/>
      <c r="N249" s="573">
        <v>1981516</v>
      </c>
      <c r="O249" s="573">
        <v>9034857</v>
      </c>
      <c r="P249" s="573">
        <v>0</v>
      </c>
      <c r="Q249" s="572">
        <v>1236921</v>
      </c>
      <c r="R249" s="572"/>
      <c r="S249" s="573">
        <v>8032570</v>
      </c>
      <c r="T249" s="574">
        <v>-357238</v>
      </c>
      <c r="U249" s="574">
        <v>7675332</v>
      </c>
    </row>
    <row r="250" spans="1:21" x14ac:dyDescent="0.25">
      <c r="A250" s="569">
        <v>37901</v>
      </c>
      <c r="B250" s="570" t="s">
        <v>1015</v>
      </c>
      <c r="C250" s="571">
        <v>6.1799999999999998E-5</v>
      </c>
      <c r="D250" s="571">
        <v>6.3499999999999999E-5</v>
      </c>
      <c r="E250" s="572">
        <v>69945.09</v>
      </c>
      <c r="F250" s="572">
        <v>234010</v>
      </c>
      <c r="G250" s="572">
        <v>568006</v>
      </c>
      <c r="H250" s="572"/>
      <c r="I250" s="573">
        <v>0</v>
      </c>
      <c r="J250" s="573">
        <v>324970</v>
      </c>
      <c r="K250" s="573">
        <v>83767</v>
      </c>
      <c r="L250" s="572">
        <v>571</v>
      </c>
      <c r="M250" s="572"/>
      <c r="N250" s="573">
        <v>26845</v>
      </c>
      <c r="O250" s="573">
        <v>122400</v>
      </c>
      <c r="P250" s="573">
        <v>0</v>
      </c>
      <c r="Q250" s="572">
        <v>12695</v>
      </c>
      <c r="R250" s="572"/>
      <c r="S250" s="573">
        <v>108822</v>
      </c>
      <c r="T250" s="574">
        <v>-3345</v>
      </c>
      <c r="U250" s="574">
        <v>105477</v>
      </c>
    </row>
    <row r="251" spans="1:21" x14ac:dyDescent="0.25">
      <c r="A251" s="569">
        <v>37905</v>
      </c>
      <c r="B251" s="570" t="s">
        <v>1016</v>
      </c>
      <c r="C251" s="571">
        <v>5.1179999999999997E-4</v>
      </c>
      <c r="D251" s="571">
        <v>5.2079999999999997E-4</v>
      </c>
      <c r="E251" s="572">
        <v>734022.86</v>
      </c>
      <c r="F251" s="572">
        <v>1919251</v>
      </c>
      <c r="G251" s="572">
        <v>4703971</v>
      </c>
      <c r="H251" s="572"/>
      <c r="I251" s="573">
        <v>0</v>
      </c>
      <c r="J251" s="573">
        <v>2691253</v>
      </c>
      <c r="K251" s="573">
        <v>693721</v>
      </c>
      <c r="L251" s="572">
        <v>35133</v>
      </c>
      <c r="M251" s="572"/>
      <c r="N251" s="573">
        <v>222316</v>
      </c>
      <c r="O251" s="573">
        <v>1013666</v>
      </c>
      <c r="P251" s="573">
        <v>0</v>
      </c>
      <c r="Q251" s="572">
        <v>44488</v>
      </c>
      <c r="R251" s="572"/>
      <c r="S251" s="573">
        <v>901214</v>
      </c>
      <c r="T251" s="574">
        <v>-6383</v>
      </c>
      <c r="U251" s="574">
        <v>894832</v>
      </c>
    </row>
    <row r="252" spans="1:21" x14ac:dyDescent="0.25">
      <c r="A252" s="569">
        <v>38000</v>
      </c>
      <c r="B252" s="570" t="s">
        <v>1017</v>
      </c>
      <c r="C252" s="571">
        <v>7.1815000000000004E-3</v>
      </c>
      <c r="D252" s="571">
        <v>7.1176E-3</v>
      </c>
      <c r="E252" s="572">
        <v>8836148</v>
      </c>
      <c r="F252" s="572">
        <v>26229765</v>
      </c>
      <c r="G252" s="572">
        <v>66005403</v>
      </c>
      <c r="H252" s="572"/>
      <c r="I252" s="573">
        <v>0</v>
      </c>
      <c r="J252" s="573">
        <v>37763250</v>
      </c>
      <c r="K252" s="573">
        <v>9734193</v>
      </c>
      <c r="L252" s="572">
        <v>0</v>
      </c>
      <c r="M252" s="572"/>
      <c r="N252" s="573">
        <v>3119507</v>
      </c>
      <c r="O252" s="573">
        <v>14223607</v>
      </c>
      <c r="P252" s="573">
        <v>0</v>
      </c>
      <c r="Q252" s="572">
        <v>1444366</v>
      </c>
      <c r="R252" s="572"/>
      <c r="S252" s="573">
        <v>12645702</v>
      </c>
      <c r="T252" s="574">
        <v>-730520</v>
      </c>
      <c r="U252" s="574">
        <v>11915182</v>
      </c>
    </row>
    <row r="253" spans="1:21" x14ac:dyDescent="0.25">
      <c r="A253" s="569">
        <v>38005</v>
      </c>
      <c r="B253" s="570" t="s">
        <v>1018</v>
      </c>
      <c r="C253" s="571">
        <v>1.4989000000000001E-3</v>
      </c>
      <c r="D253" s="571">
        <v>1.4445E-3</v>
      </c>
      <c r="E253" s="572">
        <v>1905174.84</v>
      </c>
      <c r="F253" s="572">
        <v>5323269</v>
      </c>
      <c r="G253" s="572">
        <v>13776439</v>
      </c>
      <c r="H253" s="572"/>
      <c r="I253" s="573">
        <v>0</v>
      </c>
      <c r="J253" s="573">
        <v>7881826</v>
      </c>
      <c r="K253" s="573">
        <v>2031690</v>
      </c>
      <c r="L253" s="572">
        <v>397636</v>
      </c>
      <c r="M253" s="572"/>
      <c r="N253" s="573">
        <v>651094</v>
      </c>
      <c r="O253" s="573">
        <v>2968706</v>
      </c>
      <c r="P253" s="573">
        <v>0</v>
      </c>
      <c r="Q253" s="572">
        <v>0</v>
      </c>
      <c r="R253" s="572"/>
      <c r="S253" s="573">
        <v>2639371</v>
      </c>
      <c r="T253" s="574">
        <v>152911</v>
      </c>
      <c r="U253" s="574">
        <v>2792282</v>
      </c>
    </row>
    <row r="254" spans="1:21" x14ac:dyDescent="0.25">
      <c r="A254" s="569">
        <v>38100</v>
      </c>
      <c r="B254" s="570" t="s">
        <v>1019</v>
      </c>
      <c r="C254" s="571">
        <v>3.3161000000000002E-3</v>
      </c>
      <c r="D254" s="571">
        <v>3.3126000000000002E-3</v>
      </c>
      <c r="E254" s="572">
        <v>4178329</v>
      </c>
      <c r="F254" s="572">
        <v>12207587</v>
      </c>
      <c r="G254" s="572">
        <v>30478385</v>
      </c>
      <c r="H254" s="572"/>
      <c r="I254" s="573">
        <v>0</v>
      </c>
      <c r="J254" s="573">
        <v>17437403</v>
      </c>
      <c r="K254" s="573">
        <v>4494821</v>
      </c>
      <c r="L254" s="572">
        <v>0</v>
      </c>
      <c r="M254" s="572"/>
      <c r="N254" s="573">
        <v>1440451</v>
      </c>
      <c r="O254" s="573">
        <v>6567834</v>
      </c>
      <c r="P254" s="573">
        <v>0</v>
      </c>
      <c r="Q254" s="572">
        <v>504299</v>
      </c>
      <c r="R254" s="572"/>
      <c r="S254" s="573">
        <v>5839228</v>
      </c>
      <c r="T254" s="574">
        <v>-258290</v>
      </c>
      <c r="U254" s="574">
        <v>5580938</v>
      </c>
    </row>
    <row r="255" spans="1:21" x14ac:dyDescent="0.25">
      <c r="A255" s="569">
        <v>38105</v>
      </c>
      <c r="B255" s="570" t="s">
        <v>1020</v>
      </c>
      <c r="C255" s="571">
        <v>6.8400000000000004E-4</v>
      </c>
      <c r="D255" s="571">
        <v>6.8559999999999997E-4</v>
      </c>
      <c r="E255" s="572">
        <v>857933.99</v>
      </c>
      <c r="F255" s="572">
        <v>2526572</v>
      </c>
      <c r="G255" s="572">
        <v>6286667</v>
      </c>
      <c r="H255" s="572"/>
      <c r="I255" s="573">
        <v>0</v>
      </c>
      <c r="J255" s="573">
        <v>3596750</v>
      </c>
      <c r="K255" s="573">
        <v>927131</v>
      </c>
      <c r="L255" s="572">
        <v>0</v>
      </c>
      <c r="M255" s="572"/>
      <c r="N255" s="573">
        <v>297117</v>
      </c>
      <c r="O255" s="573">
        <v>1354723.56</v>
      </c>
      <c r="P255" s="573">
        <v>0</v>
      </c>
      <c r="Q255" s="572">
        <v>82858</v>
      </c>
      <c r="R255" s="572"/>
      <c r="S255" s="573">
        <v>1204436</v>
      </c>
      <c r="T255" s="574">
        <v>-32836</v>
      </c>
      <c r="U255" s="574">
        <v>1171600</v>
      </c>
    </row>
    <row r="256" spans="1:21" x14ac:dyDescent="0.25">
      <c r="A256" s="569">
        <v>38200</v>
      </c>
      <c r="B256" s="570" t="s">
        <v>1021</v>
      </c>
      <c r="C256" s="571">
        <v>3.2125000000000001E-3</v>
      </c>
      <c r="D256" s="571">
        <v>3.2916E-3</v>
      </c>
      <c r="E256" s="572">
        <v>3908534.33</v>
      </c>
      <c r="F256" s="572">
        <v>12130198</v>
      </c>
      <c r="G256" s="572">
        <v>29526194</v>
      </c>
      <c r="H256" s="572"/>
      <c r="I256" s="573">
        <v>0</v>
      </c>
      <c r="J256" s="573">
        <v>16892632</v>
      </c>
      <c r="K256" s="573">
        <v>4354396</v>
      </c>
      <c r="L256" s="572">
        <v>50250</v>
      </c>
      <c r="M256" s="572"/>
      <c r="N256" s="573">
        <v>1395449</v>
      </c>
      <c r="O256" s="573">
        <v>6362645</v>
      </c>
      <c r="P256" s="573">
        <v>0</v>
      </c>
      <c r="Q256" s="572">
        <v>470033</v>
      </c>
      <c r="R256" s="572"/>
      <c r="S256" s="573">
        <v>5656801</v>
      </c>
      <c r="T256" s="574">
        <v>-111871</v>
      </c>
      <c r="U256" s="574">
        <v>5544930</v>
      </c>
    </row>
    <row r="257" spans="1:21" x14ac:dyDescent="0.25">
      <c r="A257" s="569">
        <v>38205</v>
      </c>
      <c r="B257" s="570" t="s">
        <v>1022</v>
      </c>
      <c r="C257" s="571">
        <v>4.5439999999999999E-4</v>
      </c>
      <c r="D257" s="571">
        <v>4.5619999999999998E-4</v>
      </c>
      <c r="E257" s="572">
        <v>624810</v>
      </c>
      <c r="F257" s="572">
        <v>1681187</v>
      </c>
      <c r="G257" s="572">
        <v>4176405</v>
      </c>
      <c r="H257" s="572"/>
      <c r="I257" s="573">
        <v>0</v>
      </c>
      <c r="J257" s="573">
        <v>2389420</v>
      </c>
      <c r="K257" s="573">
        <v>615918</v>
      </c>
      <c r="L257" s="572">
        <v>30018</v>
      </c>
      <c r="M257" s="572"/>
      <c r="N257" s="573">
        <v>197383</v>
      </c>
      <c r="O257" s="573">
        <v>899980</v>
      </c>
      <c r="P257" s="573">
        <v>0</v>
      </c>
      <c r="Q257" s="572">
        <v>84868</v>
      </c>
      <c r="R257" s="572"/>
      <c r="S257" s="573">
        <v>800140</v>
      </c>
      <c r="T257" s="574">
        <v>-26192</v>
      </c>
      <c r="U257" s="574">
        <v>773948</v>
      </c>
    </row>
    <row r="258" spans="1:21" x14ac:dyDescent="0.25">
      <c r="A258" s="569">
        <v>38210</v>
      </c>
      <c r="B258" s="570" t="s">
        <v>1023</v>
      </c>
      <c r="C258" s="571">
        <v>1.1793000000000001E-3</v>
      </c>
      <c r="D258" s="571">
        <v>1.1485E-3</v>
      </c>
      <c r="E258" s="572">
        <v>1417451.14</v>
      </c>
      <c r="F258" s="572">
        <v>4232450</v>
      </c>
      <c r="G258" s="572">
        <v>10838985</v>
      </c>
      <c r="H258" s="572"/>
      <c r="I258" s="573">
        <v>0</v>
      </c>
      <c r="J258" s="573">
        <v>6201239</v>
      </c>
      <c r="K258" s="573">
        <v>1598487</v>
      </c>
      <c r="L258" s="572">
        <v>87673</v>
      </c>
      <c r="M258" s="572"/>
      <c r="N258" s="573">
        <v>512266</v>
      </c>
      <c r="O258" s="573">
        <v>2335710</v>
      </c>
      <c r="P258" s="573">
        <v>0</v>
      </c>
      <c r="Q258" s="572">
        <v>62799</v>
      </c>
      <c r="R258" s="572"/>
      <c r="S258" s="573">
        <v>2076596</v>
      </c>
      <c r="T258" s="574">
        <v>13103</v>
      </c>
      <c r="U258" s="574">
        <v>2089699</v>
      </c>
    </row>
    <row r="259" spans="1:21" x14ac:dyDescent="0.25">
      <c r="A259" s="569">
        <v>38300</v>
      </c>
      <c r="B259" s="570" t="s">
        <v>1024</v>
      </c>
      <c r="C259" s="571">
        <v>2.5320999999999998E-3</v>
      </c>
      <c r="D259" s="571">
        <v>2.5233E-3</v>
      </c>
      <c r="E259" s="572">
        <v>3100456.2</v>
      </c>
      <c r="F259" s="572">
        <v>9298860</v>
      </c>
      <c r="G259" s="572">
        <v>23272615</v>
      </c>
      <c r="H259" s="572"/>
      <c r="I259" s="573">
        <v>0</v>
      </c>
      <c r="J259" s="573">
        <v>13314812</v>
      </c>
      <c r="K259" s="573">
        <v>3432145</v>
      </c>
      <c r="L259" s="572">
        <v>0</v>
      </c>
      <c r="M259" s="572"/>
      <c r="N259" s="573">
        <v>1099896</v>
      </c>
      <c r="O259" s="573">
        <v>5015052</v>
      </c>
      <c r="P259" s="573">
        <v>0</v>
      </c>
      <c r="Q259" s="572">
        <v>502401</v>
      </c>
      <c r="R259" s="572"/>
      <c r="S259" s="573">
        <v>4458704</v>
      </c>
      <c r="T259" s="574">
        <v>-260227</v>
      </c>
      <c r="U259" s="574">
        <v>4198477</v>
      </c>
    </row>
    <row r="260" spans="1:21" x14ac:dyDescent="0.25">
      <c r="A260" s="569">
        <v>38400</v>
      </c>
      <c r="B260" s="570" t="s">
        <v>1025</v>
      </c>
      <c r="C260" s="571">
        <v>3.1153999999999999E-3</v>
      </c>
      <c r="D260" s="571">
        <v>3.2049000000000001E-3</v>
      </c>
      <c r="E260" s="572">
        <v>3816257</v>
      </c>
      <c r="F260" s="572">
        <v>11810691</v>
      </c>
      <c r="G260" s="572">
        <v>28633744</v>
      </c>
      <c r="H260" s="572"/>
      <c r="I260" s="573">
        <v>0</v>
      </c>
      <c r="J260" s="573">
        <v>16382041</v>
      </c>
      <c r="K260" s="573">
        <v>4222781</v>
      </c>
      <c r="L260" s="572">
        <v>8437</v>
      </c>
      <c r="M260" s="572"/>
      <c r="N260" s="573">
        <v>1353271</v>
      </c>
      <c r="O260" s="573">
        <v>6170330</v>
      </c>
      <c r="P260" s="573">
        <v>0</v>
      </c>
      <c r="Q260" s="572">
        <v>840268</v>
      </c>
      <c r="R260" s="572"/>
      <c r="S260" s="573">
        <v>5485821</v>
      </c>
      <c r="T260" s="574">
        <v>-349814</v>
      </c>
      <c r="U260" s="574">
        <v>5136006</v>
      </c>
    </row>
    <row r="261" spans="1:21" x14ac:dyDescent="0.25">
      <c r="A261" s="569">
        <v>38402</v>
      </c>
      <c r="B261" s="570" t="s">
        <v>1026</v>
      </c>
      <c r="C261" s="571">
        <v>1.052E-4</v>
      </c>
      <c r="D261" s="571">
        <v>1.086E-4</v>
      </c>
      <c r="E261" s="572">
        <v>126614</v>
      </c>
      <c r="F261" s="572">
        <v>400213</v>
      </c>
      <c r="G261" s="572">
        <v>966897</v>
      </c>
      <c r="H261" s="572"/>
      <c r="I261" s="573">
        <v>0</v>
      </c>
      <c r="J261" s="573">
        <v>553184</v>
      </c>
      <c r="K261" s="573">
        <v>142594</v>
      </c>
      <c r="L261" s="572">
        <v>20431</v>
      </c>
      <c r="M261" s="572"/>
      <c r="N261" s="573">
        <v>45697</v>
      </c>
      <c r="O261" s="573">
        <v>208358</v>
      </c>
      <c r="P261" s="573">
        <v>0</v>
      </c>
      <c r="Q261" s="572">
        <v>28487</v>
      </c>
      <c r="R261" s="572"/>
      <c r="S261" s="573">
        <v>185244</v>
      </c>
      <c r="T261" s="574">
        <v>2192</v>
      </c>
      <c r="U261" s="574">
        <v>187435</v>
      </c>
    </row>
    <row r="262" spans="1:21" x14ac:dyDescent="0.25">
      <c r="A262" s="569">
        <v>38405</v>
      </c>
      <c r="B262" s="570" t="s">
        <v>1027</v>
      </c>
      <c r="C262" s="571">
        <v>7.6369999999999997E-4</v>
      </c>
      <c r="D262" s="571">
        <v>7.5730000000000003E-4</v>
      </c>
      <c r="E262" s="572">
        <v>927482.5</v>
      </c>
      <c r="F262" s="572">
        <v>2790800</v>
      </c>
      <c r="G262" s="572">
        <v>7019192</v>
      </c>
      <c r="H262" s="572"/>
      <c r="I262" s="573">
        <v>0</v>
      </c>
      <c r="J262" s="573">
        <v>4015845</v>
      </c>
      <c r="K262" s="573">
        <v>1035160</v>
      </c>
      <c r="L262" s="572">
        <v>0</v>
      </c>
      <c r="M262" s="572"/>
      <c r="N262" s="573">
        <v>331737</v>
      </c>
      <c r="O262" s="573">
        <v>1512577</v>
      </c>
      <c r="P262" s="573">
        <v>0</v>
      </c>
      <c r="Q262" s="572">
        <v>136046</v>
      </c>
      <c r="R262" s="572"/>
      <c r="S262" s="573">
        <v>1344778</v>
      </c>
      <c r="T262" s="574">
        <v>-58469</v>
      </c>
      <c r="U262" s="574">
        <v>1286309</v>
      </c>
    </row>
    <row r="263" spans="1:21" x14ac:dyDescent="0.25">
      <c r="A263" s="569">
        <v>38500</v>
      </c>
      <c r="B263" s="570" t="s">
        <v>1028</v>
      </c>
      <c r="C263" s="571">
        <v>2.4922999999999998E-3</v>
      </c>
      <c r="D263" s="571">
        <v>2.5734E-3</v>
      </c>
      <c r="E263" s="572">
        <v>3070391.3</v>
      </c>
      <c r="F263" s="572">
        <v>9483489</v>
      </c>
      <c r="G263" s="572">
        <v>22906812</v>
      </c>
      <c r="H263" s="572"/>
      <c r="I263" s="573">
        <v>0</v>
      </c>
      <c r="J263" s="573">
        <v>13105528</v>
      </c>
      <c r="K263" s="573">
        <v>3378198</v>
      </c>
      <c r="L263" s="572">
        <v>0</v>
      </c>
      <c r="M263" s="572"/>
      <c r="N263" s="573">
        <v>1082608</v>
      </c>
      <c r="O263" s="573">
        <v>4936224</v>
      </c>
      <c r="P263" s="573">
        <v>0</v>
      </c>
      <c r="Q263" s="572">
        <v>683080</v>
      </c>
      <c r="R263" s="572"/>
      <c r="S263" s="573">
        <v>4388621</v>
      </c>
      <c r="T263" s="574">
        <v>-246507</v>
      </c>
      <c r="U263" s="574">
        <v>4142115</v>
      </c>
    </row>
    <row r="264" spans="1:21" x14ac:dyDescent="0.25">
      <c r="A264" s="569">
        <v>38600</v>
      </c>
      <c r="B264" s="570" t="s">
        <v>1029</v>
      </c>
      <c r="C264" s="571">
        <v>3.0961000000000001E-3</v>
      </c>
      <c r="D264" s="571">
        <v>3.1337000000000001E-3</v>
      </c>
      <c r="E264" s="572">
        <v>3785122</v>
      </c>
      <c r="F264" s="572">
        <v>11548305</v>
      </c>
      <c r="G264" s="572">
        <v>28456357</v>
      </c>
      <c r="H264" s="572"/>
      <c r="I264" s="573">
        <v>0</v>
      </c>
      <c r="J264" s="573">
        <v>16280554</v>
      </c>
      <c r="K264" s="573">
        <v>4196621</v>
      </c>
      <c r="L264" s="572">
        <v>4145</v>
      </c>
      <c r="M264" s="572"/>
      <c r="N264" s="573">
        <v>1344887</v>
      </c>
      <c r="O264" s="573">
        <v>6132105</v>
      </c>
      <c r="P264" s="573">
        <v>0</v>
      </c>
      <c r="Q264" s="572">
        <v>634452</v>
      </c>
      <c r="R264" s="572"/>
      <c r="S264" s="573">
        <v>5451836</v>
      </c>
      <c r="T264" s="574">
        <v>-284523</v>
      </c>
      <c r="U264" s="574">
        <v>5167312</v>
      </c>
    </row>
    <row r="265" spans="1:21" x14ac:dyDescent="0.25">
      <c r="A265" s="569">
        <v>38601</v>
      </c>
      <c r="B265" s="570" t="s">
        <v>1030</v>
      </c>
      <c r="C265" s="571">
        <v>4.1300000000000001E-5</v>
      </c>
      <c r="D265" s="571">
        <v>4.0399999999999999E-5</v>
      </c>
      <c r="E265" s="572">
        <v>45523.1</v>
      </c>
      <c r="F265" s="572">
        <v>148882</v>
      </c>
      <c r="G265" s="572">
        <v>379590</v>
      </c>
      <c r="H265" s="572"/>
      <c r="I265" s="573">
        <v>0</v>
      </c>
      <c r="J265" s="573">
        <v>217172</v>
      </c>
      <c r="K265" s="573">
        <v>55980</v>
      </c>
      <c r="L265" s="572">
        <v>23619</v>
      </c>
      <c r="M265" s="572"/>
      <c r="N265" s="573">
        <v>17940</v>
      </c>
      <c r="O265" s="573">
        <v>81798</v>
      </c>
      <c r="P265" s="573">
        <v>0</v>
      </c>
      <c r="Q265" s="572">
        <v>2305</v>
      </c>
      <c r="R265" s="572"/>
      <c r="S265" s="573">
        <v>72724</v>
      </c>
      <c r="T265" s="574">
        <v>9992</v>
      </c>
      <c r="U265" s="574">
        <v>82716</v>
      </c>
    </row>
    <row r="266" spans="1:21" x14ac:dyDescent="0.25">
      <c r="A266" s="569">
        <v>38602</v>
      </c>
      <c r="B266" s="570" t="s">
        <v>1031</v>
      </c>
      <c r="C266" s="571">
        <v>1.83E-4</v>
      </c>
      <c r="D266" s="571">
        <v>1.717E-4</v>
      </c>
      <c r="E266" s="572">
        <v>227788</v>
      </c>
      <c r="F266" s="572">
        <v>632748</v>
      </c>
      <c r="G266" s="572">
        <v>1681959</v>
      </c>
      <c r="H266" s="572"/>
      <c r="I266" s="573">
        <v>0</v>
      </c>
      <c r="J266" s="573">
        <v>962288</v>
      </c>
      <c r="K266" s="573">
        <v>248048</v>
      </c>
      <c r="L266" s="572">
        <v>98125</v>
      </c>
      <c r="M266" s="572"/>
      <c r="N266" s="573">
        <v>79492</v>
      </c>
      <c r="O266" s="573">
        <v>362448</v>
      </c>
      <c r="P266" s="573">
        <v>0</v>
      </c>
      <c r="Q266" s="572">
        <v>0</v>
      </c>
      <c r="R266" s="572"/>
      <c r="S266" s="573">
        <v>322240</v>
      </c>
      <c r="T266" s="574">
        <v>34463</v>
      </c>
      <c r="U266" s="574">
        <v>356702</v>
      </c>
    </row>
    <row r="267" spans="1:21" x14ac:dyDescent="0.25">
      <c r="A267" s="569">
        <v>38605</v>
      </c>
      <c r="B267" s="570" t="s">
        <v>1032</v>
      </c>
      <c r="C267" s="571">
        <v>8.5070000000000002E-4</v>
      </c>
      <c r="D267" s="571">
        <v>8.4349999999999996E-4</v>
      </c>
      <c r="E267" s="572">
        <v>1074563.79</v>
      </c>
      <c r="F267" s="572">
        <v>3108465</v>
      </c>
      <c r="G267" s="572">
        <v>7818812</v>
      </c>
      <c r="H267" s="572"/>
      <c r="I267" s="573">
        <v>0</v>
      </c>
      <c r="J267" s="573">
        <v>4473327</v>
      </c>
      <c r="K267" s="573">
        <v>1153085</v>
      </c>
      <c r="L267" s="572">
        <v>56750</v>
      </c>
      <c r="M267" s="572"/>
      <c r="N267" s="573">
        <v>369528</v>
      </c>
      <c r="O267" s="573">
        <v>1684888</v>
      </c>
      <c r="P267" s="573">
        <v>0</v>
      </c>
      <c r="Q267" s="572">
        <v>42459</v>
      </c>
      <c r="R267" s="572"/>
      <c r="S267" s="573">
        <v>1497974</v>
      </c>
      <c r="T267" s="574">
        <v>10204</v>
      </c>
      <c r="U267" s="574">
        <v>1508178</v>
      </c>
    </row>
    <row r="268" spans="1:21" x14ac:dyDescent="0.25">
      <c r="A268" s="569">
        <v>38610</v>
      </c>
      <c r="B268" s="570" t="s">
        <v>1033</v>
      </c>
      <c r="C268" s="571">
        <v>6.2620000000000004E-4</v>
      </c>
      <c r="D268" s="571">
        <v>6.401E-4</v>
      </c>
      <c r="E268" s="572">
        <v>827029.58</v>
      </c>
      <c r="F268" s="572">
        <v>2358895</v>
      </c>
      <c r="G268" s="572">
        <v>5755425</v>
      </c>
      <c r="H268" s="572"/>
      <c r="I268" s="573">
        <v>0</v>
      </c>
      <c r="J268" s="573">
        <v>3292814</v>
      </c>
      <c r="K268" s="573">
        <v>848785</v>
      </c>
      <c r="L268" s="572">
        <v>36605</v>
      </c>
      <c r="M268" s="572"/>
      <c r="N268" s="573">
        <v>272009</v>
      </c>
      <c r="O268" s="573">
        <v>1240245</v>
      </c>
      <c r="P268" s="573">
        <v>0</v>
      </c>
      <c r="Q268" s="572">
        <v>26746</v>
      </c>
      <c r="R268" s="572"/>
      <c r="S268" s="573">
        <v>1102658</v>
      </c>
      <c r="T268" s="574">
        <v>12621</v>
      </c>
      <c r="U268" s="574">
        <v>1115279</v>
      </c>
    </row>
    <row r="269" spans="1:21" x14ac:dyDescent="0.25">
      <c r="A269" s="569">
        <v>38620</v>
      </c>
      <c r="B269" s="570" t="s">
        <v>1034</v>
      </c>
      <c r="C269" s="571">
        <v>5.3479999999999999E-4</v>
      </c>
      <c r="D269" s="571">
        <v>5.2720000000000002E-4</v>
      </c>
      <c r="E269" s="572">
        <v>666269.61</v>
      </c>
      <c r="F269" s="572">
        <v>1942836</v>
      </c>
      <c r="G269" s="572">
        <v>4915364</v>
      </c>
      <c r="H269" s="572"/>
      <c r="I269" s="573">
        <v>0</v>
      </c>
      <c r="J269" s="573">
        <v>2812196</v>
      </c>
      <c r="K269" s="573">
        <v>724897</v>
      </c>
      <c r="L269" s="572">
        <v>100747</v>
      </c>
      <c r="M269" s="572"/>
      <c r="N269" s="573">
        <v>232307</v>
      </c>
      <c r="O269" s="573">
        <v>1059220</v>
      </c>
      <c r="P269" s="573">
        <v>0</v>
      </c>
      <c r="Q269" s="572">
        <v>0</v>
      </c>
      <c r="R269" s="572"/>
      <c r="S269" s="573">
        <v>941714</v>
      </c>
      <c r="T269" s="574">
        <v>39081</v>
      </c>
      <c r="U269" s="574">
        <v>980795</v>
      </c>
    </row>
    <row r="270" spans="1:21" x14ac:dyDescent="0.25">
      <c r="A270" s="569">
        <v>38700</v>
      </c>
      <c r="B270" s="570" t="s">
        <v>1035</v>
      </c>
      <c r="C270" s="571">
        <v>9.167E-4</v>
      </c>
      <c r="D270" s="571">
        <v>8.9820000000000004E-4</v>
      </c>
      <c r="E270" s="572">
        <v>1134767</v>
      </c>
      <c r="F270" s="572">
        <v>3310045</v>
      </c>
      <c r="G270" s="572">
        <v>8425420</v>
      </c>
      <c r="H270" s="572"/>
      <c r="I270" s="573">
        <v>0</v>
      </c>
      <c r="J270" s="573">
        <v>4820382</v>
      </c>
      <c r="K270" s="573">
        <v>1242545</v>
      </c>
      <c r="L270" s="572">
        <v>221072</v>
      </c>
      <c r="M270" s="572"/>
      <c r="N270" s="573">
        <v>398197</v>
      </c>
      <c r="O270" s="573">
        <v>1815607</v>
      </c>
      <c r="P270" s="573">
        <v>0</v>
      </c>
      <c r="Q270" s="572">
        <v>0</v>
      </c>
      <c r="R270" s="572"/>
      <c r="S270" s="573">
        <v>1614191</v>
      </c>
      <c r="T270" s="574">
        <v>87744</v>
      </c>
      <c r="U270" s="574">
        <v>1701935</v>
      </c>
    </row>
    <row r="271" spans="1:21" x14ac:dyDescent="0.25">
      <c r="A271" s="569">
        <v>38701</v>
      </c>
      <c r="B271" s="570" t="s">
        <v>1036</v>
      </c>
      <c r="C271" s="571">
        <v>6.2899999999999997E-5</v>
      </c>
      <c r="D271" s="571">
        <v>6.0099999999999997E-5</v>
      </c>
      <c r="E271" s="572">
        <v>75744</v>
      </c>
      <c r="F271" s="572">
        <v>221480</v>
      </c>
      <c r="G271" s="572">
        <v>578116</v>
      </c>
      <c r="H271" s="572"/>
      <c r="I271" s="573">
        <v>0</v>
      </c>
      <c r="J271" s="573">
        <v>330754</v>
      </c>
      <c r="K271" s="573">
        <v>85258</v>
      </c>
      <c r="L271" s="572">
        <v>6477</v>
      </c>
      <c r="M271" s="572"/>
      <c r="N271" s="573">
        <v>27323</v>
      </c>
      <c r="O271" s="573">
        <v>124579</v>
      </c>
      <c r="P271" s="573">
        <v>0</v>
      </c>
      <c r="Q271" s="572">
        <v>34487</v>
      </c>
      <c r="R271" s="572"/>
      <c r="S271" s="573">
        <v>110759</v>
      </c>
      <c r="T271" s="574">
        <v>-14978</v>
      </c>
      <c r="U271" s="574">
        <v>95781</v>
      </c>
    </row>
    <row r="272" spans="1:21" x14ac:dyDescent="0.25">
      <c r="A272" s="569">
        <v>38800</v>
      </c>
      <c r="B272" s="570" t="s">
        <v>1037</v>
      </c>
      <c r="C272" s="571">
        <v>1.5732999999999999E-3</v>
      </c>
      <c r="D272" s="571">
        <v>1.5524E-3</v>
      </c>
      <c r="E272" s="572">
        <v>1931736</v>
      </c>
      <c r="F272" s="572">
        <v>5720901</v>
      </c>
      <c r="G272" s="572">
        <v>14460252</v>
      </c>
      <c r="H272" s="572"/>
      <c r="I272" s="573">
        <v>0</v>
      </c>
      <c r="J272" s="573">
        <v>8273052</v>
      </c>
      <c r="K272" s="573">
        <v>2132536</v>
      </c>
      <c r="L272" s="572">
        <v>129136</v>
      </c>
      <c r="M272" s="572"/>
      <c r="N272" s="573">
        <v>683412</v>
      </c>
      <c r="O272" s="573">
        <v>3116062</v>
      </c>
      <c r="P272" s="573">
        <v>0</v>
      </c>
      <c r="Q272" s="572">
        <v>22708</v>
      </c>
      <c r="R272" s="572"/>
      <c r="S272" s="573">
        <v>2770380</v>
      </c>
      <c r="T272" s="574">
        <v>34965</v>
      </c>
      <c r="U272" s="574">
        <v>2805345</v>
      </c>
    </row>
    <row r="273" spans="1:21" x14ac:dyDescent="0.25">
      <c r="A273" s="569">
        <v>38801</v>
      </c>
      <c r="B273" s="570" t="s">
        <v>1038</v>
      </c>
      <c r="C273" s="571">
        <v>1.1069999999999999E-4</v>
      </c>
      <c r="D273" s="571">
        <v>8.8300000000000005E-5</v>
      </c>
      <c r="E273" s="572">
        <v>110631</v>
      </c>
      <c r="F273" s="572">
        <v>325403</v>
      </c>
      <c r="G273" s="572">
        <v>1017447</v>
      </c>
      <c r="H273" s="572"/>
      <c r="I273" s="573">
        <v>0</v>
      </c>
      <c r="J273" s="573">
        <v>582106</v>
      </c>
      <c r="K273" s="573">
        <v>150049</v>
      </c>
      <c r="L273" s="572">
        <v>109390</v>
      </c>
      <c r="M273" s="572"/>
      <c r="N273" s="573">
        <v>48086</v>
      </c>
      <c r="O273" s="573">
        <v>219251</v>
      </c>
      <c r="P273" s="573">
        <v>0</v>
      </c>
      <c r="Q273" s="572">
        <v>32694</v>
      </c>
      <c r="R273" s="572"/>
      <c r="S273" s="573">
        <v>194929</v>
      </c>
      <c r="T273" s="574">
        <v>33636</v>
      </c>
      <c r="U273" s="574">
        <v>228564</v>
      </c>
    </row>
    <row r="274" spans="1:21" x14ac:dyDescent="0.25">
      <c r="A274" s="569">
        <v>38900</v>
      </c>
      <c r="B274" s="570" t="s">
        <v>1039</v>
      </c>
      <c r="C274" s="571">
        <v>3.5940000000000001E-4</v>
      </c>
      <c r="D274" s="571">
        <v>3.3260000000000001E-4</v>
      </c>
      <c r="E274" s="572">
        <v>405250</v>
      </c>
      <c r="F274" s="572">
        <v>1225697</v>
      </c>
      <c r="G274" s="572">
        <v>3303257</v>
      </c>
      <c r="H274" s="572"/>
      <c r="I274" s="573">
        <v>0</v>
      </c>
      <c r="J274" s="573">
        <v>1889871</v>
      </c>
      <c r="K274" s="573">
        <v>487150</v>
      </c>
      <c r="L274" s="572">
        <v>70964</v>
      </c>
      <c r="M274" s="572"/>
      <c r="N274" s="573">
        <v>156117</v>
      </c>
      <c r="O274" s="573">
        <v>711824</v>
      </c>
      <c r="P274" s="573">
        <v>0</v>
      </c>
      <c r="Q274" s="572">
        <v>48740</v>
      </c>
      <c r="R274" s="572"/>
      <c r="S274" s="573">
        <v>632857</v>
      </c>
      <c r="T274" s="574">
        <v>-5200</v>
      </c>
      <c r="U274" s="574">
        <v>627658</v>
      </c>
    </row>
    <row r="275" spans="1:21" x14ac:dyDescent="0.25">
      <c r="A275" s="569">
        <v>39000</v>
      </c>
      <c r="B275" s="570" t="s">
        <v>1040</v>
      </c>
      <c r="C275" s="571">
        <v>1.5830199999999999E-2</v>
      </c>
      <c r="D275" s="571">
        <v>1.5730299999999999E-2</v>
      </c>
      <c r="E275" s="572">
        <v>18695919</v>
      </c>
      <c r="F275" s="572">
        <v>57969270</v>
      </c>
      <c r="G275" s="572">
        <v>145495891</v>
      </c>
      <c r="H275" s="572"/>
      <c r="I275" s="573">
        <v>0</v>
      </c>
      <c r="J275" s="573">
        <v>83241634</v>
      </c>
      <c r="K275" s="573">
        <v>21457108</v>
      </c>
      <c r="L275" s="572">
        <v>643682</v>
      </c>
      <c r="M275" s="572"/>
      <c r="N275" s="573">
        <v>6876338</v>
      </c>
      <c r="O275" s="573">
        <v>31353136</v>
      </c>
      <c r="P275" s="573">
        <v>0</v>
      </c>
      <c r="Q275" s="572">
        <v>1707340</v>
      </c>
      <c r="R275" s="572"/>
      <c r="S275" s="573">
        <v>27874956</v>
      </c>
      <c r="T275" s="574">
        <v>-497104</v>
      </c>
      <c r="U275" s="574">
        <v>27377852</v>
      </c>
    </row>
    <row r="276" spans="1:21" x14ac:dyDescent="0.25">
      <c r="A276" s="569">
        <v>39100</v>
      </c>
      <c r="B276" s="570" t="s">
        <v>1041</v>
      </c>
      <c r="C276" s="571">
        <v>2.4624E-3</v>
      </c>
      <c r="D276" s="571">
        <v>2.5027999999999999E-3</v>
      </c>
      <c r="E276" s="572">
        <v>3305540</v>
      </c>
      <c r="F276" s="572">
        <v>9223314</v>
      </c>
      <c r="G276" s="572">
        <v>22632000</v>
      </c>
      <c r="H276" s="572"/>
      <c r="I276" s="573">
        <v>0</v>
      </c>
      <c r="J276" s="573">
        <v>12948301</v>
      </c>
      <c r="K276" s="573">
        <v>3337670</v>
      </c>
      <c r="L276" s="572">
        <v>0</v>
      </c>
      <c r="M276" s="572"/>
      <c r="N276" s="573">
        <v>1069620</v>
      </c>
      <c r="O276" s="573">
        <v>4877005</v>
      </c>
      <c r="P276" s="573">
        <v>0</v>
      </c>
      <c r="Q276" s="572">
        <v>135880</v>
      </c>
      <c r="R276" s="572"/>
      <c r="S276" s="573">
        <v>4335971</v>
      </c>
      <c r="T276" s="574">
        <v>-73101</v>
      </c>
      <c r="U276" s="574">
        <v>4262870</v>
      </c>
    </row>
    <row r="277" spans="1:21" x14ac:dyDescent="0.25">
      <c r="A277" s="569">
        <v>39101</v>
      </c>
      <c r="B277" s="570" t="s">
        <v>1042</v>
      </c>
      <c r="C277" s="571">
        <v>1.7560000000000001E-4</v>
      </c>
      <c r="D277" s="571">
        <v>1.75E-4</v>
      </c>
      <c r="E277" s="572">
        <v>214530.62</v>
      </c>
      <c r="F277" s="572">
        <v>644909.65</v>
      </c>
      <c r="G277" s="572">
        <v>1613945</v>
      </c>
      <c r="H277" s="572"/>
      <c r="I277" s="573">
        <v>0</v>
      </c>
      <c r="J277" s="573">
        <v>923376</v>
      </c>
      <c r="K277" s="573">
        <v>238018</v>
      </c>
      <c r="L277" s="572">
        <v>0</v>
      </c>
      <c r="M277" s="572"/>
      <c r="N277" s="573">
        <v>76277</v>
      </c>
      <c r="O277" s="573">
        <v>347792</v>
      </c>
      <c r="P277" s="573">
        <v>0</v>
      </c>
      <c r="Q277" s="572">
        <v>26692</v>
      </c>
      <c r="R277" s="572"/>
      <c r="S277" s="573">
        <v>309209</v>
      </c>
      <c r="T277" s="574">
        <v>-10852</v>
      </c>
      <c r="U277" s="574">
        <v>298357</v>
      </c>
    </row>
    <row r="278" spans="1:21" x14ac:dyDescent="0.25">
      <c r="A278" s="569">
        <v>39105</v>
      </c>
      <c r="B278" s="570" t="s">
        <v>1043</v>
      </c>
      <c r="C278" s="571">
        <v>1.0095E-3</v>
      </c>
      <c r="D278" s="571">
        <v>1.0374E-3</v>
      </c>
      <c r="E278" s="572">
        <v>1313778</v>
      </c>
      <c r="F278" s="572">
        <v>3823024</v>
      </c>
      <c r="G278" s="572">
        <v>9278348</v>
      </c>
      <c r="H278" s="572"/>
      <c r="I278" s="573">
        <v>0</v>
      </c>
      <c r="J278" s="573">
        <v>5308362</v>
      </c>
      <c r="K278" s="573">
        <v>1368331</v>
      </c>
      <c r="L278" s="572">
        <v>90010</v>
      </c>
      <c r="M278" s="572"/>
      <c r="N278" s="573">
        <v>438508</v>
      </c>
      <c r="O278" s="573">
        <v>1999406</v>
      </c>
      <c r="P278" s="573">
        <v>0</v>
      </c>
      <c r="Q278" s="572">
        <v>74735</v>
      </c>
      <c r="R278" s="572"/>
      <c r="S278" s="573">
        <v>1777600</v>
      </c>
      <c r="T278" s="574">
        <v>21519</v>
      </c>
      <c r="U278" s="574">
        <v>1799120</v>
      </c>
    </row>
    <row r="279" spans="1:21" x14ac:dyDescent="0.25">
      <c r="A279" s="569">
        <v>39200</v>
      </c>
      <c r="B279" s="570" t="s">
        <v>1044</v>
      </c>
      <c r="C279" s="571">
        <v>6.4350400000000002E-2</v>
      </c>
      <c r="D279" s="571">
        <v>6.1601799999999998E-2</v>
      </c>
      <c r="E279" s="572">
        <v>76747294</v>
      </c>
      <c r="F279" s="572">
        <v>227014830</v>
      </c>
      <c r="G279" s="572">
        <v>591446650</v>
      </c>
      <c r="H279" s="572"/>
      <c r="I279" s="573">
        <v>0</v>
      </c>
      <c r="J279" s="573">
        <v>338380594</v>
      </c>
      <c r="K279" s="573">
        <v>87224007</v>
      </c>
      <c r="L279" s="572">
        <v>9051046</v>
      </c>
      <c r="M279" s="572"/>
      <c r="N279" s="573">
        <v>27952591</v>
      </c>
      <c r="O279" s="573">
        <v>127451759</v>
      </c>
      <c r="P279" s="573">
        <v>0</v>
      </c>
      <c r="Q279" s="572">
        <v>0</v>
      </c>
      <c r="R279" s="572"/>
      <c r="S279" s="573">
        <v>113312818</v>
      </c>
      <c r="T279" s="574">
        <v>2985489</v>
      </c>
      <c r="U279" s="574">
        <v>116298306</v>
      </c>
    </row>
    <row r="280" spans="1:21" x14ac:dyDescent="0.25">
      <c r="A280" s="569">
        <v>39201</v>
      </c>
      <c r="B280" s="570" t="s">
        <v>1045</v>
      </c>
      <c r="C280" s="571">
        <v>1.94E-4</v>
      </c>
      <c r="D280" s="571">
        <v>1.8990000000000001E-4</v>
      </c>
      <c r="E280" s="572">
        <v>194379.69</v>
      </c>
      <c r="F280" s="572">
        <v>699819</v>
      </c>
      <c r="G280" s="572">
        <v>1783060</v>
      </c>
      <c r="H280" s="572"/>
      <c r="I280" s="573">
        <v>0</v>
      </c>
      <c r="J280" s="573">
        <v>1020131</v>
      </c>
      <c r="K280" s="573">
        <v>262958</v>
      </c>
      <c r="L280" s="572">
        <v>46220</v>
      </c>
      <c r="M280" s="572"/>
      <c r="N280" s="573">
        <v>84270</v>
      </c>
      <c r="O280" s="573">
        <v>384234.46</v>
      </c>
      <c r="P280" s="573">
        <v>0</v>
      </c>
      <c r="Q280" s="572">
        <v>36210</v>
      </c>
      <c r="R280" s="572"/>
      <c r="S280" s="573">
        <v>341609</v>
      </c>
      <c r="T280" s="574">
        <v>4663</v>
      </c>
      <c r="U280" s="574">
        <v>346272</v>
      </c>
    </row>
    <row r="281" spans="1:21" x14ac:dyDescent="0.25">
      <c r="A281" s="569">
        <v>39204</v>
      </c>
      <c r="B281" s="570" t="s">
        <v>1046</v>
      </c>
      <c r="C281" s="571">
        <v>1.3359999999999999E-4</v>
      </c>
      <c r="D281" s="571">
        <v>1.167E-4</v>
      </c>
      <c r="E281" s="572">
        <v>147095.62</v>
      </c>
      <c r="F281" s="572">
        <v>430063</v>
      </c>
      <c r="G281" s="572">
        <v>1227922</v>
      </c>
      <c r="H281" s="572"/>
      <c r="I281" s="573">
        <v>0</v>
      </c>
      <c r="J281" s="573">
        <v>702523</v>
      </c>
      <c r="K281" s="573">
        <v>181089</v>
      </c>
      <c r="L281" s="572">
        <v>202630</v>
      </c>
      <c r="M281" s="572"/>
      <c r="N281" s="573">
        <v>58033</v>
      </c>
      <c r="O281" s="573">
        <v>264607</v>
      </c>
      <c r="P281" s="573">
        <v>0</v>
      </c>
      <c r="Q281" s="572">
        <v>0</v>
      </c>
      <c r="R281" s="572"/>
      <c r="S281" s="573">
        <v>235252</v>
      </c>
      <c r="T281" s="574">
        <v>80968</v>
      </c>
      <c r="U281" s="574">
        <v>316220</v>
      </c>
    </row>
    <row r="282" spans="1:21" x14ac:dyDescent="0.25">
      <c r="A282" s="569">
        <v>39205</v>
      </c>
      <c r="B282" s="570" t="s">
        <v>1047</v>
      </c>
      <c r="C282" s="571">
        <v>5.0689000000000003E-3</v>
      </c>
      <c r="D282" s="571">
        <v>4.8887000000000002E-3</v>
      </c>
      <c r="E282" s="572">
        <v>6578883</v>
      </c>
      <c r="F282" s="572">
        <v>18015827</v>
      </c>
      <c r="G282" s="572">
        <v>46588427</v>
      </c>
      <c r="H282" s="572"/>
      <c r="I282" s="573">
        <v>0</v>
      </c>
      <c r="J282" s="573">
        <v>26654339</v>
      </c>
      <c r="K282" s="573">
        <v>6870661</v>
      </c>
      <c r="L282" s="572">
        <v>2928732</v>
      </c>
      <c r="M282" s="572"/>
      <c r="N282" s="573">
        <v>2201834</v>
      </c>
      <c r="O282" s="573">
        <v>10039413</v>
      </c>
      <c r="P282" s="573">
        <v>0</v>
      </c>
      <c r="Q282" s="572">
        <v>0</v>
      </c>
      <c r="R282" s="572"/>
      <c r="S282" s="573">
        <v>8925684</v>
      </c>
      <c r="T282" s="574">
        <v>1178875</v>
      </c>
      <c r="U282" s="574">
        <v>10104559</v>
      </c>
    </row>
    <row r="283" spans="1:21" x14ac:dyDescent="0.25">
      <c r="A283" s="569">
        <v>39208</v>
      </c>
      <c r="B283" s="570" t="s">
        <v>1048</v>
      </c>
      <c r="C283" s="571">
        <v>4.0460000000000002E-4</v>
      </c>
      <c r="D283" s="571">
        <v>3.926E-4</v>
      </c>
      <c r="E283" s="572">
        <v>417318</v>
      </c>
      <c r="F283" s="572">
        <v>1446809</v>
      </c>
      <c r="G283" s="572">
        <v>3718692</v>
      </c>
      <c r="H283" s="572"/>
      <c r="I283" s="573">
        <v>0</v>
      </c>
      <c r="J283" s="573">
        <v>2127551</v>
      </c>
      <c r="K283" s="573">
        <v>548417</v>
      </c>
      <c r="L283" s="572">
        <v>0</v>
      </c>
      <c r="M283" s="572"/>
      <c r="N283" s="573">
        <v>175751</v>
      </c>
      <c r="O283" s="573">
        <v>801347</v>
      </c>
      <c r="P283" s="573">
        <v>0</v>
      </c>
      <c r="Q283" s="572">
        <v>147063</v>
      </c>
      <c r="R283" s="572"/>
      <c r="S283" s="573">
        <v>712449</v>
      </c>
      <c r="T283" s="574">
        <v>-66847</v>
      </c>
      <c r="U283" s="574">
        <v>645602</v>
      </c>
    </row>
    <row r="284" spans="1:21" x14ac:dyDescent="0.25">
      <c r="A284" s="569">
        <v>39209</v>
      </c>
      <c r="B284" s="570" t="s">
        <v>1049</v>
      </c>
      <c r="C284" s="571">
        <v>2.0369999999999999E-4</v>
      </c>
      <c r="D284" s="571">
        <v>1.7799999999999999E-4</v>
      </c>
      <c r="E284" s="572">
        <v>204766</v>
      </c>
      <c r="F284" s="572">
        <v>655965</v>
      </c>
      <c r="G284" s="572">
        <v>1872213</v>
      </c>
      <c r="H284" s="572"/>
      <c r="I284" s="573">
        <v>0</v>
      </c>
      <c r="J284" s="573">
        <v>1071138</v>
      </c>
      <c r="K284" s="573">
        <v>276106</v>
      </c>
      <c r="L284" s="572">
        <v>80092</v>
      </c>
      <c r="M284" s="572"/>
      <c r="N284" s="573">
        <v>88483</v>
      </c>
      <c r="O284" s="573">
        <v>403446</v>
      </c>
      <c r="P284" s="573">
        <v>0</v>
      </c>
      <c r="Q284" s="572">
        <v>32248</v>
      </c>
      <c r="R284" s="572"/>
      <c r="S284" s="573">
        <v>358690</v>
      </c>
      <c r="T284" s="574">
        <v>8064</v>
      </c>
      <c r="U284" s="574">
        <v>366753</v>
      </c>
    </row>
    <row r="285" spans="1:21" x14ac:dyDescent="0.25">
      <c r="A285" s="569">
        <v>39300</v>
      </c>
      <c r="B285" s="570" t="s">
        <v>1050</v>
      </c>
      <c r="C285" s="571">
        <v>9.5830000000000004E-4</v>
      </c>
      <c r="D285" s="571">
        <v>9.5180000000000004E-4</v>
      </c>
      <c r="E285" s="572">
        <v>1228877</v>
      </c>
      <c r="F285" s="572">
        <v>3507571</v>
      </c>
      <c r="G285" s="572">
        <v>8807767</v>
      </c>
      <c r="H285" s="572"/>
      <c r="I285" s="573">
        <v>0</v>
      </c>
      <c r="J285" s="573">
        <v>5039131</v>
      </c>
      <c r="K285" s="573">
        <v>1298932</v>
      </c>
      <c r="L285" s="572">
        <v>86747</v>
      </c>
      <c r="M285" s="572"/>
      <c r="N285" s="573">
        <v>416267</v>
      </c>
      <c r="O285" s="573">
        <v>1897999</v>
      </c>
      <c r="P285" s="573">
        <v>0</v>
      </c>
      <c r="Q285" s="572">
        <v>31101</v>
      </c>
      <c r="R285" s="572"/>
      <c r="S285" s="573">
        <v>1687444</v>
      </c>
      <c r="T285" s="574">
        <v>12932</v>
      </c>
      <c r="U285" s="574">
        <v>1700376</v>
      </c>
    </row>
    <row r="286" spans="1:21" x14ac:dyDescent="0.25">
      <c r="A286" s="569">
        <v>39301</v>
      </c>
      <c r="B286" s="570" t="s">
        <v>1051</v>
      </c>
      <c r="C286" s="571">
        <v>5.2299999999999997E-5</v>
      </c>
      <c r="D286" s="571">
        <v>6.4499999999999996E-5</v>
      </c>
      <c r="E286" s="572">
        <v>71062.23</v>
      </c>
      <c r="F286" s="572">
        <v>237695</v>
      </c>
      <c r="G286" s="572">
        <v>480691</v>
      </c>
      <c r="H286" s="572"/>
      <c r="I286" s="573">
        <v>0</v>
      </c>
      <c r="J286" s="573">
        <v>275015</v>
      </c>
      <c r="K286" s="573">
        <v>70890</v>
      </c>
      <c r="L286" s="572">
        <v>33180</v>
      </c>
      <c r="M286" s="572"/>
      <c r="N286" s="573">
        <v>22718</v>
      </c>
      <c r="O286" s="573">
        <v>103585</v>
      </c>
      <c r="P286" s="573">
        <v>0</v>
      </c>
      <c r="Q286" s="572">
        <v>65178</v>
      </c>
      <c r="R286" s="572"/>
      <c r="S286" s="573">
        <v>92094</v>
      </c>
      <c r="T286" s="574">
        <v>-2650</v>
      </c>
      <c r="U286" s="574">
        <v>89443</v>
      </c>
    </row>
    <row r="287" spans="1:21" x14ac:dyDescent="0.25">
      <c r="A287" s="569">
        <v>39400</v>
      </c>
      <c r="B287" s="570" t="s">
        <v>1052</v>
      </c>
      <c r="C287" s="571">
        <v>6.5919999999999998E-4</v>
      </c>
      <c r="D287" s="571">
        <v>6.8510000000000001E-4</v>
      </c>
      <c r="E287" s="572">
        <v>898724.91</v>
      </c>
      <c r="F287" s="572">
        <v>2524729</v>
      </c>
      <c r="G287" s="572">
        <v>6058729</v>
      </c>
      <c r="H287" s="572"/>
      <c r="I287" s="573">
        <v>0</v>
      </c>
      <c r="J287" s="573">
        <v>3466342</v>
      </c>
      <c r="K287" s="573">
        <v>893515</v>
      </c>
      <c r="L287" s="572">
        <v>152179</v>
      </c>
      <c r="M287" s="572"/>
      <c r="N287" s="573">
        <v>286344</v>
      </c>
      <c r="O287" s="573">
        <v>1305605</v>
      </c>
      <c r="P287" s="573">
        <v>0</v>
      </c>
      <c r="Q287" s="572">
        <v>98699</v>
      </c>
      <c r="R287" s="572"/>
      <c r="S287" s="573">
        <v>1160767</v>
      </c>
      <c r="T287" s="574">
        <v>51447</v>
      </c>
      <c r="U287" s="574">
        <v>1212213</v>
      </c>
    </row>
    <row r="288" spans="1:21" x14ac:dyDescent="0.25">
      <c r="A288" s="569">
        <v>39401</v>
      </c>
      <c r="B288" s="570" t="s">
        <v>1053</v>
      </c>
      <c r="C288" s="571">
        <v>2.22E-4</v>
      </c>
      <c r="D288" s="571">
        <v>1.6760000000000001E-4</v>
      </c>
      <c r="E288" s="572">
        <v>228226.07</v>
      </c>
      <c r="F288" s="572">
        <v>617639</v>
      </c>
      <c r="G288" s="572">
        <v>2040409</v>
      </c>
      <c r="H288" s="572"/>
      <c r="I288" s="573">
        <v>0</v>
      </c>
      <c r="J288" s="573">
        <v>1167366</v>
      </c>
      <c r="K288" s="573">
        <v>300911</v>
      </c>
      <c r="L288" s="572">
        <v>352846</v>
      </c>
      <c r="M288" s="572"/>
      <c r="N288" s="573">
        <v>96433</v>
      </c>
      <c r="O288" s="573">
        <v>439690.98</v>
      </c>
      <c r="P288" s="573">
        <v>0</v>
      </c>
      <c r="Q288" s="572">
        <v>0</v>
      </c>
      <c r="R288" s="572"/>
      <c r="S288" s="573">
        <v>390914</v>
      </c>
      <c r="T288" s="574">
        <v>131233</v>
      </c>
      <c r="U288" s="574">
        <v>522147</v>
      </c>
    </row>
    <row r="289" spans="1:21" x14ac:dyDescent="0.25">
      <c r="A289" s="569">
        <v>39500</v>
      </c>
      <c r="B289" s="570" t="s">
        <v>1054</v>
      </c>
      <c r="C289" s="571">
        <v>1.9851000000000001E-3</v>
      </c>
      <c r="D289" s="571">
        <v>1.9558000000000002E-3</v>
      </c>
      <c r="E289" s="572">
        <v>2430299</v>
      </c>
      <c r="F289" s="572">
        <v>7207510</v>
      </c>
      <c r="G289" s="572">
        <v>18245120</v>
      </c>
      <c r="H289" s="572"/>
      <c r="I289" s="573">
        <v>0</v>
      </c>
      <c r="J289" s="573">
        <v>10438464</v>
      </c>
      <c r="K289" s="573">
        <v>2690712</v>
      </c>
      <c r="L289" s="572">
        <v>67779</v>
      </c>
      <c r="M289" s="572"/>
      <c r="N289" s="573">
        <v>862290</v>
      </c>
      <c r="O289" s="573">
        <v>3931669</v>
      </c>
      <c r="P289" s="573">
        <v>0</v>
      </c>
      <c r="Q289" s="572">
        <v>51158</v>
      </c>
      <c r="R289" s="572"/>
      <c r="S289" s="573">
        <v>3495507</v>
      </c>
      <c r="T289" s="574">
        <v>10477</v>
      </c>
      <c r="U289" s="574">
        <v>3505984</v>
      </c>
    </row>
    <row r="290" spans="1:21" x14ac:dyDescent="0.25">
      <c r="A290" s="569">
        <v>39501</v>
      </c>
      <c r="B290" s="570" t="s">
        <v>1055</v>
      </c>
      <c r="C290" s="571">
        <v>6.41E-5</v>
      </c>
      <c r="D290" s="571">
        <v>6.7199999999999994E-5</v>
      </c>
      <c r="E290" s="572">
        <v>77171</v>
      </c>
      <c r="F290" s="572">
        <v>247645</v>
      </c>
      <c r="G290" s="572">
        <v>589145</v>
      </c>
      <c r="H290" s="572"/>
      <c r="I290" s="573">
        <v>0</v>
      </c>
      <c r="J290" s="573">
        <v>337064</v>
      </c>
      <c r="K290" s="573">
        <v>86885</v>
      </c>
      <c r="L290" s="572">
        <v>6068</v>
      </c>
      <c r="M290" s="572"/>
      <c r="N290" s="573">
        <v>27844</v>
      </c>
      <c r="O290" s="573">
        <v>126956</v>
      </c>
      <c r="P290" s="573">
        <v>0</v>
      </c>
      <c r="Q290" s="572">
        <v>30379</v>
      </c>
      <c r="R290" s="572"/>
      <c r="S290" s="573">
        <v>112872</v>
      </c>
      <c r="T290" s="574">
        <v>-6873</v>
      </c>
      <c r="U290" s="574">
        <v>105999</v>
      </c>
    </row>
    <row r="291" spans="1:21" x14ac:dyDescent="0.25">
      <c r="A291" s="569">
        <v>39600</v>
      </c>
      <c r="B291" s="570" t="s">
        <v>1056</v>
      </c>
      <c r="C291" s="571">
        <v>6.5063999999999999E-3</v>
      </c>
      <c r="D291" s="571">
        <v>6.4853000000000003E-3</v>
      </c>
      <c r="E291" s="572">
        <v>8224796</v>
      </c>
      <c r="F291" s="572">
        <v>23899615</v>
      </c>
      <c r="G291" s="572">
        <v>59800537</v>
      </c>
      <c r="H291" s="572"/>
      <c r="I291" s="573">
        <v>0</v>
      </c>
      <c r="J291" s="573">
        <v>34213299</v>
      </c>
      <c r="K291" s="573">
        <v>8819126</v>
      </c>
      <c r="L291" s="572">
        <v>118037</v>
      </c>
      <c r="M291" s="572"/>
      <c r="N291" s="573">
        <v>2826257</v>
      </c>
      <c r="O291" s="573">
        <v>12886511</v>
      </c>
      <c r="P291" s="573">
        <v>0</v>
      </c>
      <c r="Q291" s="572">
        <v>623421</v>
      </c>
      <c r="R291" s="572"/>
      <c r="S291" s="573">
        <v>11456938</v>
      </c>
      <c r="T291" s="574">
        <v>-306240</v>
      </c>
      <c r="U291" s="574">
        <v>11150698</v>
      </c>
    </row>
    <row r="292" spans="1:21" x14ac:dyDescent="0.25">
      <c r="A292" s="569">
        <v>39605</v>
      </c>
      <c r="B292" s="570" t="s">
        <v>1057</v>
      </c>
      <c r="C292" s="571">
        <v>9.4019999999999998E-4</v>
      </c>
      <c r="D292" s="571">
        <v>9.5520000000000002E-4</v>
      </c>
      <c r="E292" s="572">
        <v>1247635</v>
      </c>
      <c r="F292" s="572">
        <v>3520101</v>
      </c>
      <c r="G292" s="572">
        <v>8641409</v>
      </c>
      <c r="H292" s="572"/>
      <c r="I292" s="573">
        <v>0</v>
      </c>
      <c r="J292" s="573">
        <v>4943954</v>
      </c>
      <c r="K292" s="573">
        <v>1274398</v>
      </c>
      <c r="L292" s="572">
        <v>168824</v>
      </c>
      <c r="M292" s="572"/>
      <c r="N292" s="573">
        <v>408405</v>
      </c>
      <c r="O292" s="573">
        <v>1862151</v>
      </c>
      <c r="P292" s="573">
        <v>0</v>
      </c>
      <c r="Q292" s="572">
        <v>12463</v>
      </c>
      <c r="R292" s="572"/>
      <c r="S292" s="573">
        <v>1655572</v>
      </c>
      <c r="T292" s="574">
        <v>74105</v>
      </c>
      <c r="U292" s="574">
        <v>1729676</v>
      </c>
    </row>
    <row r="293" spans="1:21" x14ac:dyDescent="0.25">
      <c r="A293" s="569">
        <v>39700</v>
      </c>
      <c r="B293" s="570" t="s">
        <v>1058</v>
      </c>
      <c r="C293" s="571">
        <v>3.8947000000000001E-3</v>
      </c>
      <c r="D293" s="571">
        <v>3.9490999999999997E-3</v>
      </c>
      <c r="E293" s="572">
        <v>4694298.05</v>
      </c>
      <c r="F293" s="572">
        <v>14553215</v>
      </c>
      <c r="G293" s="572">
        <v>35796316</v>
      </c>
      <c r="H293" s="572"/>
      <c r="I293" s="573">
        <v>0</v>
      </c>
      <c r="J293" s="573">
        <v>20479918</v>
      </c>
      <c r="K293" s="573">
        <v>5279087</v>
      </c>
      <c r="L293" s="572">
        <v>268552</v>
      </c>
      <c r="M293" s="572"/>
      <c r="N293" s="573">
        <v>1691784</v>
      </c>
      <c r="O293" s="573">
        <v>7713804</v>
      </c>
      <c r="P293" s="573">
        <v>0</v>
      </c>
      <c r="Q293" s="572">
        <v>565655</v>
      </c>
      <c r="R293" s="572"/>
      <c r="S293" s="573">
        <v>6858068</v>
      </c>
      <c r="T293" s="574">
        <v>-106191</v>
      </c>
      <c r="U293" s="574">
        <v>6751877</v>
      </c>
    </row>
    <row r="294" spans="1:21" x14ac:dyDescent="0.25">
      <c r="A294" s="569">
        <v>39703</v>
      </c>
      <c r="B294" s="570" t="s">
        <v>1059</v>
      </c>
      <c r="C294" s="571">
        <v>1.199E-4</v>
      </c>
      <c r="D294" s="571">
        <v>8.6700000000000007E-5</v>
      </c>
      <c r="E294" s="572">
        <v>119538</v>
      </c>
      <c r="F294" s="572">
        <v>319507</v>
      </c>
      <c r="G294" s="572">
        <v>1102005</v>
      </c>
      <c r="H294" s="572"/>
      <c r="I294" s="573">
        <v>0</v>
      </c>
      <c r="J294" s="573">
        <v>630483</v>
      </c>
      <c r="K294" s="573">
        <v>162519</v>
      </c>
      <c r="L294" s="572">
        <v>292240</v>
      </c>
      <c r="M294" s="572"/>
      <c r="N294" s="573">
        <v>52082</v>
      </c>
      <c r="O294" s="573">
        <v>237473</v>
      </c>
      <c r="P294" s="573">
        <v>0</v>
      </c>
      <c r="Q294" s="572">
        <v>0</v>
      </c>
      <c r="R294" s="572"/>
      <c r="S294" s="573">
        <v>211129</v>
      </c>
      <c r="T294" s="574">
        <v>128316</v>
      </c>
      <c r="U294" s="574">
        <v>339444</v>
      </c>
    </row>
    <row r="295" spans="1:21" x14ac:dyDescent="0.25">
      <c r="A295" s="569">
        <v>39705</v>
      </c>
      <c r="B295" s="570" t="s">
        <v>1060</v>
      </c>
      <c r="C295" s="571">
        <v>9.0930000000000004E-4</v>
      </c>
      <c r="D295" s="571">
        <v>9.142E-4</v>
      </c>
      <c r="E295" s="572">
        <v>1194986.71</v>
      </c>
      <c r="F295" s="572">
        <v>3369008</v>
      </c>
      <c r="G295" s="572">
        <v>8357406</v>
      </c>
      <c r="H295" s="572"/>
      <c r="I295" s="573">
        <v>0</v>
      </c>
      <c r="J295" s="573">
        <v>4781469</v>
      </c>
      <c r="K295" s="573">
        <v>1232514</v>
      </c>
      <c r="L295" s="572">
        <v>222038</v>
      </c>
      <c r="M295" s="572"/>
      <c r="N295" s="573">
        <v>394983</v>
      </c>
      <c r="O295" s="573">
        <v>1800950</v>
      </c>
      <c r="P295" s="573">
        <v>0</v>
      </c>
      <c r="Q295" s="572">
        <v>0</v>
      </c>
      <c r="R295" s="572"/>
      <c r="S295" s="573">
        <v>1601161</v>
      </c>
      <c r="T295" s="574">
        <v>101669</v>
      </c>
      <c r="U295" s="574">
        <v>1702830</v>
      </c>
    </row>
    <row r="296" spans="1:21" x14ac:dyDescent="0.25">
      <c r="A296" s="569">
        <v>39800</v>
      </c>
      <c r="B296" s="570" t="s">
        <v>1061</v>
      </c>
      <c r="C296" s="571">
        <v>4.3068999999999998E-3</v>
      </c>
      <c r="D296" s="571">
        <v>4.3731000000000004E-3</v>
      </c>
      <c r="E296" s="572">
        <v>5344290</v>
      </c>
      <c r="F296" s="572">
        <v>16115739</v>
      </c>
      <c r="G296" s="572">
        <v>39584860</v>
      </c>
      <c r="H296" s="572"/>
      <c r="I296" s="573">
        <v>0</v>
      </c>
      <c r="J296" s="573">
        <v>22647433</v>
      </c>
      <c r="K296" s="573">
        <v>5837805</v>
      </c>
      <c r="L296" s="572">
        <v>0</v>
      </c>
      <c r="M296" s="572"/>
      <c r="N296" s="573">
        <v>1870836</v>
      </c>
      <c r="O296" s="573">
        <v>8530203</v>
      </c>
      <c r="P296" s="573">
        <v>0</v>
      </c>
      <c r="Q296" s="572">
        <v>819822</v>
      </c>
      <c r="R296" s="572"/>
      <c r="S296" s="573">
        <v>7583900</v>
      </c>
      <c r="T296" s="574">
        <v>-365122</v>
      </c>
      <c r="U296" s="574">
        <v>7218777</v>
      </c>
    </row>
    <row r="297" spans="1:21" x14ac:dyDescent="0.25">
      <c r="A297" s="576">
        <v>39805</v>
      </c>
      <c r="B297" s="566" t="s">
        <v>1062</v>
      </c>
      <c r="C297" s="577">
        <v>4.8710000000000002E-4</v>
      </c>
      <c r="D297" s="577">
        <v>4.8930000000000002E-4</v>
      </c>
      <c r="E297" s="572">
        <v>678122</v>
      </c>
      <c r="F297" s="572">
        <v>1803167</v>
      </c>
      <c r="G297" s="578">
        <v>4476952</v>
      </c>
      <c r="I297" s="573">
        <v>0</v>
      </c>
      <c r="J297" s="566">
        <v>2561370.0496999999</v>
      </c>
      <c r="K297" s="566">
        <v>660241.64339999994</v>
      </c>
      <c r="L297" s="566">
        <v>60555.833927609798</v>
      </c>
      <c r="N297" s="566">
        <v>211586.98509999999</v>
      </c>
      <c r="O297" s="566">
        <v>964745.38899999997</v>
      </c>
      <c r="P297" s="573">
        <v>0</v>
      </c>
      <c r="Q297" s="566">
        <v>35622.923577127403</v>
      </c>
      <c r="S297" s="566">
        <v>857720.75120000006</v>
      </c>
      <c r="T297" s="574">
        <v>-344</v>
      </c>
      <c r="U297" s="579">
        <v>857377</v>
      </c>
    </row>
    <row r="298" spans="1:21" s="565" customFormat="1" x14ac:dyDescent="0.25">
      <c r="A298" s="576">
        <v>39900</v>
      </c>
      <c r="B298" s="580" t="s">
        <v>1063</v>
      </c>
      <c r="C298" s="577">
        <v>2.1467000000000001E-3</v>
      </c>
      <c r="D298" s="577">
        <v>2.1565E-3</v>
      </c>
      <c r="E298" s="572">
        <v>2718249</v>
      </c>
      <c r="F298" s="572">
        <v>7947129</v>
      </c>
      <c r="G298" s="578">
        <v>19730391</v>
      </c>
      <c r="H298" s="581"/>
      <c r="I298" s="573">
        <v>0</v>
      </c>
      <c r="J298" s="580">
        <v>11288222.3069</v>
      </c>
      <c r="K298" s="580">
        <v>2909753.1017999998</v>
      </c>
      <c r="L298" s="580">
        <v>101989.875498482</v>
      </c>
      <c r="M298" s="580"/>
      <c r="N298" s="580">
        <v>932485.69270000001</v>
      </c>
      <c r="O298" s="580">
        <v>4251732.5530000003</v>
      </c>
      <c r="P298" s="573">
        <v>0</v>
      </c>
      <c r="Q298" s="580">
        <v>266818.631954037</v>
      </c>
      <c r="R298" s="580"/>
      <c r="S298" s="580">
        <v>3780063.9224</v>
      </c>
      <c r="T298" s="582">
        <v>-97948</v>
      </c>
      <c r="U298" s="582">
        <v>3682116</v>
      </c>
    </row>
    <row r="299" spans="1:21" x14ac:dyDescent="0.25">
      <c r="A299" s="576">
        <v>51000</v>
      </c>
      <c r="B299" s="566" t="s">
        <v>1151</v>
      </c>
      <c r="C299" s="577">
        <v>3.3725400000000003E-2</v>
      </c>
      <c r="D299" s="577">
        <v>3.5084200000000003E-2</v>
      </c>
      <c r="E299" s="572">
        <v>47171405</v>
      </c>
      <c r="F299" s="572">
        <v>132444542</v>
      </c>
      <c r="G299" s="578">
        <v>309971264</v>
      </c>
      <c r="I299" s="573">
        <v>0</v>
      </c>
      <c r="J299" s="566">
        <v>177341879.43779999</v>
      </c>
      <c r="K299" s="566">
        <v>45713228.331600003</v>
      </c>
      <c r="L299" s="566">
        <v>2309154.99830369</v>
      </c>
      <c r="N299" s="566">
        <v>14649672.977399999</v>
      </c>
      <c r="O299" s="566">
        <v>66796189.986000001</v>
      </c>
      <c r="P299" s="573">
        <v>0</v>
      </c>
      <c r="Q299" s="566">
        <v>3340984.1708170301</v>
      </c>
      <c r="S299" s="566">
        <v>59386112.548799999</v>
      </c>
      <c r="T299" s="579">
        <v>236870</v>
      </c>
      <c r="U299" s="579">
        <v>59622983</v>
      </c>
    </row>
    <row r="300" spans="1:21" x14ac:dyDescent="0.25">
      <c r="A300" s="576">
        <v>51000.2</v>
      </c>
      <c r="B300" s="566" t="s">
        <v>1152</v>
      </c>
      <c r="C300" s="577">
        <v>2.34E-5</v>
      </c>
      <c r="D300" s="577">
        <v>3.9499999999999998E-5</v>
      </c>
      <c r="E300" s="572"/>
      <c r="F300" s="572"/>
      <c r="G300" s="578">
        <v>215070</v>
      </c>
      <c r="I300" s="573">
        <v>0</v>
      </c>
      <c r="J300" s="566">
        <v>123046.72380000001</v>
      </c>
      <c r="K300" s="566">
        <v>31717.623599999999</v>
      </c>
      <c r="L300" s="566">
        <v>2601.99811680836</v>
      </c>
      <c r="N300" s="566">
        <v>10164.5154</v>
      </c>
      <c r="O300" s="566">
        <v>46345.805999999997</v>
      </c>
      <c r="P300" s="573">
        <v>0</v>
      </c>
      <c r="Q300" s="566">
        <v>48931.273209544401</v>
      </c>
      <c r="S300" s="566">
        <v>41204.404799999997</v>
      </c>
      <c r="T300" s="579">
        <v>-12675</v>
      </c>
      <c r="U300" s="579">
        <v>28530</v>
      </c>
    </row>
    <row r="301" spans="1:21" x14ac:dyDescent="0.25">
      <c r="A301" s="576">
        <v>51000.3</v>
      </c>
      <c r="B301" s="566" t="s">
        <v>1153</v>
      </c>
      <c r="C301" s="577">
        <v>7.8580000000000002E-4</v>
      </c>
      <c r="D301" s="577">
        <v>8.1579999999999999E-4</v>
      </c>
      <c r="E301" s="572"/>
      <c r="F301" s="572"/>
      <c r="G301" s="578">
        <v>7222314</v>
      </c>
      <c r="I301" s="573">
        <v>0</v>
      </c>
      <c r="J301" s="566">
        <v>4132056.2206000001</v>
      </c>
      <c r="K301" s="566">
        <v>1065115.7531999999</v>
      </c>
      <c r="L301" s="566">
        <v>53695.7760723272</v>
      </c>
      <c r="N301" s="566">
        <v>341336.58980000002</v>
      </c>
      <c r="O301" s="566">
        <v>1556347.622</v>
      </c>
      <c r="P301" s="573">
        <v>0</v>
      </c>
      <c r="Q301" s="566">
        <v>28835.667793451699</v>
      </c>
      <c r="S301" s="566">
        <v>1383693.2176000001</v>
      </c>
      <c r="T301" s="579">
        <v>19506</v>
      </c>
      <c r="U301" s="579">
        <v>1403199</v>
      </c>
    </row>
    <row r="302" spans="1:21" x14ac:dyDescent="0.25">
      <c r="A302" s="535" t="s">
        <v>1141</v>
      </c>
      <c r="B302" s="536" t="s">
        <v>1145</v>
      </c>
      <c r="C302" s="571">
        <v>4.1300000000000001E-5</v>
      </c>
      <c r="D302" s="571">
        <v>4.0399999999999999E-5</v>
      </c>
      <c r="E302" s="572">
        <v>45523.1</v>
      </c>
      <c r="F302" s="572">
        <v>148882</v>
      </c>
      <c r="G302" s="572">
        <v>379590</v>
      </c>
      <c r="H302" s="572"/>
      <c r="I302" s="573">
        <v>0</v>
      </c>
      <c r="J302" s="573">
        <v>217172</v>
      </c>
      <c r="K302" s="573">
        <v>55980</v>
      </c>
      <c r="L302" s="572">
        <v>23619</v>
      </c>
      <c r="M302" s="572"/>
      <c r="N302" s="573">
        <v>17940</v>
      </c>
      <c r="O302" s="573">
        <v>81798</v>
      </c>
      <c r="P302" s="573">
        <v>0</v>
      </c>
      <c r="Q302" s="572">
        <v>2305</v>
      </c>
      <c r="R302" s="572"/>
      <c r="S302" s="573">
        <v>72724</v>
      </c>
      <c r="T302" s="574">
        <v>9992</v>
      </c>
      <c r="U302" s="574">
        <v>82716</v>
      </c>
    </row>
    <row r="303" spans="1:21" x14ac:dyDescent="0.25">
      <c r="B303" s="566" t="s">
        <v>457</v>
      </c>
      <c r="C303" s="583">
        <f>SUM(C4:C301)</f>
        <v>1</v>
      </c>
      <c r="D303" s="583">
        <f>SUM(D4:D301)</f>
        <v>0.99999990000000005</v>
      </c>
      <c r="E303" s="584">
        <f>SUM(E4:E301)</f>
        <v>1272194394</v>
      </c>
      <c r="F303" s="584">
        <f>SUM(F4:F301)</f>
        <v>3685197999</v>
      </c>
      <c r="G303" s="584">
        <f>SUM(G4:G301)</f>
        <v>9191032996</v>
      </c>
      <c r="H303" s="584"/>
      <c r="I303" s="584">
        <f t="shared" ref="I303:U303" si="0">SUM(I4:I301)</f>
        <v>0</v>
      </c>
      <c r="J303" s="584">
        <f t="shared" si="0"/>
        <v>5258406993</v>
      </c>
      <c r="K303" s="584">
        <f t="shared" si="0"/>
        <v>1355454004</v>
      </c>
      <c r="L303" s="584">
        <f t="shared" si="0"/>
        <v>105861789</v>
      </c>
      <c r="M303" s="584"/>
      <c r="N303" s="584">
        <f t="shared" si="0"/>
        <v>434381001</v>
      </c>
      <c r="O303" s="584">
        <f t="shared" si="0"/>
        <v>1980589997</v>
      </c>
      <c r="P303" s="584">
        <f t="shared" si="0"/>
        <v>0</v>
      </c>
      <c r="Q303" s="584">
        <f t="shared" si="0"/>
        <v>105861382</v>
      </c>
      <c r="R303" s="584"/>
      <c r="S303" s="584">
        <f t="shared" si="0"/>
        <v>1760872005</v>
      </c>
      <c r="T303" s="584">
        <f t="shared" si="0"/>
        <v>156</v>
      </c>
      <c r="U303" s="584">
        <f t="shared" si="0"/>
        <v>1760872160</v>
      </c>
    </row>
    <row r="304" spans="1:21" x14ac:dyDescent="0.25">
      <c r="G304" s="585"/>
      <c r="I304" s="585"/>
      <c r="J304" s="585"/>
      <c r="K304" s="585"/>
      <c r="L304" s="586"/>
      <c r="M304" s="585"/>
      <c r="N304" s="585"/>
      <c r="O304" s="585"/>
      <c r="P304" s="585"/>
      <c r="Q304" s="585"/>
      <c r="R304" s="585"/>
      <c r="S304" s="585"/>
      <c r="T304" s="585"/>
      <c r="U304" s="585"/>
    </row>
    <row r="305" spans="2:21" hidden="1" x14ac:dyDescent="0.25">
      <c r="J305" s="587"/>
      <c r="K305" s="587"/>
      <c r="L305" s="587"/>
      <c r="M305" s="587"/>
      <c r="N305" s="587"/>
      <c r="O305" s="587"/>
      <c r="P305" s="587"/>
      <c r="Q305" s="587"/>
      <c r="R305" s="587"/>
      <c r="S305" s="587"/>
    </row>
    <row r="306" spans="2:21" hidden="1" x14ac:dyDescent="0.25">
      <c r="J306" s="588"/>
      <c r="K306" s="589"/>
      <c r="L306" s="589"/>
      <c r="M306" s="589"/>
      <c r="N306" s="589"/>
      <c r="O306" s="589"/>
      <c r="P306" s="589"/>
      <c r="Q306" s="589"/>
      <c r="R306" s="589"/>
      <c r="S306" s="588"/>
    </row>
    <row r="307" spans="2:21" hidden="1" x14ac:dyDescent="0.25">
      <c r="J307" s="588"/>
      <c r="K307" s="589"/>
      <c r="L307" s="589"/>
      <c r="M307" s="589"/>
      <c r="N307" s="589"/>
      <c r="O307" s="589"/>
      <c r="P307" s="589"/>
      <c r="Q307" s="589"/>
      <c r="R307" s="589"/>
      <c r="S307" s="588"/>
    </row>
    <row r="308" spans="2:21" hidden="1" x14ac:dyDescent="0.25">
      <c r="J308" s="588"/>
      <c r="K308" s="589"/>
      <c r="L308" s="589"/>
      <c r="M308" s="589"/>
      <c r="N308" s="589"/>
      <c r="O308" s="589"/>
      <c r="P308" s="589"/>
      <c r="Q308" s="589"/>
      <c r="R308" s="589"/>
      <c r="S308" s="588"/>
    </row>
    <row r="309" spans="2:21" hidden="1" x14ac:dyDescent="0.25">
      <c r="J309" s="588"/>
      <c r="K309" s="589"/>
      <c r="L309" s="589"/>
      <c r="M309" s="589"/>
      <c r="N309" s="589"/>
      <c r="O309" s="589"/>
      <c r="P309" s="589"/>
      <c r="Q309" s="589"/>
      <c r="R309" s="589"/>
      <c r="S309" s="588"/>
    </row>
    <row r="310" spans="2:21" hidden="1" x14ac:dyDescent="0.25">
      <c r="J310" s="588"/>
      <c r="K310" s="589"/>
      <c r="L310" s="589"/>
      <c r="M310" s="589"/>
      <c r="N310" s="589"/>
      <c r="O310" s="589"/>
      <c r="P310" s="589"/>
      <c r="Q310" s="589"/>
      <c r="R310" s="589"/>
      <c r="S310" s="588"/>
    </row>
    <row r="311" spans="2:21" hidden="1" x14ac:dyDescent="0.25">
      <c r="J311" s="588"/>
      <c r="K311" s="589"/>
      <c r="L311" s="589"/>
      <c r="M311" s="589"/>
      <c r="N311" s="589"/>
      <c r="O311" s="589"/>
      <c r="P311" s="589"/>
      <c r="Q311" s="589"/>
      <c r="R311" s="589"/>
      <c r="S311" s="588"/>
    </row>
    <row r="312" spans="2:21" hidden="1" x14ac:dyDescent="0.25">
      <c r="J312" s="588"/>
      <c r="K312" s="589"/>
      <c r="L312" s="589"/>
      <c r="M312" s="589"/>
      <c r="N312" s="589"/>
      <c r="O312" s="589"/>
      <c r="P312" s="589"/>
      <c r="Q312" s="589"/>
      <c r="R312" s="589"/>
      <c r="S312" s="588"/>
    </row>
    <row r="313" spans="2:21" hidden="1" x14ac:dyDescent="0.25">
      <c r="J313" s="588"/>
      <c r="K313" s="589"/>
      <c r="L313" s="589"/>
      <c r="M313" s="589"/>
      <c r="N313" s="589"/>
      <c r="O313" s="589"/>
      <c r="P313" s="589"/>
      <c r="Q313" s="589"/>
      <c r="R313" s="589"/>
      <c r="S313" s="588"/>
    </row>
    <row r="314" spans="2:21" hidden="1" x14ac:dyDescent="0.25">
      <c r="J314" s="587"/>
      <c r="K314" s="587"/>
      <c r="L314" s="587"/>
      <c r="M314" s="587"/>
      <c r="N314" s="587"/>
      <c r="O314" s="587"/>
      <c r="P314" s="587"/>
      <c r="Q314" s="587"/>
      <c r="R314" s="587"/>
      <c r="S314" s="587"/>
    </row>
    <row r="316" spans="2:21" x14ac:dyDescent="0.25">
      <c r="G316" s="590"/>
      <c r="H316" s="590"/>
      <c r="I316" s="590"/>
      <c r="J316" s="590"/>
      <c r="K316" s="575"/>
      <c r="L316" s="590"/>
      <c r="M316" s="590"/>
      <c r="N316" s="590"/>
      <c r="O316" s="590"/>
      <c r="P316" s="590"/>
      <c r="Q316" s="590"/>
      <c r="R316" s="591"/>
      <c r="S316" s="590"/>
      <c r="T316" s="590"/>
      <c r="U316" s="590"/>
    </row>
    <row r="317" spans="2:21" x14ac:dyDescent="0.25">
      <c r="B317" s="570" t="s">
        <v>911</v>
      </c>
      <c r="C317" s="569">
        <v>33501</v>
      </c>
    </row>
    <row r="318" spans="2:21" x14ac:dyDescent="0.25">
      <c r="B318" s="570" t="s">
        <v>974</v>
      </c>
      <c r="C318" s="569">
        <v>36301</v>
      </c>
    </row>
    <row r="319" spans="2:21" x14ac:dyDescent="0.25">
      <c r="B319" s="570" t="s">
        <v>779</v>
      </c>
      <c r="C319" s="569">
        <v>10800</v>
      </c>
    </row>
    <row r="320" spans="2:21" x14ac:dyDescent="0.25">
      <c r="B320" s="570" t="s">
        <v>835</v>
      </c>
      <c r="C320" s="569">
        <v>30105</v>
      </c>
      <c r="G320" s="585"/>
      <c r="L320" s="592"/>
    </row>
    <row r="321" spans="2:14" x14ac:dyDescent="0.25">
      <c r="B321" s="570" t="s">
        <v>831</v>
      </c>
      <c r="C321" s="569">
        <v>30100</v>
      </c>
      <c r="G321" s="585"/>
      <c r="L321" s="592"/>
    </row>
    <row r="322" spans="2:14" x14ac:dyDescent="0.25">
      <c r="B322" s="570" t="s">
        <v>836</v>
      </c>
      <c r="C322" s="569">
        <v>30200</v>
      </c>
      <c r="G322" s="585"/>
    </row>
    <row r="323" spans="2:14" x14ac:dyDescent="0.25">
      <c r="B323" s="570" t="s">
        <v>837</v>
      </c>
      <c r="C323" s="569">
        <v>30300</v>
      </c>
      <c r="G323" s="585"/>
      <c r="K323" s="592"/>
      <c r="L323" s="592"/>
      <c r="M323" s="592"/>
      <c r="N323" s="592"/>
    </row>
    <row r="324" spans="2:14" x14ac:dyDescent="0.25">
      <c r="B324" s="570" t="s">
        <v>935</v>
      </c>
      <c r="C324" s="569">
        <v>34901</v>
      </c>
      <c r="G324" s="585"/>
      <c r="K324" s="592"/>
      <c r="L324" s="592"/>
      <c r="M324" s="592"/>
      <c r="N324" s="592"/>
    </row>
    <row r="325" spans="2:14" x14ac:dyDescent="0.25">
      <c r="B325" s="570" t="s">
        <v>838</v>
      </c>
      <c r="C325" s="569">
        <v>30400</v>
      </c>
      <c r="G325" s="585"/>
      <c r="K325" s="592"/>
      <c r="L325" s="592"/>
      <c r="M325" s="592"/>
      <c r="N325" s="592"/>
    </row>
    <row r="326" spans="2:14" x14ac:dyDescent="0.25">
      <c r="B326" s="570" t="s">
        <v>810</v>
      </c>
      <c r="C326" s="569">
        <v>20100</v>
      </c>
      <c r="G326" s="585"/>
    </row>
    <row r="327" spans="2:14" x14ac:dyDescent="0.25">
      <c r="B327" s="570" t="s">
        <v>993</v>
      </c>
      <c r="C327" s="569">
        <v>36901</v>
      </c>
      <c r="G327" s="585"/>
    </row>
    <row r="328" spans="2:14" x14ac:dyDescent="0.25">
      <c r="B328" s="570" t="s">
        <v>907</v>
      </c>
      <c r="C328" s="569">
        <v>33402</v>
      </c>
    </row>
    <row r="329" spans="2:14" x14ac:dyDescent="0.25">
      <c r="B329" s="570" t="s">
        <v>840</v>
      </c>
      <c r="C329" s="569">
        <v>30500</v>
      </c>
    </row>
    <row r="330" spans="2:14" x14ac:dyDescent="0.25">
      <c r="B330" s="570" t="s">
        <v>1008</v>
      </c>
      <c r="C330" s="569">
        <v>37610</v>
      </c>
    </row>
    <row r="331" spans="2:14" x14ac:dyDescent="0.25">
      <c r="B331" s="570" t="s">
        <v>854</v>
      </c>
      <c r="C331" s="569">
        <v>31110</v>
      </c>
    </row>
    <row r="332" spans="2:14" x14ac:dyDescent="0.25">
      <c r="B332" s="570" t="s">
        <v>853</v>
      </c>
      <c r="C332" s="569">
        <v>31105</v>
      </c>
      <c r="L332" s="593"/>
    </row>
    <row r="333" spans="2:14" x14ac:dyDescent="0.25">
      <c r="B333" s="570" t="s">
        <v>841</v>
      </c>
      <c r="C333" s="569">
        <v>30600</v>
      </c>
    </row>
    <row r="334" spans="2:14" x14ac:dyDescent="0.25">
      <c r="B334" s="570" t="s">
        <v>802</v>
      </c>
      <c r="C334" s="569">
        <v>18600</v>
      </c>
    </row>
    <row r="335" spans="2:14" x14ac:dyDescent="0.25">
      <c r="B335" s="570" t="s">
        <v>903</v>
      </c>
      <c r="C335" s="569">
        <v>33206</v>
      </c>
    </row>
    <row r="336" spans="2:14" x14ac:dyDescent="0.25">
      <c r="B336" s="570" t="s">
        <v>844</v>
      </c>
      <c r="C336" s="569">
        <v>30705</v>
      </c>
    </row>
    <row r="337" spans="2:3" x14ac:dyDescent="0.25">
      <c r="B337" s="570" t="s">
        <v>843</v>
      </c>
      <c r="C337" s="569">
        <v>30700</v>
      </c>
    </row>
    <row r="338" spans="2:3" x14ac:dyDescent="0.25">
      <c r="B338" s="570" t="s">
        <v>845</v>
      </c>
      <c r="C338" s="569">
        <v>30800</v>
      </c>
    </row>
    <row r="339" spans="2:3" x14ac:dyDescent="0.25">
      <c r="B339" s="570" t="s">
        <v>1015</v>
      </c>
      <c r="C339" s="569">
        <v>37901</v>
      </c>
    </row>
    <row r="340" spans="2:3" x14ac:dyDescent="0.25">
      <c r="B340" s="570" t="s">
        <v>847</v>
      </c>
      <c r="C340" s="569">
        <v>30905</v>
      </c>
    </row>
    <row r="341" spans="2:3" x14ac:dyDescent="0.25">
      <c r="B341" s="570" t="s">
        <v>846</v>
      </c>
      <c r="C341" s="569">
        <v>30900</v>
      </c>
    </row>
    <row r="342" spans="2:3" x14ac:dyDescent="0.25">
      <c r="B342" s="570" t="s">
        <v>929</v>
      </c>
      <c r="C342" s="569">
        <v>34505</v>
      </c>
    </row>
    <row r="343" spans="2:3" x14ac:dyDescent="0.25">
      <c r="B343" s="570" t="s">
        <v>1038</v>
      </c>
      <c r="C343" s="569">
        <v>38801</v>
      </c>
    </row>
    <row r="344" spans="2:3" x14ac:dyDescent="0.25">
      <c r="B344" s="570" t="s">
        <v>1030</v>
      </c>
      <c r="C344" s="569">
        <v>38601</v>
      </c>
    </row>
    <row r="345" spans="2:3" x14ac:dyDescent="0.25">
      <c r="B345" s="570" t="s">
        <v>849</v>
      </c>
      <c r="C345" s="569">
        <v>31005</v>
      </c>
    </row>
    <row r="346" spans="2:3" x14ac:dyDescent="0.25">
      <c r="B346" s="570" t="s">
        <v>848</v>
      </c>
      <c r="C346" s="569">
        <v>31000</v>
      </c>
    </row>
    <row r="347" spans="2:3" x14ac:dyDescent="0.25">
      <c r="B347" s="570" t="s">
        <v>850</v>
      </c>
      <c r="C347" s="569">
        <v>31100</v>
      </c>
    </row>
    <row r="348" spans="2:3" x14ac:dyDescent="0.25">
      <c r="B348" s="570" t="s">
        <v>855</v>
      </c>
      <c r="C348" s="569">
        <v>31200</v>
      </c>
    </row>
    <row r="349" spans="2:3" x14ac:dyDescent="0.25">
      <c r="B349" s="570" t="s">
        <v>857</v>
      </c>
      <c r="C349" s="569">
        <v>31300</v>
      </c>
    </row>
    <row r="350" spans="2:3" x14ac:dyDescent="0.25">
      <c r="B350" s="570" t="s">
        <v>861</v>
      </c>
      <c r="C350" s="569">
        <v>31405</v>
      </c>
    </row>
    <row r="351" spans="2:3" x14ac:dyDescent="0.25">
      <c r="B351" s="570" t="s">
        <v>860</v>
      </c>
      <c r="C351" s="569">
        <v>31400</v>
      </c>
    </row>
    <row r="352" spans="2:3" x14ac:dyDescent="0.25">
      <c r="B352" s="570" t="s">
        <v>862</v>
      </c>
      <c r="C352" s="569">
        <v>31500</v>
      </c>
    </row>
    <row r="353" spans="2:3" x14ac:dyDescent="0.25">
      <c r="B353" s="570" t="s">
        <v>982</v>
      </c>
      <c r="C353" s="569">
        <v>36505</v>
      </c>
    </row>
    <row r="354" spans="2:3" x14ac:dyDescent="0.25">
      <c r="B354" s="570" t="s">
        <v>980</v>
      </c>
      <c r="C354" s="569">
        <v>36501</v>
      </c>
    </row>
    <row r="355" spans="2:3" x14ac:dyDescent="0.25">
      <c r="B355" s="570" t="s">
        <v>864</v>
      </c>
      <c r="C355" s="569">
        <v>31601</v>
      </c>
    </row>
    <row r="356" spans="2:3" x14ac:dyDescent="0.25">
      <c r="B356" s="570" t="s">
        <v>858</v>
      </c>
      <c r="C356" s="569">
        <v>31301</v>
      </c>
    </row>
    <row r="357" spans="2:3" x14ac:dyDescent="0.25">
      <c r="B357" s="570" t="s">
        <v>865</v>
      </c>
      <c r="C357" s="569">
        <v>31605</v>
      </c>
    </row>
    <row r="358" spans="2:3" x14ac:dyDescent="0.25">
      <c r="B358" s="570" t="s">
        <v>863</v>
      </c>
      <c r="C358" s="569">
        <v>31600</v>
      </c>
    </row>
    <row r="359" spans="2:3" x14ac:dyDescent="0.25">
      <c r="B359" s="570" t="s">
        <v>1049</v>
      </c>
      <c r="C359" s="569">
        <v>39209</v>
      </c>
    </row>
    <row r="360" spans="2:3" x14ac:dyDescent="0.25">
      <c r="B360" s="570" t="s">
        <v>866</v>
      </c>
      <c r="C360" s="569">
        <v>31700</v>
      </c>
    </row>
    <row r="361" spans="2:3" x14ac:dyDescent="0.25">
      <c r="B361" s="570" t="s">
        <v>867</v>
      </c>
      <c r="C361" s="569">
        <v>31800</v>
      </c>
    </row>
    <row r="362" spans="2:3" x14ac:dyDescent="0.25">
      <c r="B362" s="570" t="s">
        <v>868</v>
      </c>
      <c r="C362" s="569">
        <v>31805</v>
      </c>
    </row>
    <row r="363" spans="2:3" x14ac:dyDescent="0.25">
      <c r="B363" s="570" t="s">
        <v>946</v>
      </c>
      <c r="C363" s="569">
        <v>35305</v>
      </c>
    </row>
    <row r="364" spans="2:3" x14ac:dyDescent="0.25">
      <c r="B364" s="570" t="s">
        <v>899</v>
      </c>
      <c r="C364" s="569">
        <v>33202</v>
      </c>
    </row>
    <row r="365" spans="2:3" x14ac:dyDescent="0.25">
      <c r="B365" s="570" t="s">
        <v>963</v>
      </c>
      <c r="C365" s="569">
        <v>36005</v>
      </c>
    </row>
    <row r="366" spans="2:3" x14ac:dyDescent="0.25">
      <c r="B366" s="570" t="s">
        <v>991</v>
      </c>
      <c r="C366" s="569">
        <v>36810</v>
      </c>
    </row>
    <row r="367" spans="2:3" x14ac:dyDescent="0.25">
      <c r="B367" s="570" t="s">
        <v>967</v>
      </c>
      <c r="C367" s="569">
        <v>36009</v>
      </c>
    </row>
    <row r="368" spans="2:3" x14ac:dyDescent="0.25">
      <c r="B368" s="570" t="s">
        <v>958</v>
      </c>
      <c r="C368" s="569">
        <v>36000</v>
      </c>
    </row>
    <row r="369" spans="2:3" x14ac:dyDescent="0.25">
      <c r="B369" s="570" t="s">
        <v>871</v>
      </c>
      <c r="C369" s="569">
        <v>31900</v>
      </c>
    </row>
    <row r="370" spans="2:3" x14ac:dyDescent="0.25">
      <c r="B370" s="570" t="s">
        <v>872</v>
      </c>
      <c r="C370" s="569">
        <v>32000</v>
      </c>
    </row>
    <row r="371" spans="2:3" x14ac:dyDescent="0.25">
      <c r="B371" s="570" t="s">
        <v>948</v>
      </c>
      <c r="C371" s="569">
        <v>35401</v>
      </c>
    </row>
    <row r="372" spans="2:3" x14ac:dyDescent="0.25">
      <c r="B372" s="570" t="s">
        <v>875</v>
      </c>
      <c r="C372" s="569">
        <v>32200</v>
      </c>
    </row>
    <row r="373" spans="2:3" x14ac:dyDescent="0.25">
      <c r="B373" s="570" t="s">
        <v>876</v>
      </c>
      <c r="C373" s="569">
        <v>32300</v>
      </c>
    </row>
    <row r="374" spans="2:3" x14ac:dyDescent="0.25">
      <c r="B374" s="570" t="s">
        <v>877</v>
      </c>
      <c r="C374" s="569">
        <v>32305</v>
      </c>
    </row>
    <row r="375" spans="2:3" x14ac:dyDescent="0.25">
      <c r="B375" s="570" t="s">
        <v>1023</v>
      </c>
      <c r="C375" s="569">
        <v>38210</v>
      </c>
    </row>
    <row r="376" spans="2:3" x14ac:dyDescent="0.25">
      <c r="B376" s="570" t="s">
        <v>832</v>
      </c>
      <c r="C376" s="569">
        <v>30102</v>
      </c>
    </row>
    <row r="377" spans="2:3" x14ac:dyDescent="0.25">
      <c r="B377" s="570" t="s">
        <v>987</v>
      </c>
      <c r="C377" s="569">
        <v>36705</v>
      </c>
    </row>
    <row r="378" spans="2:3" x14ac:dyDescent="0.25">
      <c r="B378" s="570" t="s">
        <v>996</v>
      </c>
      <c r="C378" s="569">
        <v>37005</v>
      </c>
    </row>
    <row r="379" spans="2:3" x14ac:dyDescent="0.25">
      <c r="B379" s="570" t="s">
        <v>878</v>
      </c>
      <c r="C379" s="569">
        <v>32400</v>
      </c>
    </row>
    <row r="380" spans="2:3" x14ac:dyDescent="0.25">
      <c r="B380" s="570" t="s">
        <v>959</v>
      </c>
      <c r="C380" s="569">
        <v>36001</v>
      </c>
    </row>
    <row r="381" spans="2:3" x14ac:dyDescent="0.25">
      <c r="B381" s="570" t="s">
        <v>808</v>
      </c>
      <c r="C381" s="569">
        <v>19005</v>
      </c>
    </row>
    <row r="382" spans="2:3" x14ac:dyDescent="0.25">
      <c r="B382" s="570" t="s">
        <v>961</v>
      </c>
      <c r="C382" s="569">
        <v>36003</v>
      </c>
    </row>
    <row r="383" spans="2:3" x14ac:dyDescent="0.25">
      <c r="B383" s="570" t="s">
        <v>895</v>
      </c>
      <c r="C383" s="569">
        <v>33027</v>
      </c>
    </row>
    <row r="384" spans="2:3" x14ac:dyDescent="0.25">
      <c r="B384" s="570" t="s">
        <v>962</v>
      </c>
      <c r="C384" s="569">
        <v>36004</v>
      </c>
    </row>
    <row r="385" spans="2:3" x14ac:dyDescent="0.25">
      <c r="B385" s="570" t="s">
        <v>883</v>
      </c>
      <c r="C385" s="569">
        <v>32505</v>
      </c>
    </row>
    <row r="386" spans="2:3" x14ac:dyDescent="0.25">
      <c r="B386" s="570" t="s">
        <v>884</v>
      </c>
      <c r="C386" s="569">
        <v>32600</v>
      </c>
    </row>
    <row r="387" spans="2:3" x14ac:dyDescent="0.25">
      <c r="B387" s="570" t="s">
        <v>886</v>
      </c>
      <c r="C387" s="569">
        <v>32700</v>
      </c>
    </row>
    <row r="388" spans="2:3" x14ac:dyDescent="0.25">
      <c r="B388" s="570" t="s">
        <v>887</v>
      </c>
      <c r="C388" s="569">
        <v>32800</v>
      </c>
    </row>
    <row r="389" spans="2:3" x14ac:dyDescent="0.25">
      <c r="B389" s="570" t="s">
        <v>890</v>
      </c>
      <c r="C389" s="569">
        <v>32905</v>
      </c>
    </row>
    <row r="390" spans="2:3" x14ac:dyDescent="0.25">
      <c r="B390" s="570" t="s">
        <v>888</v>
      </c>
      <c r="C390" s="569">
        <v>32900</v>
      </c>
    </row>
    <row r="391" spans="2:3" x14ac:dyDescent="0.25">
      <c r="B391" s="570" t="s">
        <v>893</v>
      </c>
      <c r="C391" s="569">
        <v>33000</v>
      </c>
    </row>
    <row r="392" spans="2:3" x14ac:dyDescent="0.25">
      <c r="B392" s="570" t="s">
        <v>781</v>
      </c>
      <c r="C392" s="569">
        <v>10900</v>
      </c>
    </row>
    <row r="393" spans="2:3" x14ac:dyDescent="0.25">
      <c r="B393" s="570" t="s">
        <v>801</v>
      </c>
      <c r="C393" s="569">
        <v>18400</v>
      </c>
    </row>
    <row r="394" spans="2:3" x14ac:dyDescent="0.25">
      <c r="B394" s="570" t="s">
        <v>794</v>
      </c>
      <c r="C394" s="569">
        <v>12510</v>
      </c>
    </row>
    <row r="395" spans="2:3" x14ac:dyDescent="0.25">
      <c r="B395" s="570" t="s">
        <v>778</v>
      </c>
      <c r="C395" s="569">
        <v>10700</v>
      </c>
    </row>
    <row r="396" spans="2:3" x14ac:dyDescent="0.25">
      <c r="B396" s="570" t="s">
        <v>776</v>
      </c>
      <c r="C396" s="569">
        <v>10400</v>
      </c>
    </row>
    <row r="397" spans="2:3" x14ac:dyDescent="0.25">
      <c r="B397" s="570" t="s">
        <v>826</v>
      </c>
      <c r="C397" s="569">
        <v>22000</v>
      </c>
    </row>
    <row r="398" spans="2:3" x14ac:dyDescent="0.25">
      <c r="B398" s="570" t="s">
        <v>809</v>
      </c>
      <c r="C398" s="569">
        <v>19100</v>
      </c>
    </row>
    <row r="399" spans="2:3" x14ac:dyDescent="0.25">
      <c r="B399" s="570" t="s">
        <v>908</v>
      </c>
      <c r="C399" s="575">
        <v>33403</v>
      </c>
    </row>
    <row r="400" spans="2:3" x14ac:dyDescent="0.25">
      <c r="B400" s="570" t="s">
        <v>896</v>
      </c>
      <c r="C400" s="569">
        <v>33100</v>
      </c>
    </row>
    <row r="401" spans="2:3" x14ac:dyDescent="0.25">
      <c r="B401" s="570" t="s">
        <v>898</v>
      </c>
      <c r="C401" s="569">
        <v>33200</v>
      </c>
    </row>
    <row r="402" spans="2:3" x14ac:dyDescent="0.25">
      <c r="B402" s="570" t="s">
        <v>902</v>
      </c>
      <c r="C402" s="569">
        <v>33205</v>
      </c>
    </row>
    <row r="403" spans="2:3" x14ac:dyDescent="0.25">
      <c r="B403" s="570" t="s">
        <v>812</v>
      </c>
      <c r="C403" s="569">
        <v>20300</v>
      </c>
    </row>
    <row r="404" spans="2:3" x14ac:dyDescent="0.25">
      <c r="B404" s="570" t="s">
        <v>1048</v>
      </c>
      <c r="C404" s="569">
        <v>39208</v>
      </c>
    </row>
    <row r="405" spans="2:3" x14ac:dyDescent="0.25">
      <c r="B405" s="570" t="s">
        <v>874</v>
      </c>
      <c r="C405" s="569">
        <v>32100</v>
      </c>
    </row>
    <row r="406" spans="2:3" x14ac:dyDescent="0.25">
      <c r="B406" s="570" t="s">
        <v>904</v>
      </c>
      <c r="C406" s="569">
        <v>33300</v>
      </c>
    </row>
    <row r="407" spans="2:3" x14ac:dyDescent="0.25">
      <c r="B407" s="570" t="s">
        <v>905</v>
      </c>
      <c r="C407" s="569">
        <v>33305</v>
      </c>
    </row>
    <row r="408" spans="2:3" x14ac:dyDescent="0.25">
      <c r="B408" s="570" t="s">
        <v>995</v>
      </c>
      <c r="C408" s="569">
        <v>37000</v>
      </c>
    </row>
    <row r="409" spans="2:3" x14ac:dyDescent="0.25">
      <c r="B409" s="570" t="s">
        <v>813</v>
      </c>
      <c r="C409" s="569">
        <v>20400</v>
      </c>
    </row>
    <row r="410" spans="2:3" x14ac:dyDescent="0.25">
      <c r="B410" s="570" t="s">
        <v>1034</v>
      </c>
      <c r="C410" s="569">
        <v>38620</v>
      </c>
    </row>
    <row r="411" spans="2:3" x14ac:dyDescent="0.25">
      <c r="B411" s="570" t="s">
        <v>1045</v>
      </c>
      <c r="C411" s="569">
        <v>39201</v>
      </c>
    </row>
    <row r="412" spans="2:3" x14ac:dyDescent="0.25">
      <c r="B412" s="570" t="s">
        <v>786</v>
      </c>
      <c r="C412" s="569">
        <v>11300</v>
      </c>
    </row>
    <row r="413" spans="2:3" x14ac:dyDescent="0.25">
      <c r="B413" s="570" t="s">
        <v>852</v>
      </c>
      <c r="C413" s="569">
        <v>31102</v>
      </c>
    </row>
    <row r="414" spans="2:3" x14ac:dyDescent="0.25">
      <c r="B414" s="570" t="s">
        <v>851</v>
      </c>
      <c r="C414" s="569">
        <v>31101</v>
      </c>
    </row>
    <row r="415" spans="2:3" x14ac:dyDescent="0.25">
      <c r="B415" s="570" t="s">
        <v>814</v>
      </c>
      <c r="C415" s="569">
        <v>20600</v>
      </c>
    </row>
    <row r="416" spans="2:3" x14ac:dyDescent="0.25">
      <c r="B416" s="570" t="s">
        <v>885</v>
      </c>
      <c r="C416" s="569">
        <v>32605</v>
      </c>
    </row>
    <row r="417" spans="2:3" x14ac:dyDescent="0.25">
      <c r="B417" s="570" t="s">
        <v>909</v>
      </c>
      <c r="C417" s="575">
        <v>33405</v>
      </c>
    </row>
    <row r="418" spans="2:3" x14ac:dyDescent="0.25">
      <c r="B418" s="570" t="s">
        <v>910</v>
      </c>
      <c r="C418" s="575">
        <v>33500</v>
      </c>
    </row>
    <row r="419" spans="2:3" x14ac:dyDescent="0.25">
      <c r="B419" s="570" t="s">
        <v>913</v>
      </c>
      <c r="C419" s="569">
        <v>33605</v>
      </c>
    </row>
    <row r="420" spans="2:3" x14ac:dyDescent="0.25">
      <c r="B420" s="570" t="s">
        <v>984</v>
      </c>
      <c r="C420" s="569">
        <v>36601</v>
      </c>
    </row>
    <row r="421" spans="2:3" x14ac:dyDescent="0.25">
      <c r="B421" s="570" t="s">
        <v>912</v>
      </c>
      <c r="C421" s="569">
        <v>33600</v>
      </c>
    </row>
    <row r="422" spans="2:3" x14ac:dyDescent="0.25">
      <c r="B422" s="570" t="s">
        <v>914</v>
      </c>
      <c r="C422" s="569">
        <v>33700</v>
      </c>
    </row>
    <row r="423" spans="2:3" x14ac:dyDescent="0.25">
      <c r="B423" s="570" t="s">
        <v>792</v>
      </c>
      <c r="C423" s="569">
        <v>12160</v>
      </c>
    </row>
    <row r="424" spans="2:3" x14ac:dyDescent="0.25">
      <c r="B424" s="570" t="s">
        <v>790</v>
      </c>
      <c r="C424" s="569">
        <v>12100</v>
      </c>
    </row>
    <row r="425" spans="2:3" x14ac:dyDescent="0.25">
      <c r="B425" s="570" t="s">
        <v>915</v>
      </c>
      <c r="C425" s="569">
        <v>33800</v>
      </c>
    </row>
    <row r="426" spans="2:3" x14ac:dyDescent="0.25">
      <c r="B426" s="570" t="s">
        <v>842</v>
      </c>
      <c r="C426" s="569">
        <v>30601</v>
      </c>
    </row>
    <row r="427" spans="2:3" x14ac:dyDescent="0.25">
      <c r="B427" s="570" t="s">
        <v>916</v>
      </c>
      <c r="C427" s="569">
        <v>33900</v>
      </c>
    </row>
    <row r="428" spans="2:3" x14ac:dyDescent="0.25">
      <c r="B428" s="570" t="s">
        <v>1026</v>
      </c>
      <c r="C428" s="569">
        <v>38402</v>
      </c>
    </row>
    <row r="429" spans="2:3" x14ac:dyDescent="0.25">
      <c r="B429" s="570" t="s">
        <v>917</v>
      </c>
      <c r="C429" s="569">
        <v>34000</v>
      </c>
    </row>
    <row r="430" spans="2:3" x14ac:dyDescent="0.25">
      <c r="B430" s="570" t="s">
        <v>918</v>
      </c>
      <c r="C430" s="569">
        <v>34100</v>
      </c>
    </row>
    <row r="431" spans="2:3" x14ac:dyDescent="0.25">
      <c r="B431" s="570" t="s">
        <v>919</v>
      </c>
      <c r="C431" s="569">
        <v>34105</v>
      </c>
    </row>
    <row r="432" spans="2:3" x14ac:dyDescent="0.25">
      <c r="B432" s="570" t="s">
        <v>921</v>
      </c>
      <c r="C432" s="569">
        <v>34205</v>
      </c>
    </row>
    <row r="433" spans="2:3" x14ac:dyDescent="0.25">
      <c r="B433" s="570" t="s">
        <v>920</v>
      </c>
      <c r="C433" s="569">
        <v>34200</v>
      </c>
    </row>
    <row r="434" spans="2:3" x14ac:dyDescent="0.25">
      <c r="B434" s="570" t="s">
        <v>1051</v>
      </c>
      <c r="C434" s="569">
        <v>39301</v>
      </c>
    </row>
    <row r="435" spans="2:3" x14ac:dyDescent="0.25">
      <c r="B435" s="570" t="s">
        <v>924</v>
      </c>
      <c r="C435" s="569">
        <v>34300</v>
      </c>
    </row>
    <row r="436" spans="2:3" x14ac:dyDescent="0.25">
      <c r="B436" s="570" t="s">
        <v>925</v>
      </c>
      <c r="C436" s="569">
        <v>34400</v>
      </c>
    </row>
    <row r="437" spans="2:3" x14ac:dyDescent="0.25">
      <c r="B437" s="570" t="s">
        <v>926</v>
      </c>
      <c r="C437" s="569">
        <v>34405</v>
      </c>
    </row>
    <row r="438" spans="2:3" x14ac:dyDescent="0.25">
      <c r="B438" s="570" t="s">
        <v>793</v>
      </c>
      <c r="C438" s="569">
        <v>12220</v>
      </c>
    </row>
    <row r="439" spans="2:3" x14ac:dyDescent="0.25">
      <c r="B439" s="570" t="s">
        <v>900</v>
      </c>
      <c r="C439" s="569">
        <v>33203</v>
      </c>
    </row>
    <row r="440" spans="2:3" x14ac:dyDescent="0.25">
      <c r="B440" s="570" t="s">
        <v>1053</v>
      </c>
      <c r="C440" s="569">
        <v>39401</v>
      </c>
    </row>
    <row r="441" spans="2:3" x14ac:dyDescent="0.25">
      <c r="B441" s="570" t="s">
        <v>927</v>
      </c>
      <c r="C441" s="569">
        <v>34500</v>
      </c>
    </row>
    <row r="442" spans="2:3" x14ac:dyDescent="0.25">
      <c r="B442" s="570" t="s">
        <v>930</v>
      </c>
      <c r="C442" s="569">
        <v>34600</v>
      </c>
    </row>
    <row r="443" spans="2:3" x14ac:dyDescent="0.25">
      <c r="B443" s="570" t="s">
        <v>869</v>
      </c>
      <c r="C443" s="569">
        <v>31810</v>
      </c>
    </row>
    <row r="444" spans="2:3" x14ac:dyDescent="0.25">
      <c r="B444" s="566" t="s">
        <v>1152</v>
      </c>
      <c r="C444" s="576">
        <v>51000.2</v>
      </c>
    </row>
    <row r="445" spans="2:3" x14ac:dyDescent="0.25">
      <c r="B445" s="566" t="s">
        <v>1153</v>
      </c>
      <c r="C445" s="576">
        <v>51000.3</v>
      </c>
    </row>
    <row r="446" spans="2:3" x14ac:dyDescent="0.25">
      <c r="B446" s="566" t="s">
        <v>1151</v>
      </c>
      <c r="C446" s="576">
        <v>51000</v>
      </c>
    </row>
    <row r="447" spans="2:3" x14ac:dyDescent="0.25">
      <c r="B447" s="570" t="s">
        <v>932</v>
      </c>
      <c r="C447" s="569">
        <v>34700</v>
      </c>
    </row>
    <row r="448" spans="2:3" x14ac:dyDescent="0.25">
      <c r="B448" s="570" t="s">
        <v>933</v>
      </c>
      <c r="C448" s="569">
        <v>34800</v>
      </c>
    </row>
    <row r="449" spans="2:3" x14ac:dyDescent="0.25">
      <c r="B449" s="570" t="s">
        <v>783</v>
      </c>
      <c r="C449" s="569">
        <v>10930</v>
      </c>
    </row>
    <row r="450" spans="2:3" x14ac:dyDescent="0.25">
      <c r="B450" s="570" t="s">
        <v>795</v>
      </c>
      <c r="C450" s="569">
        <v>12600</v>
      </c>
    </row>
    <row r="451" spans="2:3" x14ac:dyDescent="0.25">
      <c r="B451" s="570" t="s">
        <v>1117</v>
      </c>
      <c r="C451" s="569">
        <v>33207</v>
      </c>
    </row>
    <row r="452" spans="2:3" x14ac:dyDescent="0.25">
      <c r="B452" s="570" t="s">
        <v>889</v>
      </c>
      <c r="C452" s="569">
        <v>32901</v>
      </c>
    </row>
    <row r="453" spans="2:3" x14ac:dyDescent="0.25">
      <c r="B453" s="570" t="s">
        <v>934</v>
      </c>
      <c r="C453" s="569">
        <v>34900</v>
      </c>
    </row>
    <row r="454" spans="2:3" x14ac:dyDescent="0.25">
      <c r="B454" s="570" t="s">
        <v>1020</v>
      </c>
      <c r="C454" s="569">
        <v>38105</v>
      </c>
    </row>
    <row r="455" spans="2:3" x14ac:dyDescent="0.25">
      <c r="B455" s="570" t="s">
        <v>939</v>
      </c>
      <c r="C455" s="569">
        <v>35000</v>
      </c>
    </row>
    <row r="456" spans="2:3" x14ac:dyDescent="0.25">
      <c r="B456" s="570" t="s">
        <v>897</v>
      </c>
      <c r="C456" s="569">
        <v>33105</v>
      </c>
    </row>
    <row r="457" spans="2:3" x14ac:dyDescent="0.25">
      <c r="B457" s="570" t="s">
        <v>941</v>
      </c>
      <c r="C457" s="569">
        <v>35100</v>
      </c>
    </row>
    <row r="458" spans="2:3" x14ac:dyDescent="0.25">
      <c r="B458" s="570" t="s">
        <v>942</v>
      </c>
      <c r="C458" s="569">
        <v>35105</v>
      </c>
    </row>
    <row r="459" spans="2:3" x14ac:dyDescent="0.25">
      <c r="B459" s="570" t="s">
        <v>944</v>
      </c>
      <c r="C459" s="569">
        <v>35200</v>
      </c>
    </row>
    <row r="460" spans="2:3" x14ac:dyDescent="0.25">
      <c r="B460" s="570" t="s">
        <v>859</v>
      </c>
      <c r="C460" s="569">
        <v>31320</v>
      </c>
    </row>
    <row r="461" spans="2:3" x14ac:dyDescent="0.25">
      <c r="B461" s="570" t="s">
        <v>960</v>
      </c>
      <c r="C461" s="569">
        <v>36002</v>
      </c>
    </row>
    <row r="462" spans="2:3" x14ac:dyDescent="0.25">
      <c r="B462" s="570" t="s">
        <v>949</v>
      </c>
      <c r="C462" s="569">
        <v>35402</v>
      </c>
    </row>
    <row r="463" spans="2:3" x14ac:dyDescent="0.25">
      <c r="B463" s="570" t="s">
        <v>969</v>
      </c>
      <c r="C463" s="569">
        <v>36102</v>
      </c>
    </row>
    <row r="464" spans="2:3" x14ac:dyDescent="0.25">
      <c r="B464" s="570" t="s">
        <v>1118</v>
      </c>
      <c r="C464" s="569">
        <v>33208</v>
      </c>
    </row>
    <row r="465" spans="2:3" x14ac:dyDescent="0.25">
      <c r="B465" s="570" t="s">
        <v>796</v>
      </c>
      <c r="C465" s="569">
        <v>12700</v>
      </c>
    </row>
    <row r="466" spans="2:3" x14ac:dyDescent="0.25">
      <c r="B466" s="570" t="s">
        <v>964</v>
      </c>
      <c r="C466" s="569">
        <v>36006</v>
      </c>
    </row>
    <row r="467" spans="2:3" x14ac:dyDescent="0.25">
      <c r="B467" s="570" t="s">
        <v>950</v>
      </c>
      <c r="C467" s="569">
        <v>35405</v>
      </c>
    </row>
    <row r="468" spans="2:3" x14ac:dyDescent="0.25">
      <c r="B468" s="570" t="s">
        <v>947</v>
      </c>
      <c r="C468" s="569">
        <v>35400</v>
      </c>
    </row>
    <row r="469" spans="2:3" x14ac:dyDescent="0.25">
      <c r="B469" s="570" t="s">
        <v>891</v>
      </c>
      <c r="C469" s="569">
        <v>32910</v>
      </c>
    </row>
    <row r="470" spans="2:3" x14ac:dyDescent="0.25">
      <c r="B470" s="570" t="s">
        <v>951</v>
      </c>
      <c r="C470" s="569">
        <v>35500</v>
      </c>
    </row>
    <row r="471" spans="2:3" x14ac:dyDescent="0.25">
      <c r="B471" s="570" t="s">
        <v>791</v>
      </c>
      <c r="C471" s="569">
        <v>12150</v>
      </c>
    </row>
    <row r="472" spans="2:3" x14ac:dyDescent="0.25">
      <c r="B472" s="570" t="s">
        <v>952</v>
      </c>
      <c r="C472" s="569">
        <v>35600</v>
      </c>
    </row>
    <row r="473" spans="2:3" x14ac:dyDescent="0.25">
      <c r="B473" s="570" t="s">
        <v>953</v>
      </c>
      <c r="C473" s="569">
        <v>35700</v>
      </c>
    </row>
    <row r="474" spans="2:3" x14ac:dyDescent="0.25">
      <c r="B474" s="570" t="s">
        <v>955</v>
      </c>
      <c r="C474" s="569">
        <v>35805</v>
      </c>
    </row>
    <row r="475" spans="2:3" x14ac:dyDescent="0.25">
      <c r="B475" s="570" t="s">
        <v>954</v>
      </c>
      <c r="C475" s="569">
        <v>35800</v>
      </c>
    </row>
    <row r="476" spans="2:3" x14ac:dyDescent="0.25">
      <c r="B476" s="570" t="s">
        <v>970</v>
      </c>
      <c r="C476" s="569">
        <v>36105</v>
      </c>
    </row>
    <row r="477" spans="2:3" x14ac:dyDescent="0.25">
      <c r="B477" s="570" t="s">
        <v>956</v>
      </c>
      <c r="C477" s="569">
        <v>35900</v>
      </c>
    </row>
    <row r="478" spans="2:3" x14ac:dyDescent="0.25">
      <c r="B478" s="570" t="s">
        <v>957</v>
      </c>
      <c r="C478" s="569">
        <v>35905</v>
      </c>
    </row>
    <row r="479" spans="2:3" x14ac:dyDescent="0.25">
      <c r="B479" s="570" t="s">
        <v>1031</v>
      </c>
      <c r="C479" s="569">
        <v>38602</v>
      </c>
    </row>
    <row r="480" spans="2:3" x14ac:dyDescent="0.25">
      <c r="B480" s="570" t="s">
        <v>937</v>
      </c>
      <c r="C480" s="569">
        <v>34905</v>
      </c>
    </row>
    <row r="481" spans="2:3" x14ac:dyDescent="0.25">
      <c r="B481" s="570" t="s">
        <v>968</v>
      </c>
      <c r="C481" s="569">
        <v>36100</v>
      </c>
    </row>
    <row r="482" spans="2:3" x14ac:dyDescent="0.25">
      <c r="B482" s="570" t="s">
        <v>972</v>
      </c>
      <c r="C482" s="569">
        <v>36205</v>
      </c>
    </row>
    <row r="483" spans="2:3" x14ac:dyDescent="0.25">
      <c r="B483" s="570" t="s">
        <v>971</v>
      </c>
      <c r="C483" s="569">
        <v>36200</v>
      </c>
    </row>
    <row r="484" spans="2:3" x14ac:dyDescent="0.25">
      <c r="B484" s="570" t="s">
        <v>973</v>
      </c>
      <c r="C484" s="569">
        <v>36300</v>
      </c>
    </row>
    <row r="485" spans="2:3" x14ac:dyDescent="0.25">
      <c r="B485" s="570" t="s">
        <v>938</v>
      </c>
      <c r="C485" s="569">
        <v>34910</v>
      </c>
    </row>
    <row r="486" spans="2:3" x14ac:dyDescent="0.25">
      <c r="B486" s="570" t="s">
        <v>1033</v>
      </c>
      <c r="C486" s="569">
        <v>38610</v>
      </c>
    </row>
    <row r="487" spans="2:3" x14ac:dyDescent="0.25">
      <c r="B487" s="570" t="s">
        <v>928</v>
      </c>
      <c r="C487" s="569">
        <v>34501</v>
      </c>
    </row>
    <row r="488" spans="2:3" x14ac:dyDescent="0.25">
      <c r="B488" s="570" t="s">
        <v>1036</v>
      </c>
      <c r="C488" s="569">
        <v>38701</v>
      </c>
    </row>
    <row r="489" spans="2:3" x14ac:dyDescent="0.25">
      <c r="B489" s="570" t="s">
        <v>806</v>
      </c>
      <c r="C489" s="569">
        <v>18740</v>
      </c>
    </row>
    <row r="490" spans="2:3" x14ac:dyDescent="0.25">
      <c r="B490" s="570" t="s">
        <v>816</v>
      </c>
      <c r="C490" s="569">
        <v>20800</v>
      </c>
    </row>
    <row r="491" spans="2:3" x14ac:dyDescent="0.25">
      <c r="B491" s="570" t="s">
        <v>805</v>
      </c>
      <c r="C491" s="569">
        <v>18690</v>
      </c>
    </row>
    <row r="492" spans="2:3" x14ac:dyDescent="0.25">
      <c r="B492" s="570" t="s">
        <v>785</v>
      </c>
      <c r="C492" s="569">
        <v>10950</v>
      </c>
    </row>
    <row r="493" spans="2:3" x14ac:dyDescent="0.25">
      <c r="B493" s="570" t="s">
        <v>811</v>
      </c>
      <c r="C493" s="569">
        <v>20200</v>
      </c>
    </row>
    <row r="494" spans="2:3" x14ac:dyDescent="0.25">
      <c r="B494" s="570" t="s">
        <v>807</v>
      </c>
      <c r="C494" s="569">
        <v>18780</v>
      </c>
    </row>
    <row r="495" spans="2:3" x14ac:dyDescent="0.25">
      <c r="B495" s="570" t="s">
        <v>819</v>
      </c>
      <c r="C495" s="569">
        <v>21300</v>
      </c>
    </row>
    <row r="496" spans="2:3" x14ac:dyDescent="0.25">
      <c r="B496" s="570" t="s">
        <v>1150</v>
      </c>
      <c r="C496" s="569">
        <v>37001</v>
      </c>
    </row>
    <row r="497" spans="2:3" x14ac:dyDescent="0.25">
      <c r="B497" s="570" t="s">
        <v>894</v>
      </c>
      <c r="C497" s="569">
        <v>33001</v>
      </c>
    </row>
    <row r="498" spans="2:3" x14ac:dyDescent="0.25">
      <c r="B498" s="570" t="s">
        <v>978</v>
      </c>
      <c r="C498" s="569">
        <v>36405</v>
      </c>
    </row>
    <row r="499" spans="2:3" x14ac:dyDescent="0.25">
      <c r="B499" s="570" t="s">
        <v>977</v>
      </c>
      <c r="C499" s="569">
        <v>36400</v>
      </c>
    </row>
    <row r="500" spans="2:3" x14ac:dyDescent="0.25">
      <c r="B500" s="570" t="s">
        <v>815</v>
      </c>
      <c r="C500" s="569">
        <v>20700</v>
      </c>
    </row>
    <row r="501" spans="2:3" x14ac:dyDescent="0.25">
      <c r="B501" s="570" t="s">
        <v>799</v>
      </c>
      <c r="C501" s="569">
        <v>14200</v>
      </c>
    </row>
    <row r="502" spans="2:3" x14ac:dyDescent="0.25">
      <c r="B502" s="570" t="s">
        <v>787</v>
      </c>
      <c r="C502" s="569">
        <v>11310</v>
      </c>
    </row>
    <row r="503" spans="2:3" x14ac:dyDescent="0.25">
      <c r="B503" s="570" t="s">
        <v>943</v>
      </c>
      <c r="C503" s="569">
        <v>35106</v>
      </c>
    </row>
    <row r="504" spans="2:3" x14ac:dyDescent="0.25">
      <c r="B504" s="570" t="s">
        <v>882</v>
      </c>
      <c r="C504" s="569">
        <v>32500</v>
      </c>
    </row>
    <row r="505" spans="2:3" x14ac:dyDescent="0.25">
      <c r="B505" s="570" t="s">
        <v>979</v>
      </c>
      <c r="C505" s="569">
        <v>36500</v>
      </c>
    </row>
    <row r="506" spans="2:3" x14ac:dyDescent="0.25">
      <c r="B506" s="570" t="s">
        <v>870</v>
      </c>
      <c r="C506" s="569">
        <v>31820</v>
      </c>
    </row>
    <row r="507" spans="2:3" x14ac:dyDescent="0.25">
      <c r="B507" s="570" t="s">
        <v>803</v>
      </c>
      <c r="C507" s="569">
        <v>18640</v>
      </c>
    </row>
    <row r="508" spans="2:3" x14ac:dyDescent="0.25">
      <c r="B508" s="570" t="s">
        <v>775</v>
      </c>
      <c r="C508" s="569">
        <v>10200</v>
      </c>
    </row>
    <row r="509" spans="2:3" x14ac:dyDescent="0.25">
      <c r="B509" s="570" t="s">
        <v>983</v>
      </c>
      <c r="C509" s="569">
        <v>36600</v>
      </c>
    </row>
    <row r="510" spans="2:3" x14ac:dyDescent="0.25">
      <c r="B510" s="570" t="s">
        <v>780</v>
      </c>
      <c r="C510" s="569">
        <v>10850</v>
      </c>
    </row>
    <row r="511" spans="2:3" x14ac:dyDescent="0.25">
      <c r="B511" s="570" t="s">
        <v>782</v>
      </c>
      <c r="C511" s="569">
        <v>10910</v>
      </c>
    </row>
    <row r="512" spans="2:3" x14ac:dyDescent="0.25">
      <c r="B512" s="570" t="s">
        <v>784</v>
      </c>
      <c r="C512" s="569">
        <v>10940</v>
      </c>
    </row>
    <row r="513" spans="2:3" x14ac:dyDescent="0.25">
      <c r="B513" s="570" t="s">
        <v>985</v>
      </c>
      <c r="C513" s="569">
        <v>36700</v>
      </c>
    </row>
    <row r="514" spans="2:3" x14ac:dyDescent="0.25">
      <c r="B514" s="570" t="s">
        <v>990</v>
      </c>
      <c r="C514" s="569">
        <v>36802</v>
      </c>
    </row>
    <row r="515" spans="2:3" x14ac:dyDescent="0.25">
      <c r="B515" s="570" t="s">
        <v>988</v>
      </c>
      <c r="C515" s="569">
        <v>36800</v>
      </c>
    </row>
    <row r="516" spans="2:3" x14ac:dyDescent="0.25">
      <c r="B516" s="570" t="s">
        <v>989</v>
      </c>
      <c r="C516" s="569">
        <v>36801</v>
      </c>
    </row>
    <row r="517" spans="2:3" x14ac:dyDescent="0.25">
      <c r="B517" s="570" t="s">
        <v>994</v>
      </c>
      <c r="C517" s="569">
        <v>36905</v>
      </c>
    </row>
    <row r="518" spans="2:3" x14ac:dyDescent="0.25">
      <c r="B518" s="570" t="s">
        <v>992</v>
      </c>
      <c r="C518" s="569">
        <v>36900</v>
      </c>
    </row>
    <row r="519" spans="2:3" x14ac:dyDescent="0.25">
      <c r="B519" s="570" t="s">
        <v>997</v>
      </c>
      <c r="C519" s="569">
        <v>37100</v>
      </c>
    </row>
    <row r="520" spans="2:3" x14ac:dyDescent="0.25">
      <c r="B520" s="570" t="s">
        <v>998</v>
      </c>
      <c r="C520" s="569">
        <v>37200</v>
      </c>
    </row>
    <row r="521" spans="2:3" x14ac:dyDescent="0.25">
      <c r="B521" s="570" t="s">
        <v>999</v>
      </c>
      <c r="C521" s="569">
        <v>37300</v>
      </c>
    </row>
    <row r="522" spans="2:3" x14ac:dyDescent="0.25">
      <c r="B522" s="570" t="s">
        <v>1001</v>
      </c>
      <c r="C522" s="569">
        <v>37305</v>
      </c>
    </row>
    <row r="523" spans="2:3" x14ac:dyDescent="0.25">
      <c r="B523" s="570" t="s">
        <v>966</v>
      </c>
      <c r="C523" s="569">
        <v>36008</v>
      </c>
    </row>
    <row r="524" spans="2:3" x14ac:dyDescent="0.25">
      <c r="B524" s="570" t="s">
        <v>1059</v>
      </c>
      <c r="C524" s="569">
        <v>39703</v>
      </c>
    </row>
    <row r="525" spans="2:3" x14ac:dyDescent="0.25">
      <c r="B525" s="570" t="s">
        <v>1119</v>
      </c>
      <c r="C525" s="569">
        <v>33209</v>
      </c>
    </row>
    <row r="526" spans="2:3" x14ac:dyDescent="0.25">
      <c r="B526" s="570" t="s">
        <v>1003</v>
      </c>
      <c r="C526" s="569">
        <v>37405</v>
      </c>
    </row>
    <row r="527" spans="2:3" x14ac:dyDescent="0.25">
      <c r="B527" s="570" t="s">
        <v>1002</v>
      </c>
      <c r="C527" s="569">
        <v>37400</v>
      </c>
    </row>
    <row r="528" spans="2:3" x14ac:dyDescent="0.25">
      <c r="B528" s="570" t="s">
        <v>1004</v>
      </c>
      <c r="C528" s="569">
        <v>37500</v>
      </c>
    </row>
    <row r="529" spans="2:3" x14ac:dyDescent="0.25">
      <c r="B529" s="570" t="s">
        <v>1007</v>
      </c>
      <c r="C529" s="569">
        <v>37605</v>
      </c>
    </row>
    <row r="530" spans="2:3" x14ac:dyDescent="0.25">
      <c r="B530" s="570" t="s">
        <v>1005</v>
      </c>
      <c r="C530" s="569">
        <v>37600</v>
      </c>
    </row>
    <row r="531" spans="2:3" x14ac:dyDescent="0.25">
      <c r="B531" s="570" t="s">
        <v>797</v>
      </c>
      <c r="C531" s="569">
        <v>13500</v>
      </c>
    </row>
    <row r="532" spans="2:3" x14ac:dyDescent="0.25">
      <c r="B532" s="570" t="s">
        <v>1009</v>
      </c>
      <c r="C532" s="569">
        <v>37700</v>
      </c>
    </row>
    <row r="533" spans="2:3" x14ac:dyDescent="0.25">
      <c r="B533" s="570" t="s">
        <v>1010</v>
      </c>
      <c r="C533" s="569">
        <v>37705</v>
      </c>
    </row>
    <row r="534" spans="2:3" x14ac:dyDescent="0.25">
      <c r="B534" s="570" t="s">
        <v>833</v>
      </c>
      <c r="C534" s="569">
        <v>30103</v>
      </c>
    </row>
    <row r="535" spans="2:3" x14ac:dyDescent="0.25">
      <c r="B535" s="570" t="s">
        <v>922</v>
      </c>
      <c r="C535" s="569">
        <v>34220</v>
      </c>
    </row>
    <row r="536" spans="2:3" x14ac:dyDescent="0.25">
      <c r="B536" s="570" t="s">
        <v>931</v>
      </c>
      <c r="C536" s="569">
        <v>34605</v>
      </c>
    </row>
    <row r="537" spans="2:3" x14ac:dyDescent="0.25">
      <c r="B537" s="570" t="s">
        <v>1013</v>
      </c>
      <c r="C537" s="569">
        <v>37805</v>
      </c>
    </row>
    <row r="538" spans="2:3" x14ac:dyDescent="0.25">
      <c r="B538" s="570" t="s">
        <v>1011</v>
      </c>
      <c r="C538" s="569">
        <v>37800</v>
      </c>
    </row>
    <row r="539" spans="2:3" x14ac:dyDescent="0.25">
      <c r="B539" s="570" t="s">
        <v>1016</v>
      </c>
      <c r="C539" s="569">
        <v>37905</v>
      </c>
    </row>
    <row r="540" spans="2:3" x14ac:dyDescent="0.25">
      <c r="B540" s="570" t="s">
        <v>1014</v>
      </c>
      <c r="C540" s="569">
        <v>37900</v>
      </c>
    </row>
    <row r="541" spans="2:3" x14ac:dyDescent="0.25">
      <c r="B541" s="570" t="s">
        <v>1018</v>
      </c>
      <c r="C541" s="569">
        <v>38005</v>
      </c>
    </row>
    <row r="542" spans="2:3" x14ac:dyDescent="0.25">
      <c r="B542" s="570" t="s">
        <v>1017</v>
      </c>
      <c r="C542" s="569">
        <v>38000</v>
      </c>
    </row>
    <row r="543" spans="2:3" x14ac:dyDescent="0.25">
      <c r="B543" s="570" t="s">
        <v>1000</v>
      </c>
      <c r="C543" s="569">
        <v>37301</v>
      </c>
    </row>
    <row r="544" spans="2:3" x14ac:dyDescent="0.25">
      <c r="B544" s="570" t="s">
        <v>1019</v>
      </c>
      <c r="C544" s="569">
        <v>38100</v>
      </c>
    </row>
    <row r="545" spans="2:3" x14ac:dyDescent="0.25">
      <c r="B545" s="570" t="s">
        <v>1022</v>
      </c>
      <c r="C545" s="569">
        <v>38205</v>
      </c>
    </row>
    <row r="546" spans="2:3" x14ac:dyDescent="0.25">
      <c r="B546" s="570" t="s">
        <v>1021</v>
      </c>
      <c r="C546" s="569">
        <v>38200</v>
      </c>
    </row>
    <row r="547" spans="2:3" x14ac:dyDescent="0.25">
      <c r="B547" s="570" t="s">
        <v>976</v>
      </c>
      <c r="C547" s="569">
        <v>36305</v>
      </c>
    </row>
    <row r="548" spans="2:3" x14ac:dyDescent="0.25">
      <c r="B548" s="570" t="s">
        <v>945</v>
      </c>
      <c r="C548" s="569">
        <v>35300</v>
      </c>
    </row>
    <row r="549" spans="2:3" x14ac:dyDescent="0.25">
      <c r="B549" s="570" t="s">
        <v>1024</v>
      </c>
      <c r="C549" s="569">
        <v>38300</v>
      </c>
    </row>
    <row r="550" spans="2:3" x14ac:dyDescent="0.25">
      <c r="B550" s="570" t="s">
        <v>798</v>
      </c>
      <c r="C550" s="569">
        <v>13700</v>
      </c>
    </row>
    <row r="551" spans="2:3" x14ac:dyDescent="0.25">
      <c r="B551" s="570" t="s">
        <v>881</v>
      </c>
      <c r="C551" s="569">
        <v>32420</v>
      </c>
    </row>
    <row r="552" spans="2:3" x14ac:dyDescent="0.25">
      <c r="B552" s="570" t="s">
        <v>965</v>
      </c>
      <c r="C552" s="569">
        <v>36007</v>
      </c>
    </row>
    <row r="553" spans="2:3" x14ac:dyDescent="0.25">
      <c r="B553" s="570" t="s">
        <v>839</v>
      </c>
      <c r="C553" s="569">
        <v>30405</v>
      </c>
    </row>
    <row r="554" spans="2:3" x14ac:dyDescent="0.25">
      <c r="B554" s="570" t="s">
        <v>1012</v>
      </c>
      <c r="C554" s="569">
        <v>37801</v>
      </c>
    </row>
    <row r="555" spans="2:3" x14ac:dyDescent="0.25">
      <c r="B555" s="570" t="s">
        <v>879</v>
      </c>
      <c r="C555" s="569">
        <v>32405</v>
      </c>
    </row>
    <row r="556" spans="2:3" x14ac:dyDescent="0.25">
      <c r="B556" s="570" t="s">
        <v>1046</v>
      </c>
      <c r="C556" s="569">
        <v>39204</v>
      </c>
    </row>
    <row r="557" spans="2:3" x14ac:dyDescent="0.25">
      <c r="B557" s="570" t="s">
        <v>940</v>
      </c>
      <c r="C557" s="569">
        <v>35005</v>
      </c>
    </row>
    <row r="558" spans="2:3" x14ac:dyDescent="0.25">
      <c r="B558" s="570" t="s">
        <v>1027</v>
      </c>
      <c r="C558" s="569">
        <v>38405</v>
      </c>
    </row>
    <row r="559" spans="2:3" x14ac:dyDescent="0.25">
      <c r="B559" s="570" t="s">
        <v>1025</v>
      </c>
      <c r="C559" s="569">
        <v>38400</v>
      </c>
    </row>
    <row r="560" spans="2:3" x14ac:dyDescent="0.25">
      <c r="B560" s="570" t="s">
        <v>975</v>
      </c>
      <c r="C560" s="569">
        <v>36302</v>
      </c>
    </row>
    <row r="561" spans="2:3" x14ac:dyDescent="0.25">
      <c r="B561" s="570" t="s">
        <v>777</v>
      </c>
      <c r="C561" s="569">
        <v>10500</v>
      </c>
    </row>
    <row r="562" spans="2:3" x14ac:dyDescent="0.25">
      <c r="B562" s="570" t="s">
        <v>789</v>
      </c>
      <c r="C562" s="569">
        <v>11900</v>
      </c>
    </row>
    <row r="563" spans="2:3" x14ac:dyDescent="0.25">
      <c r="B563" s="570" t="s">
        <v>804</v>
      </c>
      <c r="C563" s="569">
        <v>18670</v>
      </c>
    </row>
    <row r="564" spans="2:3" x14ac:dyDescent="0.25">
      <c r="B564" s="570" t="s">
        <v>1147</v>
      </c>
      <c r="C564" s="569">
        <v>14300.2</v>
      </c>
    </row>
    <row r="565" spans="2:3" x14ac:dyDescent="0.25">
      <c r="B565" s="570" t="s">
        <v>1146</v>
      </c>
      <c r="C565" s="569">
        <v>14300</v>
      </c>
    </row>
    <row r="566" spans="2:3" x14ac:dyDescent="0.25">
      <c r="B566" s="570" t="s">
        <v>1028</v>
      </c>
      <c r="C566" s="569">
        <v>38500</v>
      </c>
    </row>
    <row r="567" spans="2:3" x14ac:dyDescent="0.25">
      <c r="B567" s="570" t="s">
        <v>936</v>
      </c>
      <c r="C567" s="569">
        <v>34903</v>
      </c>
    </row>
    <row r="568" spans="2:3" x14ac:dyDescent="0.25">
      <c r="B568" s="570" t="s">
        <v>1032</v>
      </c>
      <c r="C568" s="569">
        <v>38605</v>
      </c>
    </row>
    <row r="569" spans="2:3" x14ac:dyDescent="0.25">
      <c r="B569" s="570" t="s">
        <v>1029</v>
      </c>
      <c r="C569" s="569">
        <v>38600</v>
      </c>
    </row>
    <row r="570" spans="2:3" x14ac:dyDescent="0.25">
      <c r="B570" s="570" t="s">
        <v>1035</v>
      </c>
      <c r="C570" s="569">
        <v>38700</v>
      </c>
    </row>
    <row r="571" spans="2:3" x14ac:dyDescent="0.25">
      <c r="B571" s="570" t="s">
        <v>834</v>
      </c>
      <c r="C571" s="569">
        <v>30104</v>
      </c>
    </row>
    <row r="572" spans="2:3" x14ac:dyDescent="0.25">
      <c r="B572" s="570" t="s">
        <v>892</v>
      </c>
      <c r="C572" s="569">
        <v>32920</v>
      </c>
    </row>
    <row r="573" spans="2:3" x14ac:dyDescent="0.25">
      <c r="B573" s="570" t="s">
        <v>1037</v>
      </c>
      <c r="C573" s="569">
        <v>38800</v>
      </c>
    </row>
    <row r="574" spans="2:3" x14ac:dyDescent="0.25">
      <c r="B574" s="570" t="s">
        <v>873</v>
      </c>
      <c r="C574" s="569">
        <v>32005</v>
      </c>
    </row>
    <row r="575" spans="2:3" x14ac:dyDescent="0.25">
      <c r="B575" s="570" t="s">
        <v>1055</v>
      </c>
      <c r="C575" s="569">
        <v>39501</v>
      </c>
    </row>
    <row r="576" spans="2:3" x14ac:dyDescent="0.25">
      <c r="B576" s="570" t="s">
        <v>1039</v>
      </c>
      <c r="C576" s="569">
        <v>38900</v>
      </c>
    </row>
    <row r="577" spans="2:3" x14ac:dyDescent="0.25">
      <c r="B577" s="570" t="s">
        <v>818</v>
      </c>
      <c r="C577" s="569">
        <v>21200</v>
      </c>
    </row>
    <row r="578" spans="2:3" x14ac:dyDescent="0.25">
      <c r="B578" s="570" t="s">
        <v>822</v>
      </c>
      <c r="C578" s="569">
        <v>21550</v>
      </c>
    </row>
    <row r="579" spans="2:3" x14ac:dyDescent="0.25">
      <c r="B579" s="570" t="s">
        <v>820</v>
      </c>
      <c r="C579" s="569">
        <v>21520</v>
      </c>
    </row>
    <row r="580" spans="2:3" x14ac:dyDescent="0.25">
      <c r="B580" s="570" t="s">
        <v>1149</v>
      </c>
      <c r="C580" s="569">
        <v>21525.200000000001</v>
      </c>
    </row>
    <row r="581" spans="2:3" x14ac:dyDescent="0.25">
      <c r="B581" s="570" t="s">
        <v>1148</v>
      </c>
      <c r="C581" s="569">
        <v>21525</v>
      </c>
    </row>
    <row r="582" spans="2:3" x14ac:dyDescent="0.25">
      <c r="B582" s="570" t="s">
        <v>1040</v>
      </c>
      <c r="C582" s="569">
        <v>39000</v>
      </c>
    </row>
    <row r="583" spans="2:3" x14ac:dyDescent="0.25">
      <c r="B583" s="570" t="s">
        <v>827</v>
      </c>
      <c r="C583" s="569">
        <v>23000</v>
      </c>
    </row>
    <row r="584" spans="2:3" x14ac:dyDescent="0.25">
      <c r="B584" s="570" t="s">
        <v>828</v>
      </c>
      <c r="C584" s="569">
        <v>23100</v>
      </c>
    </row>
    <row r="585" spans="2:3" x14ac:dyDescent="0.25">
      <c r="B585" s="570" t="s">
        <v>817</v>
      </c>
      <c r="C585" s="569">
        <v>20900</v>
      </c>
    </row>
    <row r="586" spans="2:3" x14ac:dyDescent="0.25">
      <c r="B586" s="570" t="s">
        <v>829</v>
      </c>
      <c r="C586" s="569">
        <v>23200</v>
      </c>
    </row>
    <row r="587" spans="2:3" x14ac:dyDescent="0.25">
      <c r="B587" s="570" t="s">
        <v>823</v>
      </c>
      <c r="C587" s="569">
        <v>21570</v>
      </c>
    </row>
    <row r="588" spans="2:3" x14ac:dyDescent="0.25">
      <c r="B588" s="570" t="s">
        <v>1006</v>
      </c>
      <c r="C588" s="569">
        <v>37601</v>
      </c>
    </row>
    <row r="589" spans="2:3" x14ac:dyDescent="0.25">
      <c r="B589" s="570" t="s">
        <v>1042</v>
      </c>
      <c r="C589" s="569">
        <v>39101</v>
      </c>
    </row>
    <row r="590" spans="2:3" x14ac:dyDescent="0.25">
      <c r="B590" s="570" t="s">
        <v>1041</v>
      </c>
      <c r="C590" s="569">
        <v>39100</v>
      </c>
    </row>
    <row r="591" spans="2:3" x14ac:dyDescent="0.25">
      <c r="B591" s="570" t="s">
        <v>1043</v>
      </c>
      <c r="C591" s="569">
        <v>39105</v>
      </c>
    </row>
    <row r="592" spans="2:3" x14ac:dyDescent="0.25">
      <c r="B592" s="570" t="s">
        <v>901</v>
      </c>
      <c r="C592" s="569">
        <v>33204</v>
      </c>
    </row>
    <row r="593" spans="2:3" x14ac:dyDescent="0.25">
      <c r="B593" s="570" t="s">
        <v>1044</v>
      </c>
      <c r="C593" s="569">
        <v>39200</v>
      </c>
    </row>
    <row r="594" spans="2:3" x14ac:dyDescent="0.25">
      <c r="B594" s="570" t="s">
        <v>1047</v>
      </c>
      <c r="C594" s="569">
        <v>39205</v>
      </c>
    </row>
    <row r="595" spans="2:3" x14ac:dyDescent="0.25">
      <c r="B595" s="570" t="s">
        <v>1050</v>
      </c>
      <c r="C595" s="569">
        <v>39300</v>
      </c>
    </row>
    <row r="596" spans="2:3" x14ac:dyDescent="0.25">
      <c r="B596" s="570" t="s">
        <v>1052</v>
      </c>
      <c r="C596" s="569">
        <v>39400</v>
      </c>
    </row>
    <row r="597" spans="2:3" x14ac:dyDescent="0.25">
      <c r="B597" s="570" t="s">
        <v>1054</v>
      </c>
      <c r="C597" s="569">
        <v>39500</v>
      </c>
    </row>
    <row r="598" spans="2:3" x14ac:dyDescent="0.25">
      <c r="B598" s="570" t="s">
        <v>1057</v>
      </c>
      <c r="C598" s="569">
        <v>39605</v>
      </c>
    </row>
    <row r="599" spans="2:3" x14ac:dyDescent="0.25">
      <c r="B599" s="570" t="s">
        <v>1056</v>
      </c>
      <c r="C599" s="569">
        <v>39600</v>
      </c>
    </row>
    <row r="600" spans="2:3" x14ac:dyDescent="0.25">
      <c r="B600" s="570" t="s">
        <v>923</v>
      </c>
      <c r="C600" s="569">
        <v>34230</v>
      </c>
    </row>
    <row r="601" spans="2:3" x14ac:dyDescent="0.25">
      <c r="B601" s="570" t="s">
        <v>824</v>
      </c>
      <c r="C601" s="569">
        <v>21800</v>
      </c>
    </row>
    <row r="602" spans="2:3" x14ac:dyDescent="0.25">
      <c r="B602" s="570" t="s">
        <v>856</v>
      </c>
      <c r="C602" s="569">
        <v>31205</v>
      </c>
    </row>
    <row r="603" spans="2:3" x14ac:dyDescent="0.25">
      <c r="B603" s="570" t="s">
        <v>880</v>
      </c>
      <c r="C603" s="569">
        <v>32410</v>
      </c>
    </row>
    <row r="604" spans="2:3" x14ac:dyDescent="0.25">
      <c r="B604" s="570" t="s">
        <v>788</v>
      </c>
      <c r="C604" s="569">
        <v>11600</v>
      </c>
    </row>
    <row r="605" spans="2:3" x14ac:dyDescent="0.25">
      <c r="B605" s="570" t="s">
        <v>1060</v>
      </c>
      <c r="C605" s="569">
        <v>39705</v>
      </c>
    </row>
    <row r="606" spans="2:3" x14ac:dyDescent="0.25">
      <c r="B606" s="570" t="s">
        <v>1058</v>
      </c>
      <c r="C606" s="569">
        <v>39700</v>
      </c>
    </row>
    <row r="607" spans="2:3" x14ac:dyDescent="0.25">
      <c r="B607" s="570" t="s">
        <v>981</v>
      </c>
      <c r="C607" s="569">
        <v>36502</v>
      </c>
    </row>
    <row r="608" spans="2:3" x14ac:dyDescent="0.25">
      <c r="B608" s="566" t="s">
        <v>1062</v>
      </c>
      <c r="C608" s="576">
        <v>39805</v>
      </c>
    </row>
    <row r="609" spans="2:3" x14ac:dyDescent="0.25">
      <c r="B609" s="570" t="s">
        <v>1061</v>
      </c>
      <c r="C609" s="569">
        <v>39800</v>
      </c>
    </row>
    <row r="610" spans="2:3" x14ac:dyDescent="0.25">
      <c r="B610" s="570" t="s">
        <v>825</v>
      </c>
      <c r="C610" s="569">
        <v>21900</v>
      </c>
    </row>
    <row r="611" spans="2:3" x14ac:dyDescent="0.25">
      <c r="B611" s="570" t="s">
        <v>906</v>
      </c>
      <c r="C611" s="569">
        <v>33400</v>
      </c>
    </row>
    <row r="612" spans="2:3" x14ac:dyDescent="0.25">
      <c r="B612" s="580" t="s">
        <v>1063</v>
      </c>
      <c r="C612" s="576">
        <v>39900</v>
      </c>
    </row>
    <row r="613" spans="2:3" x14ac:dyDescent="0.25">
      <c r="B613" s="570" t="s">
        <v>830</v>
      </c>
      <c r="C613" s="569">
        <v>30000</v>
      </c>
    </row>
    <row r="614" spans="2:3" x14ac:dyDescent="0.25">
      <c r="B614" s="570" t="s">
        <v>986</v>
      </c>
      <c r="C614" s="569">
        <v>36701</v>
      </c>
    </row>
    <row r="615" spans="2:3" x14ac:dyDescent="0.25">
      <c r="B615" s="536" t="s">
        <v>1145</v>
      </c>
      <c r="C615" s="566" t="s">
        <v>1141</v>
      </c>
    </row>
  </sheetData>
  <pageMargins left="0.25" right="0.25" top="0.75" bottom="0.75" header="0.3" footer="0.3"/>
  <pageSetup paperSize="5" scale="63" fitToHeight="0"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X191"/>
  <sheetViews>
    <sheetView topLeftCell="B1" workbookViewId="0">
      <selection activeCell="C14" sqref="C14"/>
    </sheetView>
  </sheetViews>
  <sheetFormatPr defaultRowHeight="12.75" x14ac:dyDescent="0.2"/>
  <cols>
    <col min="1" max="1" width="15.28515625" style="607" customWidth="1"/>
    <col min="2" max="2" width="63" style="607" customWidth="1"/>
    <col min="3" max="3" width="29.28515625" style="607" customWidth="1"/>
    <col min="4" max="4" width="21.42578125" style="607" customWidth="1"/>
    <col min="5" max="5" width="18.28515625" style="607" customWidth="1"/>
    <col min="6" max="6" width="30.85546875" style="607" customWidth="1"/>
    <col min="7" max="7" width="18.28515625" style="607" customWidth="1"/>
    <col min="8" max="8" width="20" style="607" customWidth="1"/>
    <col min="9" max="9" width="19.7109375" style="607" customWidth="1"/>
    <col min="10" max="10" width="19.42578125" style="607" customWidth="1"/>
    <col min="11" max="11" width="59.140625" style="607" customWidth="1"/>
    <col min="12" max="12" width="18.28515625" style="607" customWidth="1"/>
    <col min="13" max="13" width="20" style="607" customWidth="1"/>
    <col min="14" max="14" width="16.7109375" style="607" customWidth="1"/>
    <col min="15" max="15" width="19.42578125" style="607" customWidth="1"/>
    <col min="16" max="16" width="50.5703125" style="607" customWidth="1"/>
    <col min="17" max="17" width="13.85546875" style="607" customWidth="1"/>
    <col min="18" max="18" width="30.85546875" style="607" customWidth="1"/>
    <col min="19" max="19" width="12.42578125" style="607" customWidth="1"/>
    <col min="20" max="20" width="18.7109375" style="607" customWidth="1"/>
    <col min="21" max="21" width="33" style="607" customWidth="1"/>
    <col min="22" max="22" width="15" style="607" bestFit="1" customWidth="1"/>
    <col min="23" max="16384" width="9.140625" style="607"/>
  </cols>
  <sheetData>
    <row r="2" spans="1:24" ht="21" customHeight="1" x14ac:dyDescent="0.2">
      <c r="A2" s="1115" t="s">
        <v>1640</v>
      </c>
      <c r="B2" s="1116"/>
      <c r="C2" s="1117"/>
    </row>
    <row r="5" spans="1:24" ht="98.25" customHeight="1" x14ac:dyDescent="0.2">
      <c r="A5" s="1108" t="s">
        <v>1566</v>
      </c>
      <c r="B5" s="1108"/>
      <c r="C5" s="1108"/>
    </row>
    <row r="11" spans="1:24" ht="18" customHeight="1" x14ac:dyDescent="0.2">
      <c r="A11" s="832" t="s">
        <v>333</v>
      </c>
      <c r="B11" s="833" t="s">
        <v>1108</v>
      </c>
      <c r="C11" s="465"/>
    </row>
    <row r="14" spans="1:24" x14ac:dyDescent="0.2">
      <c r="B14" s="23" t="s">
        <v>1067</v>
      </c>
      <c r="C14" s="605" t="s">
        <v>1203</v>
      </c>
    </row>
    <row r="15" spans="1:24" x14ac:dyDescent="0.2">
      <c r="A15" s="609"/>
      <c r="B15" s="552" t="s">
        <v>765</v>
      </c>
      <c r="C15" s="609" t="str">
        <f>VLOOKUP(C14,'Ka. 2018 RHBF Summary'!B315:C620,2,FALSE)</f>
        <v>N/A</v>
      </c>
      <c r="D15" s="609"/>
      <c r="E15" s="609"/>
      <c r="F15" s="609"/>
      <c r="G15" s="609"/>
      <c r="H15" s="609"/>
      <c r="I15" s="609"/>
      <c r="J15" s="609"/>
      <c r="K15" s="609"/>
      <c r="L15" s="609"/>
      <c r="M15" s="609"/>
      <c r="N15" s="8"/>
      <c r="O15" s="609"/>
      <c r="P15" s="609"/>
      <c r="Q15" s="609"/>
      <c r="R15" s="609"/>
      <c r="S15" s="609"/>
      <c r="T15" s="609"/>
      <c r="U15" s="609"/>
      <c r="V15" s="609"/>
      <c r="W15" s="609"/>
      <c r="X15" s="609"/>
    </row>
    <row r="16" spans="1:24" x14ac:dyDescent="0.2">
      <c r="A16" s="609"/>
      <c r="B16" s="609"/>
      <c r="C16" s="609"/>
      <c r="D16" s="609"/>
      <c r="E16" s="609"/>
      <c r="F16" s="609"/>
      <c r="G16" s="609"/>
      <c r="H16" s="8"/>
      <c r="I16" s="609"/>
      <c r="J16" s="609"/>
      <c r="K16" s="609"/>
      <c r="L16" s="609"/>
      <c r="M16" s="609"/>
      <c r="N16" s="609"/>
      <c r="O16" s="609"/>
      <c r="P16" s="609"/>
      <c r="Q16" s="609"/>
      <c r="R16" s="609"/>
      <c r="S16" s="609"/>
      <c r="T16" s="609"/>
      <c r="U16" s="609"/>
      <c r="V16" s="609"/>
      <c r="W16" s="609"/>
      <c r="X16" s="609"/>
    </row>
    <row r="17" spans="1:24" ht="43.5" customHeight="1" x14ac:dyDescent="0.2">
      <c r="A17" s="609"/>
      <c r="B17" s="834" t="s">
        <v>1511</v>
      </c>
      <c r="C17" s="835">
        <v>0</v>
      </c>
      <c r="D17" s="609"/>
      <c r="E17" s="609"/>
      <c r="F17" s="609"/>
      <c r="G17" s="609"/>
      <c r="H17" s="609"/>
      <c r="I17" s="609"/>
      <c r="J17" s="609"/>
      <c r="K17" s="609"/>
      <c r="L17" s="609"/>
      <c r="M17" s="609"/>
      <c r="N17" s="609"/>
      <c r="O17" s="609"/>
      <c r="P17" s="609"/>
      <c r="Q17" s="609"/>
      <c r="R17" s="609"/>
      <c r="S17" s="609"/>
      <c r="T17" s="609"/>
      <c r="U17" s="609"/>
      <c r="V17" s="609"/>
      <c r="W17" s="609"/>
      <c r="X17" s="609"/>
    </row>
    <row r="18" spans="1:24" hidden="1" x14ac:dyDescent="0.2">
      <c r="W18" s="609"/>
      <c r="X18" s="609"/>
    </row>
    <row r="19" spans="1:24" hidden="1" x14ac:dyDescent="0.2">
      <c r="B19" s="607">
        <v>2</v>
      </c>
      <c r="C19" s="607">
        <v>3</v>
      </c>
      <c r="D19" s="607">
        <v>4</v>
      </c>
      <c r="F19" s="607">
        <v>5</v>
      </c>
      <c r="G19" s="607">
        <v>6</v>
      </c>
      <c r="H19" s="607">
        <v>7</v>
      </c>
      <c r="I19" s="607">
        <v>8</v>
      </c>
      <c r="J19" s="607">
        <v>9</v>
      </c>
      <c r="K19" s="607">
        <v>10</v>
      </c>
      <c r="L19" s="607">
        <v>11</v>
      </c>
      <c r="M19" s="607">
        <v>12</v>
      </c>
      <c r="N19" s="607">
        <v>13</v>
      </c>
      <c r="O19" s="607">
        <v>14</v>
      </c>
      <c r="P19" s="607">
        <v>15</v>
      </c>
      <c r="Q19" s="607">
        <v>16</v>
      </c>
      <c r="R19" s="607">
        <v>17</v>
      </c>
      <c r="S19" s="607">
        <v>18</v>
      </c>
      <c r="T19" s="607">
        <v>19</v>
      </c>
      <c r="U19" s="607">
        <v>20</v>
      </c>
      <c r="V19" s="607">
        <v>21</v>
      </c>
      <c r="W19" s="609"/>
      <c r="X19" s="609"/>
    </row>
    <row r="20" spans="1:24" ht="15.75" x14ac:dyDescent="0.25">
      <c r="F20" s="52"/>
      <c r="G20" s="52"/>
      <c r="J20" s="462" t="s">
        <v>762</v>
      </c>
      <c r="K20" s="846"/>
      <c r="L20" s="462"/>
      <c r="M20" s="462"/>
      <c r="O20" s="462" t="s">
        <v>763</v>
      </c>
      <c r="P20" s="846"/>
      <c r="Q20" s="462"/>
      <c r="R20" s="462"/>
      <c r="T20" s="462" t="s">
        <v>1189</v>
      </c>
      <c r="U20" s="462"/>
      <c r="V20" s="462"/>
      <c r="W20" s="609"/>
      <c r="X20" s="609"/>
    </row>
    <row r="21" spans="1:24" ht="105" x14ac:dyDescent="0.25">
      <c r="A21" s="463" t="s">
        <v>765</v>
      </c>
      <c r="B21" s="463" t="s">
        <v>766</v>
      </c>
      <c r="C21" s="463" t="s">
        <v>1112</v>
      </c>
      <c r="D21" s="463" t="s">
        <v>1113</v>
      </c>
      <c r="E21" s="463" t="s">
        <v>1134</v>
      </c>
      <c r="F21" s="463" t="s">
        <v>1135</v>
      </c>
      <c r="G21" s="463" t="s">
        <v>1513</v>
      </c>
      <c r="H21" s="463" t="s">
        <v>1514</v>
      </c>
      <c r="I21" s="463"/>
      <c r="J21" s="463" t="s">
        <v>768</v>
      </c>
      <c r="K21" s="463" t="s">
        <v>769</v>
      </c>
      <c r="L21" s="463" t="s">
        <v>770</v>
      </c>
      <c r="M21" s="463" t="s">
        <v>771</v>
      </c>
      <c r="N21" s="463"/>
      <c r="O21" s="463" t="s">
        <v>768</v>
      </c>
      <c r="P21" s="463" t="s">
        <v>769</v>
      </c>
      <c r="Q21" s="463" t="s">
        <v>770</v>
      </c>
      <c r="R21" s="463" t="s">
        <v>771</v>
      </c>
      <c r="S21" s="463"/>
      <c r="T21" s="463" t="s">
        <v>1526</v>
      </c>
      <c r="U21" s="463" t="s">
        <v>773</v>
      </c>
      <c r="V21" s="463" t="s">
        <v>1567</v>
      </c>
      <c r="W21" s="609"/>
      <c r="X21" s="609"/>
    </row>
    <row r="22" spans="1:24" ht="15" x14ac:dyDescent="0.25">
      <c r="A22" s="463"/>
      <c r="B22" s="463"/>
      <c r="C22" s="463"/>
      <c r="D22" s="463"/>
      <c r="E22" s="463"/>
      <c r="F22" s="463"/>
      <c r="G22" s="463"/>
      <c r="H22" s="463"/>
      <c r="I22" s="463"/>
      <c r="J22" s="463"/>
      <c r="K22" s="463"/>
      <c r="L22" s="463"/>
      <c r="M22" s="463"/>
      <c r="N22" s="463"/>
      <c r="O22" s="463"/>
      <c r="P22" s="463"/>
      <c r="Q22" s="463"/>
      <c r="R22" s="463"/>
      <c r="S22" s="463"/>
      <c r="T22" s="463"/>
      <c r="U22" s="463"/>
      <c r="V22" s="463"/>
      <c r="W22" s="609"/>
      <c r="X22" s="609"/>
    </row>
    <row r="23" spans="1:24" ht="15" x14ac:dyDescent="0.25">
      <c r="A23" s="463" t="s">
        <v>1137</v>
      </c>
      <c r="B23" s="463"/>
      <c r="C23" s="463"/>
      <c r="D23" s="463"/>
      <c r="E23" s="463"/>
      <c r="F23" s="463"/>
      <c r="G23" s="463"/>
      <c r="H23" s="463"/>
      <c r="I23" s="463"/>
      <c r="J23" s="463"/>
      <c r="K23" s="463"/>
      <c r="L23" s="463"/>
      <c r="M23" s="463"/>
      <c r="N23" s="463"/>
      <c r="O23" s="463"/>
      <c r="P23" s="463"/>
      <c r="Q23" s="463"/>
      <c r="R23" s="463"/>
      <c r="S23" s="463"/>
      <c r="T23" s="463"/>
      <c r="U23" s="463"/>
      <c r="V23" s="463"/>
      <c r="W23" s="609"/>
      <c r="X23" s="609"/>
    </row>
    <row r="24" spans="1:24" x14ac:dyDescent="0.2">
      <c r="A24" s="23" t="str">
        <f>C15</f>
        <v>N/A</v>
      </c>
      <c r="B24" s="607" t="str">
        <f>C14</f>
        <v>No Agency Chosen</v>
      </c>
      <c r="C24" s="557">
        <f>VLOOKUP($A$24,'Ka. 2018 RHBF Summary'!$A:$V,4,FALSE)</f>
        <v>0</v>
      </c>
      <c r="D24" s="557">
        <f>VLOOKUP($A$24,'Ka. 2018 RHBF Summary'!$A:$V,3,FALSE)</f>
        <v>0</v>
      </c>
      <c r="E24" s="557">
        <f>C24-D24</f>
        <v>0</v>
      </c>
      <c r="F24" s="662">
        <f>VLOOKUP($A$24,'Ka. 2018 RHBF Summary'!$A:$V,5,FALSE)</f>
        <v>0</v>
      </c>
      <c r="G24" s="662">
        <f>VLOOKUP($A$24,'Ka. 2018 RHBF Summary'!$A:$V,6,FALSE)</f>
        <v>0</v>
      </c>
      <c r="H24" s="662">
        <f>VLOOKUP($A$24,'Ka. 2018 RHBF Summary'!$A:$V,7,FALSE)</f>
        <v>0</v>
      </c>
      <c r="I24" s="662"/>
      <c r="J24" s="662">
        <f>VLOOKUP($A$24,'Ka. 2018 RHBF Summary'!$A:$V,8,FALSE)</f>
        <v>0</v>
      </c>
      <c r="K24" s="662">
        <f>VLOOKUP($A$24,'Ka. 2018 RHBF Summary'!$A:$V,9,FALSE)</f>
        <v>0</v>
      </c>
      <c r="L24" s="662">
        <f>VLOOKUP($A$24,'Ka. 2018 RHBF Summary'!$A:$V,10,FALSE)</f>
        <v>0</v>
      </c>
      <c r="M24" s="662">
        <f>VLOOKUP($A$24,'Ka. 2018 RHBF Summary'!$A:$V,11,FALSE)</f>
        <v>0</v>
      </c>
      <c r="N24" s="662"/>
      <c r="O24" s="662">
        <f>VLOOKUP($A$24,'Ka. 2018 RHBF Summary'!$A:$V,14,FALSE)</f>
        <v>0</v>
      </c>
      <c r="P24" s="662">
        <f>VLOOKUP($A$24,'Ka. 2018 RHBF Summary'!$A:$V,15,FALSE)</f>
        <v>0</v>
      </c>
      <c r="Q24" s="662">
        <f>VLOOKUP($A$24,'Ka. 2018 RHBF Summary'!$A:$V,16,FALSE)</f>
        <v>0</v>
      </c>
      <c r="R24" s="662">
        <f>VLOOKUP($A$24,'Ka. 2018 RHBF Summary'!$A:$V,17,FALSE)</f>
        <v>0</v>
      </c>
      <c r="S24" s="662"/>
      <c r="T24" s="662">
        <f>VLOOKUP($A$24,'Ka. 2018 RHBF Summary'!$A:$V,20,FALSE)</f>
        <v>0</v>
      </c>
      <c r="U24" s="662">
        <f>VLOOKUP($A$24,'Ka. 2018 RHBF Summary'!$A:$V,21,FALSE)</f>
        <v>0</v>
      </c>
      <c r="V24" s="662">
        <f>VLOOKUP($A$24,'Ka. 2018 RHBF Summary'!$A:$V,22,FALSE)</f>
        <v>0</v>
      </c>
      <c r="W24" s="609"/>
      <c r="X24" s="609"/>
    </row>
    <row r="25" spans="1:24" x14ac:dyDescent="0.2">
      <c r="W25" s="609"/>
      <c r="X25" s="609"/>
    </row>
    <row r="26" spans="1:24" s="680" customFormat="1" x14ac:dyDescent="0.2">
      <c r="A26" s="716"/>
      <c r="B26" s="717" t="s">
        <v>1510</v>
      </c>
      <c r="F26" s="541">
        <f>'Ka. 2018 RHBF Summary'!E312</f>
        <v>949949851</v>
      </c>
      <c r="G26" s="541">
        <f>'Ka. 2018 RHBF Summary'!F312</f>
        <v>43503399006</v>
      </c>
      <c r="H26" s="541">
        <f>'Ka. 2018 RHBF Summary'!G312</f>
        <v>32786624459</v>
      </c>
      <c r="I26" s="541"/>
      <c r="J26" s="541">
        <f>'Ka. 2018 RHBF Summary'!H312</f>
        <v>0</v>
      </c>
      <c r="K26" s="541">
        <f>'Ka. 2018 RHBF Summary'!I312</f>
        <v>0</v>
      </c>
      <c r="L26" s="541">
        <f>'Ka. 2018 RHBF Summary'!J312</f>
        <v>0</v>
      </c>
      <c r="M26" s="541">
        <f>'Ka. 2018 RHBF Summary'!K312</f>
        <v>1069202810</v>
      </c>
      <c r="N26" s="541"/>
      <c r="O26" s="541">
        <f>'Ka. 2018 RHBF Summary'!N312</f>
        <v>2350861287</v>
      </c>
      <c r="P26" s="541">
        <f>'Ka. 2018 RHBF Summary'!O312</f>
        <v>12184938</v>
      </c>
      <c r="Q26" s="541">
        <f>'Ka. 2018 RHBF Summary'!P312</f>
        <v>9029286691</v>
      </c>
      <c r="R26" s="541">
        <f>'Ka. 2018 RHBF Summary'!Q312</f>
        <v>1069202771</v>
      </c>
      <c r="S26" s="541"/>
      <c r="T26" s="541">
        <f>'Ka. 2018 RHBF Summary'!T312</f>
        <v>1625508214</v>
      </c>
      <c r="U26" s="541">
        <f>'Ka. 2018 RHBF Summary'!U312</f>
        <v>-50</v>
      </c>
      <c r="V26" s="541">
        <f>'Ka. 2018 RHBF Summary'!V312</f>
        <v>1625508164</v>
      </c>
      <c r="W26" s="679"/>
      <c r="X26" s="679"/>
    </row>
    <row r="27" spans="1:24" x14ac:dyDescent="0.2">
      <c r="A27" s="23"/>
      <c r="F27" s="551"/>
      <c r="G27" s="551"/>
      <c r="H27" s="551"/>
      <c r="J27" s="551"/>
      <c r="K27" s="551"/>
      <c r="L27" s="551"/>
      <c r="M27" s="551"/>
      <c r="O27" s="551"/>
      <c r="P27" s="551"/>
      <c r="Q27" s="551"/>
      <c r="R27" s="551"/>
      <c r="T27" s="551"/>
      <c r="U27" s="551"/>
      <c r="V27" s="551"/>
      <c r="W27" s="609"/>
      <c r="X27" s="609"/>
    </row>
    <row r="28" spans="1:24" ht="15" hidden="1" x14ac:dyDescent="0.25">
      <c r="A28" s="554" t="s">
        <v>1139</v>
      </c>
      <c r="F28" s="551"/>
      <c r="G28" s="551"/>
      <c r="H28" s="551"/>
      <c r="J28" s="551"/>
      <c r="K28" s="551"/>
      <c r="L28" s="551"/>
      <c r="M28" s="551"/>
      <c r="O28" s="551"/>
      <c r="P28" s="551"/>
      <c r="Q28" s="551"/>
      <c r="R28" s="551"/>
      <c r="T28" s="551"/>
      <c r="U28" s="551"/>
      <c r="V28" s="551"/>
      <c r="W28" s="609"/>
      <c r="X28" s="609"/>
    </row>
    <row r="29" spans="1:24" hidden="1" x14ac:dyDescent="0.2">
      <c r="A29" s="23" t="str">
        <f>C15</f>
        <v>N/A</v>
      </c>
      <c r="B29" s="607" t="str">
        <f>C14</f>
        <v>No Agency Chosen</v>
      </c>
      <c r="C29" s="557" t="e">
        <f>VLOOKUP($A$29,'Jb. TSERS Data PY'!$A:$U,'K. GASB 75 RHBF'!C19,FALSE)</f>
        <v>#N/A</v>
      </c>
      <c r="D29" s="557" t="e">
        <f>VLOOKUP($A$29,'Jb. TSERS Data PY'!$A:$U,'K. GASB 75 RHBF'!D19,FALSE)</f>
        <v>#N/A</v>
      </c>
      <c r="E29" s="553" t="e">
        <f>C29-D29</f>
        <v>#N/A</v>
      </c>
      <c r="F29" s="36" t="e">
        <f>VLOOKUP($A29,'Jb. TSERS Data PY'!$A:$U,F19,FALSE)</f>
        <v>#N/A</v>
      </c>
      <c r="G29" s="36" t="e">
        <f>VLOOKUP($A29,'Jb. TSERS Data PY'!$A:$U,G19,FALSE)</f>
        <v>#N/A</v>
      </c>
      <c r="H29" s="36" t="e">
        <f>VLOOKUP($A29,'Jb. TSERS Data PY'!$A:$U,H19,FALSE)</f>
        <v>#N/A</v>
      </c>
      <c r="I29" s="36"/>
      <c r="J29" s="36" t="e">
        <f>VLOOKUP($A29,'Jb. TSERS Data PY'!$A:$U,J19,FALSE)</f>
        <v>#N/A</v>
      </c>
      <c r="K29" s="36" t="e">
        <f>VLOOKUP($A29,'Jb. TSERS Data PY'!$A:$U,K19,FALSE)</f>
        <v>#N/A</v>
      </c>
      <c r="L29" s="36" t="e">
        <f>VLOOKUP($A29,'Jb. TSERS Data PY'!$A:$U,L19,FALSE)</f>
        <v>#N/A</v>
      </c>
      <c r="M29" s="36" t="e">
        <f>VLOOKUP($A29,'Jb. TSERS Data PY'!$A:$U,M19,FALSE)</f>
        <v>#N/A</v>
      </c>
      <c r="N29" s="36"/>
      <c r="O29" s="36" t="e">
        <f>VLOOKUP($A29,'Jb. TSERS Data PY'!$A:$U,O19,FALSE)</f>
        <v>#N/A</v>
      </c>
      <c r="P29" s="36" t="e">
        <f>VLOOKUP($A29,'Jb. TSERS Data PY'!$A:$U,P19,FALSE)</f>
        <v>#N/A</v>
      </c>
      <c r="Q29" s="36" t="e">
        <f>VLOOKUP($A29,'Jb. TSERS Data PY'!$A:$U,Q19,FALSE)</f>
        <v>#N/A</v>
      </c>
      <c r="R29" s="36" t="e">
        <f>VLOOKUP($A29,'Jb. TSERS Data PY'!$A:$U,R19,FALSE)</f>
        <v>#N/A</v>
      </c>
      <c r="S29" s="36"/>
      <c r="T29" s="36" t="e">
        <f>VLOOKUP($A29,'Jb. TSERS Data PY'!$A:$U,T19,FALSE)</f>
        <v>#N/A</v>
      </c>
      <c r="U29" s="36" t="e">
        <f>VLOOKUP($A29,'Jb. TSERS Data PY'!$A:$U,U19,FALSE)</f>
        <v>#N/A</v>
      </c>
      <c r="V29" s="36" t="e">
        <f>VLOOKUP($A29,'Jb. TSERS Data PY'!$A:$U,V19,FALSE)</f>
        <v>#N/A</v>
      </c>
      <c r="W29" s="609"/>
      <c r="X29" s="609"/>
    </row>
    <row r="30" spans="1:24" hidden="1" x14ac:dyDescent="0.2">
      <c r="A30" s="23"/>
      <c r="F30" s="551"/>
      <c r="G30" s="551"/>
      <c r="H30" s="551"/>
      <c r="J30" s="551"/>
      <c r="K30" s="551"/>
      <c r="L30" s="551"/>
      <c r="M30" s="551"/>
      <c r="O30" s="551"/>
      <c r="P30" s="551"/>
      <c r="Q30" s="551"/>
      <c r="R30" s="551"/>
      <c r="T30" s="551"/>
      <c r="U30" s="551"/>
      <c r="V30" s="551"/>
      <c r="W30" s="609"/>
      <c r="X30" s="609"/>
    </row>
    <row r="31" spans="1:24" hidden="1" x14ac:dyDescent="0.2">
      <c r="A31" s="23"/>
      <c r="B31" s="607" t="s">
        <v>1138</v>
      </c>
      <c r="F31" s="551">
        <f>'Jb. TSERS Data PY'!E298</f>
        <v>1262508386</v>
      </c>
      <c r="G31" s="551">
        <f>'Jb. TSERS Data PY'!F298</f>
        <v>1172421109</v>
      </c>
      <c r="H31" s="551">
        <f>'Jb. TSERS Data PY'!G298</f>
        <v>3685197999</v>
      </c>
      <c r="I31" s="551"/>
      <c r="J31" s="551">
        <f>'Jb. TSERS Data PY'!I298</f>
        <v>0</v>
      </c>
      <c r="K31" s="551">
        <f>'Jb. TSERS Data PY'!J298</f>
        <v>2571626007</v>
      </c>
      <c r="L31" s="551">
        <f>'Jb. TSERS Data PY'!K298</f>
        <v>0</v>
      </c>
      <c r="M31" s="551">
        <f>'Jb. TSERS Data PY'!L298</f>
        <v>90295984</v>
      </c>
      <c r="N31" s="551"/>
      <c r="O31" s="551">
        <f>'Jb. TSERS Data PY'!N298</f>
        <v>419007001</v>
      </c>
      <c r="P31" s="551">
        <f>'Jb. TSERS Data PY'!O298</f>
        <v>2970886000</v>
      </c>
      <c r="Q31" s="551">
        <f>'Jb. TSERS Data PY'!P298</f>
        <v>0</v>
      </c>
      <c r="R31" s="551">
        <f>'Jb. TSERS Data PY'!Q298</f>
        <v>90295817</v>
      </c>
      <c r="S31" s="551"/>
      <c r="T31" s="551">
        <f>'Jb. TSERS Data PY'!S298</f>
        <v>359085000</v>
      </c>
      <c r="U31" s="551">
        <f>'Jb. TSERS Data PY'!T298</f>
        <v>69</v>
      </c>
      <c r="V31" s="551">
        <f>'Jb. TSERS Data PY'!U298</f>
        <v>359085071</v>
      </c>
      <c r="W31" s="609"/>
      <c r="X31" s="609"/>
    </row>
    <row r="32" spans="1:24" hidden="1" x14ac:dyDescent="0.2">
      <c r="A32" s="23"/>
      <c r="F32" s="551"/>
      <c r="G32" s="551"/>
      <c r="H32" s="551"/>
      <c r="J32" s="551"/>
      <c r="K32" s="551"/>
      <c r="L32" s="551"/>
      <c r="M32" s="551"/>
      <c r="O32" s="551"/>
      <c r="P32" s="551"/>
      <c r="Q32" s="551"/>
      <c r="R32" s="551"/>
      <c r="T32" s="551"/>
      <c r="U32" s="551"/>
      <c r="V32" s="551"/>
      <c r="W32" s="609"/>
      <c r="X32" s="609"/>
    </row>
    <row r="33" spans="1:24" ht="25.5" hidden="1" x14ac:dyDescent="0.2">
      <c r="A33" s="23"/>
      <c r="F33" s="551"/>
      <c r="G33" s="551"/>
      <c r="H33" s="551"/>
      <c r="J33" s="82" t="s">
        <v>1155</v>
      </c>
      <c r="K33" s="8" t="e">
        <f>K29-P29</f>
        <v>#N/A</v>
      </c>
      <c r="L33" s="551"/>
      <c r="M33" s="551"/>
      <c r="O33" s="551"/>
      <c r="P33" s="551"/>
      <c r="Q33" s="551"/>
      <c r="R33" s="551"/>
      <c r="T33" s="551"/>
      <c r="U33" s="551"/>
      <c r="V33" s="551"/>
      <c r="W33" s="609"/>
      <c r="X33" s="609"/>
    </row>
    <row r="34" spans="1:24" ht="15" hidden="1" x14ac:dyDescent="0.25">
      <c r="A34" s="552"/>
      <c r="B34" s="598"/>
      <c r="C34" s="609"/>
      <c r="D34" s="609"/>
      <c r="E34" s="609"/>
      <c r="F34" s="594"/>
      <c r="G34" s="594"/>
      <c r="H34" s="594"/>
      <c r="I34" s="609"/>
      <c r="J34" s="594"/>
      <c r="K34" s="594"/>
      <c r="L34" s="594"/>
      <c r="M34" s="594"/>
      <c r="N34" s="609"/>
      <c r="O34" s="594"/>
      <c r="P34" s="551"/>
      <c r="Q34" s="551"/>
      <c r="R34" s="551"/>
      <c r="T34" s="551"/>
      <c r="U34" s="551"/>
      <c r="V34" s="551"/>
      <c r="W34" s="609"/>
      <c r="X34" s="609"/>
    </row>
    <row r="35" spans="1:24" hidden="1" x14ac:dyDescent="0.2">
      <c r="A35" s="552"/>
      <c r="B35" s="609" t="s">
        <v>1515</v>
      </c>
      <c r="C35" s="609"/>
      <c r="D35" s="8">
        <f>IF(G24-F24&gt;0,G24-F24,0)</f>
        <v>0</v>
      </c>
      <c r="E35" s="599">
        <f>IF(G24-F24&lt;0,-(G24-F24),0)</f>
        <v>0</v>
      </c>
      <c r="F35" s="594"/>
      <c r="G35" s="594"/>
      <c r="H35" s="594"/>
      <c r="I35" s="609"/>
      <c r="J35" s="594"/>
      <c r="K35" s="594"/>
      <c r="L35" s="594"/>
      <c r="M35" s="594"/>
      <c r="N35" s="609"/>
      <c r="O35" s="594"/>
      <c r="P35" s="551"/>
      <c r="Q35" s="551"/>
      <c r="R35" s="551"/>
      <c r="T35" s="551"/>
      <c r="U35" s="551"/>
      <c r="V35" s="551"/>
      <c r="W35" s="609"/>
      <c r="X35" s="609"/>
    </row>
    <row r="36" spans="1:24" ht="15" hidden="1" x14ac:dyDescent="0.25">
      <c r="A36" s="552"/>
      <c r="B36" s="609" t="s">
        <v>1177</v>
      </c>
      <c r="C36" s="609"/>
      <c r="D36" s="8"/>
      <c r="E36" s="599">
        <f>H24</f>
        <v>0</v>
      </c>
      <c r="F36" s="463"/>
      <c r="G36" s="594"/>
      <c r="H36" s="609"/>
      <c r="I36" s="594"/>
      <c r="J36" s="594"/>
      <c r="K36" s="594"/>
      <c r="L36" s="594"/>
      <c r="M36" s="609"/>
      <c r="N36" s="594"/>
      <c r="O36" s="609"/>
      <c r="P36" s="551"/>
      <c r="Q36" s="551"/>
      <c r="R36" s="551"/>
      <c r="T36" s="551"/>
      <c r="U36" s="551"/>
      <c r="V36" s="551"/>
      <c r="W36" s="609"/>
      <c r="X36" s="609"/>
    </row>
    <row r="37" spans="1:24" hidden="1" x14ac:dyDescent="0.2">
      <c r="A37" s="552"/>
      <c r="B37" s="609" t="s">
        <v>1568</v>
      </c>
      <c r="C37" s="609"/>
      <c r="D37" s="8">
        <f>V24</f>
        <v>0</v>
      </c>
      <c r="E37" s="599"/>
      <c r="F37" s="594"/>
      <c r="G37" s="594"/>
      <c r="H37" s="609"/>
      <c r="I37" s="594"/>
      <c r="J37" s="594"/>
      <c r="K37" s="594"/>
      <c r="L37" s="594"/>
      <c r="M37" s="609"/>
      <c r="N37" s="594"/>
      <c r="O37" s="609"/>
      <c r="P37" s="551"/>
      <c r="Q37" s="551"/>
      <c r="R37" s="551"/>
      <c r="T37" s="551"/>
      <c r="U37" s="551"/>
      <c r="V37" s="551"/>
      <c r="W37" s="609"/>
      <c r="X37" s="609"/>
    </row>
    <row r="38" spans="1:24" hidden="1" x14ac:dyDescent="0.2">
      <c r="A38" s="552"/>
      <c r="B38" s="609" t="s">
        <v>1157</v>
      </c>
      <c r="C38" s="609"/>
      <c r="D38" s="8"/>
      <c r="E38" s="599">
        <v>0</v>
      </c>
      <c r="F38" s="594"/>
      <c r="G38" s="594"/>
      <c r="H38" s="609"/>
      <c r="I38" s="594"/>
      <c r="J38" s="594"/>
      <c r="K38" s="594"/>
      <c r="L38" s="594"/>
      <c r="M38" s="609"/>
      <c r="N38" s="594"/>
      <c r="O38" s="609"/>
      <c r="P38" s="551"/>
      <c r="Q38" s="551"/>
      <c r="R38" s="551"/>
      <c r="T38" s="551"/>
      <c r="U38" s="551"/>
      <c r="V38" s="551"/>
      <c r="W38" s="609"/>
      <c r="X38" s="609"/>
    </row>
    <row r="39" spans="1:24" hidden="1" x14ac:dyDescent="0.2">
      <c r="A39" s="552"/>
      <c r="B39" s="609" t="s">
        <v>1158</v>
      </c>
      <c r="C39" s="609"/>
      <c r="D39" s="8"/>
      <c r="E39" s="599">
        <v>0</v>
      </c>
      <c r="F39" s="594"/>
      <c r="G39" s="594"/>
      <c r="H39" s="609"/>
      <c r="I39" s="594"/>
      <c r="J39" s="594"/>
      <c r="K39" s="594"/>
      <c r="L39" s="594"/>
      <c r="M39" s="609"/>
      <c r="N39" s="594"/>
      <c r="O39" s="609"/>
      <c r="P39" s="551"/>
      <c r="Q39" s="551"/>
      <c r="R39" s="551"/>
      <c r="T39" s="551"/>
      <c r="U39" s="551"/>
      <c r="V39" s="551"/>
      <c r="W39" s="609"/>
      <c r="X39" s="609"/>
    </row>
    <row r="40" spans="1:24" hidden="1" x14ac:dyDescent="0.2">
      <c r="A40" s="552"/>
      <c r="B40" s="609" t="s">
        <v>1159</v>
      </c>
      <c r="C40" s="609"/>
      <c r="D40" s="8"/>
      <c r="E40" s="599">
        <v>0</v>
      </c>
      <c r="F40" s="101"/>
      <c r="G40" s="101"/>
      <c r="H40" s="101"/>
      <c r="I40" s="101"/>
      <c r="J40" s="101"/>
      <c r="K40" s="101"/>
      <c r="L40" s="101"/>
      <c r="M40" s="101"/>
      <c r="N40" s="101"/>
      <c r="O40" s="609"/>
      <c r="P40" s="551"/>
      <c r="Q40" s="551"/>
      <c r="R40" s="551"/>
      <c r="T40" s="551"/>
      <c r="U40" s="551"/>
      <c r="V40" s="551"/>
      <c r="W40" s="609"/>
      <c r="X40" s="609"/>
    </row>
    <row r="41" spans="1:24" hidden="1" x14ac:dyDescent="0.2">
      <c r="A41" s="552"/>
      <c r="B41" s="82" t="s">
        <v>1160</v>
      </c>
      <c r="C41" s="609"/>
      <c r="D41" s="8"/>
      <c r="E41" s="599">
        <v>0</v>
      </c>
      <c r="F41" s="101"/>
      <c r="G41" s="101"/>
      <c r="H41" s="101"/>
      <c r="I41" s="101"/>
      <c r="J41" s="101"/>
      <c r="K41" s="101"/>
      <c r="L41" s="101"/>
      <c r="M41" s="101"/>
      <c r="N41" s="101"/>
      <c r="O41" s="609"/>
      <c r="P41" s="551"/>
      <c r="Q41" s="551"/>
      <c r="R41" s="551"/>
      <c r="T41" s="551"/>
      <c r="U41" s="551"/>
      <c r="V41" s="551"/>
      <c r="W41" s="609"/>
      <c r="X41" s="609"/>
    </row>
    <row r="42" spans="1:24" hidden="1" x14ac:dyDescent="0.2">
      <c r="A42" s="552"/>
      <c r="B42" s="82" t="s">
        <v>1161</v>
      </c>
      <c r="C42" s="609"/>
      <c r="D42" s="8">
        <v>0</v>
      </c>
      <c r="E42" s="364"/>
      <c r="F42" s="610"/>
      <c r="G42" s="610"/>
      <c r="H42" s="610"/>
      <c r="I42" s="609"/>
      <c r="J42" s="555"/>
      <c r="K42" s="609"/>
      <c r="L42" s="609"/>
      <c r="M42" s="609"/>
      <c r="N42" s="609"/>
      <c r="O42" s="609"/>
      <c r="P42" s="551"/>
      <c r="Q42" s="551"/>
      <c r="R42" s="551"/>
      <c r="T42" s="551"/>
      <c r="U42" s="551"/>
      <c r="V42" s="551"/>
      <c r="W42" s="609"/>
      <c r="X42" s="609"/>
    </row>
    <row r="43" spans="1:24" hidden="1" x14ac:dyDescent="0.2">
      <c r="A43" s="552"/>
      <c r="B43" s="609" t="s">
        <v>1162</v>
      </c>
      <c r="C43" s="609"/>
      <c r="D43" s="8">
        <v>0</v>
      </c>
      <c r="E43" s="599"/>
      <c r="F43" s="610"/>
      <c r="G43" s="610"/>
      <c r="H43" s="610"/>
      <c r="I43" s="609"/>
      <c r="J43" s="555"/>
      <c r="K43" s="609"/>
      <c r="L43" s="609"/>
      <c r="M43" s="609"/>
      <c r="N43" s="609"/>
      <c r="O43" s="609"/>
      <c r="P43" s="551"/>
      <c r="Q43" s="551"/>
      <c r="R43" s="551"/>
      <c r="T43" s="551"/>
      <c r="U43" s="551"/>
      <c r="V43" s="551"/>
      <c r="W43" s="609"/>
      <c r="X43" s="609"/>
    </row>
    <row r="44" spans="1:24" ht="15" hidden="1" x14ac:dyDescent="0.25">
      <c r="A44" s="552"/>
      <c r="B44" s="602" t="s">
        <v>1163</v>
      </c>
      <c r="C44" s="600"/>
      <c r="D44" s="603">
        <v>0</v>
      </c>
      <c r="E44" s="603"/>
      <c r="F44" s="601"/>
      <c r="G44" s="601"/>
      <c r="H44" s="601"/>
      <c r="I44" s="601"/>
      <c r="J44" s="601"/>
      <c r="K44" s="601"/>
      <c r="L44" s="601"/>
      <c r="M44" s="601"/>
      <c r="N44" s="601"/>
      <c r="O44" s="609"/>
      <c r="P44" s="551"/>
      <c r="Q44" s="551"/>
      <c r="R44" s="551"/>
      <c r="T44" s="551"/>
      <c r="U44" s="551"/>
      <c r="V44" s="551"/>
      <c r="W44" s="609"/>
      <c r="X44" s="609"/>
    </row>
    <row r="45" spans="1:24" hidden="1" x14ac:dyDescent="0.2">
      <c r="A45" s="552"/>
      <c r="B45" s="602" t="s">
        <v>1164</v>
      </c>
      <c r="C45" s="600"/>
      <c r="D45" s="603">
        <v>0</v>
      </c>
      <c r="E45" s="603"/>
      <c r="F45" s="595"/>
      <c r="G45" s="595"/>
      <c r="H45" s="595"/>
      <c r="I45" s="609"/>
      <c r="J45" s="609"/>
      <c r="K45" s="609"/>
      <c r="L45" s="609"/>
      <c r="M45" s="609"/>
      <c r="N45" s="609"/>
      <c r="O45" s="609"/>
      <c r="P45" s="551"/>
      <c r="Q45" s="551"/>
      <c r="R45" s="551"/>
      <c r="T45" s="551"/>
      <c r="U45" s="551"/>
      <c r="V45" s="551"/>
      <c r="W45" s="609"/>
      <c r="X45" s="609"/>
    </row>
    <row r="46" spans="1:24" hidden="1" x14ac:dyDescent="0.2">
      <c r="A46" s="552"/>
      <c r="B46" s="609" t="s">
        <v>1165</v>
      </c>
      <c r="C46" s="600"/>
      <c r="D46" s="603">
        <f>J24</f>
        <v>0</v>
      </c>
      <c r="E46" s="603"/>
      <c r="F46" s="609"/>
      <c r="G46" s="609"/>
      <c r="H46" s="609"/>
      <c r="I46" s="609"/>
      <c r="J46" s="609"/>
      <c r="K46" s="609"/>
      <c r="L46" s="609"/>
      <c r="M46" s="609"/>
      <c r="N46" s="609"/>
      <c r="O46" s="609"/>
      <c r="P46" s="551"/>
      <c r="Q46" s="551"/>
      <c r="R46" s="551"/>
      <c r="T46" s="551"/>
      <c r="U46" s="551"/>
      <c r="V46" s="551"/>
      <c r="W46" s="609"/>
      <c r="X46" s="609"/>
    </row>
    <row r="47" spans="1:24" hidden="1" x14ac:dyDescent="0.2">
      <c r="A47" s="552"/>
      <c r="B47" s="609" t="s">
        <v>1166</v>
      </c>
      <c r="C47" s="600"/>
      <c r="D47" s="603">
        <f>IF(K24&gt;P24,K24-P24,0)</f>
        <v>0</v>
      </c>
      <c r="E47" s="603"/>
      <c r="F47" s="596"/>
      <c r="G47" s="596"/>
      <c r="H47" s="596"/>
      <c r="I47" s="609"/>
      <c r="J47" s="609"/>
      <c r="K47" s="609"/>
      <c r="L47" s="609"/>
      <c r="M47" s="609"/>
      <c r="N47" s="609"/>
      <c r="O47" s="609"/>
      <c r="P47" s="551"/>
      <c r="Q47" s="551"/>
      <c r="R47" s="551"/>
      <c r="T47" s="551"/>
      <c r="U47" s="551"/>
      <c r="V47" s="551"/>
      <c r="W47" s="609"/>
      <c r="X47" s="609"/>
    </row>
    <row r="48" spans="1:24" hidden="1" x14ac:dyDescent="0.2">
      <c r="A48" s="552"/>
      <c r="B48" s="609" t="s">
        <v>1167</v>
      </c>
      <c r="C48" s="600"/>
      <c r="D48" s="603">
        <f>L24</f>
        <v>0</v>
      </c>
      <c r="E48" s="364"/>
      <c r="F48" s="609"/>
      <c r="G48" s="609"/>
      <c r="H48" s="609"/>
      <c r="I48" s="609"/>
      <c r="J48" s="609"/>
      <c r="K48" s="609"/>
      <c r="L48" s="609"/>
      <c r="M48" s="609"/>
      <c r="N48" s="609"/>
      <c r="O48" s="609"/>
      <c r="P48" s="551"/>
      <c r="Q48" s="551"/>
      <c r="R48" s="551"/>
      <c r="T48" s="551"/>
      <c r="U48" s="551"/>
      <c r="V48" s="551"/>
      <c r="W48" s="609"/>
      <c r="X48" s="609"/>
    </row>
    <row r="49" spans="1:24" ht="15" hidden="1" x14ac:dyDescent="0.25">
      <c r="A49" s="552"/>
      <c r="B49" s="82" t="s">
        <v>1168</v>
      </c>
      <c r="C49" s="600"/>
      <c r="D49" s="603">
        <f>M24</f>
        <v>0</v>
      </c>
      <c r="E49" s="364"/>
      <c r="F49" s="597"/>
      <c r="G49" s="597"/>
      <c r="H49" s="597"/>
      <c r="I49" s="598"/>
      <c r="J49" s="598"/>
      <c r="K49" s="598"/>
      <c r="L49" s="598"/>
      <c r="M49" s="598"/>
      <c r="N49" s="598"/>
      <c r="O49" s="609"/>
      <c r="P49" s="551"/>
      <c r="Q49" s="551"/>
      <c r="R49" s="551"/>
      <c r="T49" s="551"/>
      <c r="U49" s="551"/>
      <c r="V49" s="551"/>
      <c r="W49" s="609"/>
      <c r="X49" s="609"/>
    </row>
    <row r="50" spans="1:24" hidden="1" x14ac:dyDescent="0.2">
      <c r="A50" s="552"/>
      <c r="B50" s="82" t="s">
        <v>1169</v>
      </c>
      <c r="C50" s="600"/>
      <c r="D50" s="603"/>
      <c r="E50" s="364">
        <f>O24</f>
        <v>0</v>
      </c>
      <c r="F50" s="609"/>
      <c r="G50" s="609"/>
      <c r="H50" s="609"/>
      <c r="I50" s="609"/>
      <c r="J50" s="609"/>
      <c r="K50" s="609"/>
      <c r="L50" s="609"/>
      <c r="M50" s="609"/>
      <c r="N50" s="609"/>
      <c r="O50" s="609"/>
      <c r="P50" s="551"/>
      <c r="Q50" s="551"/>
      <c r="R50" s="551"/>
      <c r="T50" s="551"/>
      <c r="U50" s="551"/>
      <c r="V50" s="551"/>
      <c r="W50" s="609"/>
      <c r="X50" s="609"/>
    </row>
    <row r="51" spans="1:24" hidden="1" x14ac:dyDescent="0.2">
      <c r="A51" s="552"/>
      <c r="B51" s="609" t="s">
        <v>1170</v>
      </c>
      <c r="C51" s="609"/>
      <c r="D51" s="8"/>
      <c r="E51" s="599">
        <f>IF(P24&gt;K24,P24-K24,0)</f>
        <v>0</v>
      </c>
      <c r="F51" s="609"/>
      <c r="G51" s="609"/>
      <c r="H51" s="609"/>
      <c r="I51" s="609"/>
      <c r="J51" s="609"/>
      <c r="K51" s="609"/>
      <c r="L51" s="596"/>
      <c r="M51" s="609"/>
      <c r="N51" s="609"/>
      <c r="O51" s="609"/>
      <c r="P51" s="551"/>
      <c r="Q51" s="551"/>
      <c r="R51" s="551"/>
      <c r="T51" s="551"/>
      <c r="U51" s="551"/>
      <c r="V51" s="551"/>
      <c r="W51" s="609"/>
      <c r="X51" s="609"/>
    </row>
    <row r="52" spans="1:24" hidden="1" x14ac:dyDescent="0.2">
      <c r="A52" s="552"/>
      <c r="B52" s="602" t="s">
        <v>1171</v>
      </c>
      <c r="C52" s="609"/>
      <c r="D52" s="8"/>
      <c r="E52" s="599">
        <f>Q24</f>
        <v>0</v>
      </c>
      <c r="F52" s="609"/>
      <c r="G52" s="609"/>
      <c r="H52" s="609"/>
      <c r="I52" s="609"/>
      <c r="J52" s="609"/>
      <c r="K52" s="609"/>
      <c r="L52" s="596"/>
      <c r="M52" s="609"/>
      <c r="N52" s="609"/>
      <c r="O52" s="609"/>
      <c r="P52" s="551"/>
      <c r="Q52" s="551"/>
      <c r="R52" s="551"/>
      <c r="T52" s="551"/>
      <c r="U52" s="551"/>
      <c r="V52" s="551"/>
      <c r="W52" s="609"/>
      <c r="X52" s="609"/>
    </row>
    <row r="53" spans="1:24" hidden="1" x14ac:dyDescent="0.2">
      <c r="A53" s="552"/>
      <c r="B53" s="602" t="s">
        <v>1172</v>
      </c>
      <c r="C53" s="609"/>
      <c r="D53" s="8"/>
      <c r="E53" s="599">
        <f>R24</f>
        <v>0</v>
      </c>
      <c r="F53" s="609"/>
      <c r="G53" s="609"/>
      <c r="H53" s="609"/>
      <c r="I53" s="609"/>
      <c r="J53" s="609"/>
      <c r="K53" s="609"/>
      <c r="L53" s="595"/>
      <c r="M53" s="609"/>
      <c r="N53" s="609"/>
      <c r="O53" s="609"/>
      <c r="P53" s="551"/>
      <c r="Q53" s="551"/>
      <c r="R53" s="551"/>
      <c r="T53" s="551"/>
      <c r="U53" s="551"/>
      <c r="V53" s="551"/>
      <c r="W53" s="609"/>
      <c r="X53" s="609"/>
    </row>
    <row r="54" spans="1:24" hidden="1" x14ac:dyDescent="0.2">
      <c r="A54" s="552"/>
      <c r="B54" s="609" t="s">
        <v>1561</v>
      </c>
      <c r="C54" s="609"/>
      <c r="D54" s="8">
        <f>C17</f>
        <v>0</v>
      </c>
      <c r="E54" s="599">
        <v>0</v>
      </c>
      <c r="F54" s="609"/>
      <c r="G54" s="609"/>
      <c r="H54" s="609"/>
      <c r="I54" s="609"/>
      <c r="J54" s="609"/>
      <c r="K54" s="609"/>
      <c r="L54" s="596"/>
      <c r="M54" s="609"/>
      <c r="N54" s="609"/>
      <c r="O54" s="609"/>
      <c r="P54" s="551"/>
      <c r="Q54" s="551"/>
      <c r="R54" s="551"/>
      <c r="T54" s="551"/>
      <c r="U54" s="551"/>
      <c r="V54" s="551"/>
      <c r="W54" s="609"/>
      <c r="X54" s="609"/>
    </row>
    <row r="55" spans="1:24" hidden="1" x14ac:dyDescent="0.2">
      <c r="A55" s="552"/>
      <c r="B55" s="609" t="s">
        <v>1517</v>
      </c>
      <c r="C55" s="609"/>
      <c r="D55" s="8"/>
      <c r="E55" s="599">
        <f>C17</f>
        <v>0</v>
      </c>
      <c r="F55" s="609"/>
      <c r="G55" s="609"/>
      <c r="H55" s="609"/>
      <c r="I55" s="609"/>
      <c r="J55" s="609"/>
      <c r="K55" s="609"/>
      <c r="L55" s="596"/>
      <c r="M55" s="609"/>
      <c r="N55" s="609"/>
      <c r="O55" s="609"/>
      <c r="P55" s="551"/>
      <c r="Q55" s="551"/>
      <c r="R55" s="551"/>
      <c r="T55" s="551"/>
      <c r="U55" s="551"/>
      <c r="V55" s="551"/>
      <c r="W55" s="609"/>
      <c r="X55" s="609"/>
    </row>
    <row r="56" spans="1:24" hidden="1" x14ac:dyDescent="0.2">
      <c r="A56" s="552"/>
      <c r="B56" s="609" t="s">
        <v>1569</v>
      </c>
      <c r="C56" s="609"/>
      <c r="D56" s="8"/>
      <c r="E56" s="599">
        <v>0</v>
      </c>
      <c r="F56" s="596"/>
      <c r="G56" s="596"/>
      <c r="H56" s="596"/>
      <c r="I56" s="596"/>
      <c r="J56" s="596"/>
      <c r="K56" s="596"/>
      <c r="L56" s="596"/>
      <c r="M56" s="595"/>
      <c r="N56" s="596"/>
      <c r="O56" s="609"/>
      <c r="P56" s="551"/>
      <c r="Q56" s="551"/>
      <c r="R56" s="551"/>
      <c r="T56" s="551"/>
      <c r="U56" s="551"/>
      <c r="V56" s="551"/>
      <c r="W56" s="609"/>
      <c r="X56" s="609"/>
    </row>
    <row r="57" spans="1:24" hidden="1" x14ac:dyDescent="0.2">
      <c r="A57" s="552"/>
      <c r="B57" s="609" t="s">
        <v>1570</v>
      </c>
      <c r="C57" s="609"/>
      <c r="D57" s="8">
        <v>0</v>
      </c>
      <c r="E57" s="599">
        <v>0</v>
      </c>
      <c r="F57" s="609"/>
      <c r="G57" s="609"/>
      <c r="H57" s="609"/>
      <c r="I57" s="609"/>
      <c r="J57" s="609"/>
      <c r="K57" s="609"/>
      <c r="L57" s="609"/>
      <c r="M57" s="609"/>
      <c r="N57" s="609"/>
      <c r="O57" s="609"/>
      <c r="P57" s="551"/>
      <c r="Q57" s="551"/>
      <c r="R57" s="551"/>
      <c r="T57" s="551"/>
      <c r="U57" s="551"/>
      <c r="V57" s="551"/>
      <c r="W57" s="609"/>
      <c r="X57" s="609"/>
    </row>
    <row r="58" spans="1:24" hidden="1" x14ac:dyDescent="0.2">
      <c r="A58" s="552"/>
      <c r="B58" s="609"/>
      <c r="C58" s="609"/>
      <c r="D58" s="8">
        <f>SUM(D35:D57)</f>
        <v>0</v>
      </c>
      <c r="E58" s="8">
        <f>SUM(E35:E57)</f>
        <v>0</v>
      </c>
      <c r="F58" s="595"/>
      <c r="G58" s="595"/>
      <c r="H58" s="595"/>
      <c r="I58" s="595"/>
      <c r="J58" s="595"/>
      <c r="K58" s="595"/>
      <c r="L58" s="595"/>
      <c r="M58" s="595"/>
      <c r="N58" s="595"/>
      <c r="O58" s="609"/>
      <c r="P58" s="551"/>
      <c r="Q58" s="551"/>
      <c r="R58" s="551"/>
      <c r="T58" s="551"/>
      <c r="U58" s="551"/>
      <c r="V58" s="551"/>
      <c r="W58" s="609"/>
      <c r="X58" s="609"/>
    </row>
    <row r="59" spans="1:24" hidden="1" x14ac:dyDescent="0.2">
      <c r="A59" s="552"/>
      <c r="B59" s="609"/>
      <c r="C59" s="609"/>
      <c r="D59" s="609"/>
      <c r="E59" s="609"/>
      <c r="F59" s="609"/>
      <c r="G59" s="609"/>
      <c r="H59" s="609"/>
      <c r="I59" s="609"/>
      <c r="J59" s="609"/>
      <c r="K59" s="609"/>
      <c r="L59" s="609"/>
      <c r="M59" s="609"/>
      <c r="N59" s="609"/>
      <c r="O59" s="609"/>
      <c r="P59" s="551"/>
      <c r="Q59" s="551"/>
      <c r="R59" s="551"/>
      <c r="T59" s="551"/>
      <c r="U59" s="551"/>
      <c r="V59" s="551"/>
      <c r="W59" s="609"/>
      <c r="X59" s="609"/>
    </row>
    <row r="60" spans="1:24" ht="15" x14ac:dyDescent="0.25">
      <c r="A60" s="552"/>
      <c r="B60" s="598"/>
      <c r="C60" s="597"/>
      <c r="D60" s="597"/>
      <c r="E60" s="597"/>
      <c r="F60" s="597"/>
      <c r="G60" s="597"/>
      <c r="H60" s="597"/>
      <c r="I60" s="597"/>
      <c r="J60" s="597"/>
      <c r="K60" s="597"/>
      <c r="L60" s="597"/>
      <c r="M60" s="597"/>
      <c r="N60" s="597"/>
      <c r="O60" s="609"/>
      <c r="P60" s="551"/>
      <c r="Q60" s="551"/>
      <c r="R60" s="551"/>
      <c r="T60" s="551"/>
      <c r="U60" s="551"/>
      <c r="V60" s="551"/>
      <c r="W60" s="609"/>
      <c r="X60" s="609"/>
    </row>
    <row r="61" spans="1:24" x14ac:dyDescent="0.2">
      <c r="A61" s="552"/>
      <c r="B61" s="609"/>
      <c r="C61" s="609"/>
      <c r="D61" s="609"/>
      <c r="E61" s="594"/>
      <c r="F61" s="594"/>
      <c r="G61" s="594"/>
      <c r="H61" s="609"/>
      <c r="I61" s="594"/>
      <c r="J61" s="594"/>
      <c r="K61" s="594"/>
      <c r="L61" s="594"/>
      <c r="M61" s="609"/>
      <c r="N61" s="594"/>
      <c r="O61" s="609"/>
      <c r="P61" s="551"/>
      <c r="Q61" s="551"/>
      <c r="R61" s="551"/>
      <c r="T61" s="551"/>
      <c r="U61" s="551"/>
      <c r="V61" s="551"/>
      <c r="W61" s="609"/>
      <c r="X61" s="609"/>
    </row>
    <row r="62" spans="1:24" ht="15" x14ac:dyDescent="0.25">
      <c r="A62" s="552"/>
      <c r="B62" s="598"/>
      <c r="C62" s="609"/>
      <c r="D62" s="609"/>
      <c r="E62" s="594"/>
      <c r="F62" s="594"/>
      <c r="G62" s="594"/>
      <c r="H62" s="609"/>
      <c r="I62" s="594"/>
      <c r="J62" s="594"/>
      <c r="K62" s="594"/>
      <c r="L62" s="594"/>
      <c r="M62" s="609"/>
      <c r="N62" s="594"/>
      <c r="O62" s="609"/>
      <c r="P62" s="551"/>
      <c r="Q62" s="551"/>
      <c r="R62" s="551"/>
      <c r="T62" s="551"/>
      <c r="U62" s="551"/>
      <c r="V62" s="551"/>
      <c r="W62" s="609"/>
      <c r="X62" s="609"/>
    </row>
    <row r="63" spans="1:24" ht="18" customHeight="1" x14ac:dyDescent="0.2">
      <c r="A63" s="832" t="s">
        <v>334</v>
      </c>
      <c r="B63" s="1109" t="s">
        <v>1637</v>
      </c>
      <c r="C63" s="1110"/>
      <c r="D63" s="1110"/>
      <c r="E63" s="1110"/>
      <c r="F63" s="1110"/>
      <c r="G63" s="1110"/>
      <c r="H63" s="1110"/>
      <c r="I63" s="1111"/>
    </row>
    <row r="64" spans="1:24" x14ac:dyDescent="0.2">
      <c r="A64" s="468"/>
      <c r="B64" s="469"/>
      <c r="C64" s="469"/>
      <c r="D64" s="469"/>
      <c r="E64" s="469"/>
      <c r="F64" s="469"/>
      <c r="G64" s="469"/>
      <c r="H64" s="469"/>
      <c r="I64" s="469"/>
    </row>
    <row r="65" spans="1:9" ht="18" customHeight="1" x14ac:dyDescent="0.2">
      <c r="A65" s="468"/>
      <c r="B65" s="1112" t="s">
        <v>1111</v>
      </c>
      <c r="C65" s="1113"/>
      <c r="D65" s="1113"/>
      <c r="E65" s="1114"/>
      <c r="F65" s="469"/>
      <c r="G65" s="469"/>
      <c r="H65" s="469"/>
      <c r="I65" s="469"/>
    </row>
    <row r="66" spans="1:9" x14ac:dyDescent="0.2">
      <c r="A66" s="468"/>
      <c r="B66" s="489" t="s">
        <v>1571</v>
      </c>
      <c r="C66" s="486">
        <f>'H. Other Liabilities &amp; Expenses'!L186</f>
        <v>0.8</v>
      </c>
      <c r="D66" s="469"/>
      <c r="E66" s="490"/>
      <c r="F66" s="469"/>
      <c r="G66" s="469"/>
      <c r="H66" s="469"/>
      <c r="I66" s="469"/>
    </row>
    <row r="67" spans="1:9" x14ac:dyDescent="0.2">
      <c r="A67" s="468"/>
      <c r="B67" s="489" t="s">
        <v>1572</v>
      </c>
      <c r="C67" s="486">
        <f>'H. Other Liabilities &amp; Expenses'!L187</f>
        <v>0.2</v>
      </c>
      <c r="D67" s="469"/>
      <c r="E67" s="490"/>
      <c r="F67" s="469"/>
      <c r="G67" s="469"/>
      <c r="H67" s="469"/>
      <c r="I67" s="469"/>
    </row>
    <row r="68" spans="1:9" x14ac:dyDescent="0.2">
      <c r="A68" s="468"/>
      <c r="B68" s="491" t="s">
        <v>1084</v>
      </c>
      <c r="C68" s="486">
        <f>SUM(C66:C67)</f>
        <v>1</v>
      </c>
      <c r="D68" s="469" t="str">
        <f>IF(C68=1,"=100%","DOES NOT EQUAL 100%!!!")</f>
        <v>=100%</v>
      </c>
      <c r="E68" s="490"/>
      <c r="F68" s="469"/>
      <c r="G68" s="469"/>
      <c r="H68" s="469"/>
      <c r="I68" s="469"/>
    </row>
    <row r="69" spans="1:9" x14ac:dyDescent="0.2">
      <c r="A69" s="468"/>
      <c r="B69" s="492"/>
      <c r="C69" s="486"/>
      <c r="D69" s="469"/>
      <c r="E69" s="490"/>
      <c r="F69" s="469"/>
      <c r="G69" s="469"/>
      <c r="H69" s="469"/>
      <c r="I69" s="469"/>
    </row>
    <row r="70" spans="1:9" x14ac:dyDescent="0.2">
      <c r="A70" s="468"/>
      <c r="B70" s="836" t="s">
        <v>1085</v>
      </c>
      <c r="C70" s="486"/>
      <c r="D70" s="469"/>
      <c r="E70" s="490"/>
      <c r="F70" s="469"/>
      <c r="G70" s="469"/>
      <c r="H70" s="469"/>
      <c r="I70" s="469"/>
    </row>
    <row r="71" spans="1:9" x14ac:dyDescent="0.2">
      <c r="A71" s="468"/>
      <c r="B71" s="493" t="s">
        <v>263</v>
      </c>
      <c r="C71" s="486">
        <f>'H. Other Liabilities &amp; Expenses'!L191</f>
        <v>0.4</v>
      </c>
      <c r="D71" s="469"/>
      <c r="E71" s="490"/>
      <c r="F71" s="469"/>
      <c r="G71" s="469"/>
      <c r="H71" s="469"/>
      <c r="I71" s="469"/>
    </row>
    <row r="72" spans="1:9" x14ac:dyDescent="0.2">
      <c r="A72" s="468"/>
      <c r="B72" s="493" t="s">
        <v>264</v>
      </c>
      <c r="C72" s="486">
        <f>'H. Other Liabilities &amp; Expenses'!L192</f>
        <v>0</v>
      </c>
      <c r="D72" s="469"/>
      <c r="E72" s="490"/>
      <c r="F72" s="469"/>
      <c r="G72" s="469"/>
      <c r="H72" s="469"/>
      <c r="I72" s="469"/>
    </row>
    <row r="73" spans="1:9" x14ac:dyDescent="0.2">
      <c r="A73" s="468"/>
      <c r="B73" s="493" t="s">
        <v>265</v>
      </c>
      <c r="C73" s="486">
        <f>'H. Other Liabilities &amp; Expenses'!L193</f>
        <v>0</v>
      </c>
      <c r="D73" s="469"/>
      <c r="E73" s="490"/>
      <c r="F73" s="469"/>
      <c r="G73" s="469"/>
      <c r="H73" s="469"/>
      <c r="I73" s="469"/>
    </row>
    <row r="74" spans="1:9" x14ac:dyDescent="0.2">
      <c r="A74" s="468"/>
      <c r="B74" s="493" t="s">
        <v>266</v>
      </c>
      <c r="C74" s="486">
        <f>'H. Other Liabilities &amp; Expenses'!L194</f>
        <v>0</v>
      </c>
      <c r="D74" s="469"/>
      <c r="E74" s="490"/>
      <c r="F74" s="469"/>
      <c r="G74" s="469"/>
      <c r="H74" s="469"/>
      <c r="I74" s="469"/>
    </row>
    <row r="75" spans="1:9" x14ac:dyDescent="0.2">
      <c r="A75" s="468"/>
      <c r="B75" s="493" t="s">
        <v>267</v>
      </c>
      <c r="C75" s="486">
        <f>'H. Other Liabilities &amp; Expenses'!L195</f>
        <v>0</v>
      </c>
      <c r="D75" s="469"/>
      <c r="E75" s="490"/>
      <c r="F75" s="469"/>
      <c r="G75" s="469"/>
      <c r="H75" s="469"/>
      <c r="I75" s="469"/>
    </row>
    <row r="76" spans="1:9" x14ac:dyDescent="0.2">
      <c r="A76" s="468"/>
      <c r="B76" s="493" t="s">
        <v>268</v>
      </c>
      <c r="C76" s="486">
        <f>'H. Other Liabilities &amp; Expenses'!L196</f>
        <v>0</v>
      </c>
      <c r="D76" s="469"/>
      <c r="E76" s="490"/>
      <c r="F76" s="469"/>
      <c r="G76" s="469"/>
      <c r="H76" s="469"/>
      <c r="I76" s="469"/>
    </row>
    <row r="77" spans="1:9" x14ac:dyDescent="0.2">
      <c r="A77" s="468"/>
      <c r="B77" s="493" t="s">
        <v>269</v>
      </c>
      <c r="C77" s="486">
        <f>'H. Other Liabilities &amp; Expenses'!L197</f>
        <v>0.4</v>
      </c>
      <c r="D77" s="469"/>
      <c r="E77" s="490"/>
      <c r="F77" s="469"/>
      <c r="G77" s="469"/>
      <c r="H77" s="469"/>
      <c r="I77" s="469"/>
    </row>
    <row r="78" spans="1:9" x14ac:dyDescent="0.2">
      <c r="A78" s="468"/>
      <c r="B78" s="493" t="s">
        <v>379</v>
      </c>
      <c r="C78" s="486">
        <f>'H. Other Liabilities &amp; Expenses'!L198</f>
        <v>0</v>
      </c>
      <c r="D78" s="469"/>
      <c r="E78" s="490"/>
      <c r="F78" s="469"/>
      <c r="G78" s="469"/>
      <c r="H78" s="469"/>
      <c r="I78" s="469"/>
    </row>
    <row r="79" spans="1:9" x14ac:dyDescent="0.2">
      <c r="A79" s="468"/>
      <c r="B79" s="493" t="s">
        <v>380</v>
      </c>
      <c r="C79" s="486">
        <f>'H. Other Liabilities &amp; Expenses'!L199</f>
        <v>0</v>
      </c>
      <c r="D79" s="469"/>
      <c r="E79" s="490"/>
      <c r="F79" s="469"/>
      <c r="G79" s="469"/>
      <c r="H79" s="469"/>
      <c r="I79" s="469"/>
    </row>
    <row r="80" spans="1:9" x14ac:dyDescent="0.2">
      <c r="A80" s="468"/>
      <c r="B80" s="493" t="s">
        <v>237</v>
      </c>
      <c r="C80" s="486">
        <f>'H. Other Liabilities &amp; Expenses'!L200</f>
        <v>0</v>
      </c>
      <c r="D80" s="469"/>
      <c r="E80" s="490"/>
      <c r="F80" s="469"/>
      <c r="G80" s="469"/>
      <c r="H80" s="469"/>
      <c r="I80" s="469"/>
    </row>
    <row r="81" spans="1:9" x14ac:dyDescent="0.2">
      <c r="A81" s="468"/>
      <c r="B81" s="493" t="s">
        <v>238</v>
      </c>
      <c r="C81" s="486">
        <f>'H. Other Liabilities &amp; Expenses'!L201</f>
        <v>0</v>
      </c>
      <c r="D81" s="469"/>
      <c r="E81" s="490"/>
      <c r="F81" s="469"/>
      <c r="G81" s="469"/>
      <c r="H81" s="469"/>
      <c r="I81" s="469"/>
    </row>
    <row r="82" spans="1:9" x14ac:dyDescent="0.2">
      <c r="A82" s="468"/>
      <c r="B82" s="493" t="s">
        <v>271</v>
      </c>
      <c r="C82" s="486">
        <f>'H. Other Liabilities &amp; Expenses'!L202</f>
        <v>0</v>
      </c>
      <c r="D82" s="469"/>
      <c r="E82" s="490"/>
      <c r="F82" s="469"/>
      <c r="G82" s="469"/>
      <c r="H82" s="469"/>
      <c r="I82" s="469"/>
    </row>
    <row r="83" spans="1:9" x14ac:dyDescent="0.2">
      <c r="A83" s="468"/>
      <c r="B83" s="493" t="s">
        <v>273</v>
      </c>
      <c r="C83" s="486">
        <f>'H. Other Liabilities &amp; Expenses'!L203</f>
        <v>0</v>
      </c>
      <c r="D83" s="469"/>
      <c r="E83" s="490"/>
      <c r="F83" s="469"/>
      <c r="G83" s="469"/>
      <c r="H83" s="469"/>
      <c r="I83" s="469"/>
    </row>
    <row r="84" spans="1:9" x14ac:dyDescent="0.2">
      <c r="A84" s="468"/>
      <c r="B84" s="493" t="s">
        <v>274</v>
      </c>
      <c r="C84" s="486">
        <f>'H. Other Liabilities &amp; Expenses'!L204</f>
        <v>0</v>
      </c>
      <c r="D84" s="469"/>
      <c r="E84" s="490"/>
      <c r="F84" s="469"/>
      <c r="G84" s="469"/>
      <c r="H84" s="469"/>
      <c r="I84" s="469"/>
    </row>
    <row r="85" spans="1:9" x14ac:dyDescent="0.2">
      <c r="A85" s="468"/>
      <c r="B85" s="493" t="s">
        <v>381</v>
      </c>
      <c r="C85" s="486">
        <f>'H. Other Liabilities &amp; Expenses'!L205</f>
        <v>0</v>
      </c>
      <c r="D85" s="469"/>
      <c r="E85" s="490"/>
      <c r="F85" s="469"/>
      <c r="G85" s="469"/>
      <c r="H85" s="469"/>
      <c r="I85" s="469"/>
    </row>
    <row r="86" spans="1:9" x14ac:dyDescent="0.2">
      <c r="A86" s="468"/>
      <c r="B86" s="493" t="s">
        <v>257</v>
      </c>
      <c r="C86" s="486">
        <f>'H. Other Liabilities &amp; Expenses'!L206</f>
        <v>0</v>
      </c>
      <c r="D86" s="469"/>
      <c r="E86" s="490"/>
      <c r="F86" s="469"/>
      <c r="G86" s="469"/>
      <c r="H86" s="469"/>
      <c r="I86" s="469"/>
    </row>
    <row r="87" spans="1:9" x14ac:dyDescent="0.2">
      <c r="A87" s="468"/>
      <c r="B87" s="493" t="s">
        <v>55</v>
      </c>
      <c r="C87" s="486">
        <f>'H. Other Liabilities &amp; Expenses'!L207</f>
        <v>0</v>
      </c>
      <c r="D87" s="469"/>
      <c r="E87" s="490"/>
      <c r="F87" s="469"/>
      <c r="G87" s="469"/>
      <c r="H87" s="469"/>
      <c r="I87" s="469"/>
    </row>
    <row r="88" spans="1:9" x14ac:dyDescent="0.2">
      <c r="A88" s="468"/>
      <c r="B88" s="494" t="s">
        <v>1086</v>
      </c>
      <c r="C88" s="495">
        <f>SUM(C71:C87)</f>
        <v>0.8</v>
      </c>
      <c r="D88" s="523" t="str">
        <f>IF(C88=C66,"Equals Governmental Fund","DOES NOT EQUAL Governmental Fund!!!")</f>
        <v>Equals Governmental Fund</v>
      </c>
      <c r="E88" s="496"/>
      <c r="F88" s="469"/>
      <c r="G88" s="469"/>
      <c r="H88" s="469"/>
      <c r="I88" s="469"/>
    </row>
    <row r="89" spans="1:9" x14ac:dyDescent="0.2">
      <c r="A89" s="468"/>
      <c r="B89" s="469"/>
      <c r="C89" s="486"/>
      <c r="D89" s="469"/>
      <c r="E89" s="469"/>
      <c r="F89" s="469"/>
      <c r="G89" s="469"/>
      <c r="H89" s="469"/>
      <c r="I89" s="469"/>
    </row>
    <row r="90" spans="1:9" x14ac:dyDescent="0.2">
      <c r="A90" s="160"/>
      <c r="B90" s="611"/>
      <c r="C90" s="609"/>
      <c r="D90" s="609"/>
      <c r="E90" s="609"/>
      <c r="F90" s="609"/>
      <c r="G90" s="609"/>
      <c r="H90" s="609"/>
      <c r="I90" s="609"/>
    </row>
    <row r="91" spans="1:9" x14ac:dyDescent="0.2">
      <c r="A91" s="160"/>
      <c r="B91" s="606"/>
      <c r="C91" s="470" t="s">
        <v>1069</v>
      </c>
      <c r="D91" s="470" t="s">
        <v>1070</v>
      </c>
    </row>
    <row r="92" spans="1:9" x14ac:dyDescent="0.2">
      <c r="A92" s="160"/>
      <c r="B92" s="608" t="s">
        <v>726</v>
      </c>
      <c r="C92" s="471">
        <f>G146</f>
        <v>0</v>
      </c>
      <c r="D92" s="471">
        <f>H146</f>
        <v>0</v>
      </c>
    </row>
    <row r="93" spans="1:9" x14ac:dyDescent="0.2">
      <c r="A93" s="160"/>
      <c r="B93" s="608" t="s">
        <v>1573</v>
      </c>
      <c r="C93" s="471">
        <f t="shared" ref="C93:D108" si="0">G147</f>
        <v>0</v>
      </c>
      <c r="D93" s="471">
        <f t="shared" si="0"/>
        <v>0</v>
      </c>
      <c r="E93" s="464"/>
    </row>
    <row r="94" spans="1:9" x14ac:dyDescent="0.2">
      <c r="A94" s="160"/>
      <c r="B94" s="497" t="s">
        <v>1574</v>
      </c>
      <c r="C94" s="471">
        <f t="shared" si="0"/>
        <v>0</v>
      </c>
      <c r="D94" s="471">
        <f t="shared" si="0"/>
        <v>0</v>
      </c>
      <c r="E94" s="464"/>
    </row>
    <row r="95" spans="1:9" x14ac:dyDescent="0.2">
      <c r="A95" s="160"/>
      <c r="B95" s="497" t="s">
        <v>1575</v>
      </c>
      <c r="C95" s="471">
        <f t="shared" si="0"/>
        <v>0</v>
      </c>
      <c r="D95" s="471">
        <f t="shared" si="0"/>
        <v>0</v>
      </c>
      <c r="E95" s="464"/>
    </row>
    <row r="96" spans="1:9" x14ac:dyDescent="0.2">
      <c r="A96" s="160"/>
      <c r="B96" s="497" t="s">
        <v>1576</v>
      </c>
      <c r="C96" s="471">
        <f t="shared" si="0"/>
        <v>0</v>
      </c>
      <c r="D96" s="471">
        <f t="shared" si="0"/>
        <v>0</v>
      </c>
      <c r="E96" s="464"/>
    </row>
    <row r="97" spans="1:5" x14ac:dyDescent="0.2">
      <c r="A97" s="160"/>
      <c r="B97" s="497" t="s">
        <v>1577</v>
      </c>
      <c r="C97" s="471">
        <f t="shared" si="0"/>
        <v>0</v>
      </c>
      <c r="D97" s="471">
        <f t="shared" si="0"/>
        <v>0</v>
      </c>
      <c r="E97" s="464"/>
    </row>
    <row r="98" spans="1:5" x14ac:dyDescent="0.2">
      <c r="A98" s="160"/>
      <c r="B98" s="497" t="s">
        <v>1578</v>
      </c>
      <c r="C98" s="471">
        <f t="shared" si="0"/>
        <v>0</v>
      </c>
      <c r="D98" s="471">
        <f t="shared" si="0"/>
        <v>0</v>
      </c>
      <c r="E98" s="464"/>
    </row>
    <row r="99" spans="1:5" x14ac:dyDescent="0.2">
      <c r="A99" s="160"/>
      <c r="B99" s="497" t="s">
        <v>1579</v>
      </c>
      <c r="C99" s="471">
        <f t="shared" si="0"/>
        <v>0</v>
      </c>
      <c r="D99" s="471">
        <f t="shared" si="0"/>
        <v>0</v>
      </c>
      <c r="E99" s="464"/>
    </row>
    <row r="100" spans="1:5" x14ac:dyDescent="0.2">
      <c r="A100" s="160"/>
      <c r="B100" s="497" t="s">
        <v>1580</v>
      </c>
      <c r="C100" s="471">
        <f t="shared" si="0"/>
        <v>0</v>
      </c>
      <c r="D100" s="471">
        <f t="shared" si="0"/>
        <v>0</v>
      </c>
      <c r="E100" s="464"/>
    </row>
    <row r="101" spans="1:5" x14ac:dyDescent="0.2">
      <c r="A101" s="160"/>
      <c r="B101" s="497" t="s">
        <v>1581</v>
      </c>
      <c r="C101" s="471">
        <f t="shared" si="0"/>
        <v>0</v>
      </c>
      <c r="D101" s="471">
        <f t="shared" si="0"/>
        <v>0</v>
      </c>
      <c r="E101" s="464"/>
    </row>
    <row r="102" spans="1:5" x14ac:dyDescent="0.2">
      <c r="A102" s="160"/>
      <c r="B102" s="497" t="s">
        <v>1582</v>
      </c>
      <c r="C102" s="471">
        <f t="shared" si="0"/>
        <v>0</v>
      </c>
      <c r="D102" s="471">
        <f t="shared" si="0"/>
        <v>0</v>
      </c>
      <c r="E102" s="464"/>
    </row>
    <row r="103" spans="1:5" x14ac:dyDescent="0.2">
      <c r="A103" s="160"/>
      <c r="B103" s="497" t="s">
        <v>1583</v>
      </c>
      <c r="C103" s="471">
        <f t="shared" si="0"/>
        <v>0</v>
      </c>
      <c r="D103" s="471">
        <f t="shared" si="0"/>
        <v>0</v>
      </c>
      <c r="E103" s="464"/>
    </row>
    <row r="104" spans="1:5" x14ac:dyDescent="0.2">
      <c r="A104" s="160"/>
      <c r="B104" s="497" t="s">
        <v>1584</v>
      </c>
      <c r="C104" s="471">
        <f t="shared" si="0"/>
        <v>0</v>
      </c>
      <c r="D104" s="471">
        <f t="shared" si="0"/>
        <v>0</v>
      </c>
      <c r="E104" s="464"/>
    </row>
    <row r="105" spans="1:5" x14ac:dyDescent="0.2">
      <c r="A105" s="160"/>
      <c r="B105" s="497" t="s">
        <v>1585</v>
      </c>
      <c r="C105" s="471">
        <f t="shared" si="0"/>
        <v>0</v>
      </c>
      <c r="D105" s="471">
        <f t="shared" si="0"/>
        <v>0</v>
      </c>
      <c r="E105" s="464"/>
    </row>
    <row r="106" spans="1:5" x14ac:dyDescent="0.2">
      <c r="A106" s="160"/>
      <c r="B106" s="497" t="s">
        <v>1586</v>
      </c>
      <c r="C106" s="471">
        <f t="shared" si="0"/>
        <v>0</v>
      </c>
      <c r="D106" s="471">
        <f t="shared" si="0"/>
        <v>0</v>
      </c>
      <c r="E106" s="464"/>
    </row>
    <row r="107" spans="1:5" x14ac:dyDescent="0.2">
      <c r="A107" s="160"/>
      <c r="B107" s="497" t="s">
        <v>1587</v>
      </c>
      <c r="C107" s="471">
        <f t="shared" si="0"/>
        <v>0</v>
      </c>
      <c r="D107" s="471">
        <f t="shared" si="0"/>
        <v>0</v>
      </c>
      <c r="E107" s="464"/>
    </row>
    <row r="108" spans="1:5" x14ac:dyDescent="0.2">
      <c r="A108" s="160"/>
      <c r="B108" s="497" t="s">
        <v>1588</v>
      </c>
      <c r="C108" s="471">
        <f t="shared" si="0"/>
        <v>0</v>
      </c>
      <c r="D108" s="471">
        <f t="shared" si="0"/>
        <v>0</v>
      </c>
      <c r="E108" s="464"/>
    </row>
    <row r="109" spans="1:5" x14ac:dyDescent="0.2">
      <c r="A109" s="160"/>
      <c r="B109" s="497" t="s">
        <v>1589</v>
      </c>
      <c r="C109" s="471">
        <f t="shared" ref="C109:D118" si="1">G163</f>
        <v>0</v>
      </c>
      <c r="D109" s="471">
        <f t="shared" si="1"/>
        <v>0</v>
      </c>
      <c r="E109" s="464"/>
    </row>
    <row r="110" spans="1:5" x14ac:dyDescent="0.2">
      <c r="A110" s="160"/>
      <c r="B110" s="497" t="s">
        <v>1590</v>
      </c>
      <c r="C110" s="471">
        <f t="shared" si="1"/>
        <v>0</v>
      </c>
      <c r="D110" s="471">
        <f t="shared" si="1"/>
        <v>0</v>
      </c>
      <c r="E110" s="464"/>
    </row>
    <row r="111" spans="1:5" x14ac:dyDescent="0.2">
      <c r="A111" s="845"/>
      <c r="B111" s="608" t="s">
        <v>1178</v>
      </c>
      <c r="C111" s="471">
        <f>G165</f>
        <v>0</v>
      </c>
      <c r="D111" s="471">
        <f t="shared" si="1"/>
        <v>0</v>
      </c>
    </row>
    <row r="112" spans="1:5" ht="25.5" x14ac:dyDescent="0.2">
      <c r="A112" s="845"/>
      <c r="B112" s="608" t="s">
        <v>1142</v>
      </c>
      <c r="C112" s="471">
        <f t="shared" si="1"/>
        <v>0</v>
      </c>
      <c r="D112" s="471">
        <f t="shared" si="1"/>
        <v>0</v>
      </c>
    </row>
    <row r="113" spans="1:5" x14ac:dyDescent="0.2">
      <c r="A113" s="845"/>
      <c r="B113" s="608" t="s">
        <v>1179</v>
      </c>
      <c r="C113" s="471">
        <f t="shared" si="1"/>
        <v>0</v>
      </c>
      <c r="D113" s="471">
        <f t="shared" si="1"/>
        <v>0</v>
      </c>
    </row>
    <row r="114" spans="1:5" ht="25.5" x14ac:dyDescent="0.2">
      <c r="A114" s="845"/>
      <c r="B114" s="608" t="s">
        <v>1180</v>
      </c>
      <c r="C114" s="471">
        <f t="shared" si="1"/>
        <v>0</v>
      </c>
      <c r="D114" s="471">
        <f t="shared" si="1"/>
        <v>0</v>
      </c>
    </row>
    <row r="115" spans="1:5" x14ac:dyDescent="0.2">
      <c r="A115" s="844"/>
      <c r="B115" s="608" t="s">
        <v>1181</v>
      </c>
      <c r="C115" s="471">
        <f t="shared" si="1"/>
        <v>0</v>
      </c>
      <c r="D115" s="471">
        <f t="shared" si="1"/>
        <v>0</v>
      </c>
    </row>
    <row r="116" spans="1:5" ht="25.5" x14ac:dyDescent="0.2">
      <c r="A116" s="844"/>
      <c r="B116" s="608" t="s">
        <v>1182</v>
      </c>
      <c r="C116" s="471">
        <f t="shared" si="1"/>
        <v>0</v>
      </c>
      <c r="D116" s="471">
        <f t="shared" si="1"/>
        <v>0</v>
      </c>
    </row>
    <row r="117" spans="1:5" x14ac:dyDescent="0.2">
      <c r="A117" s="844"/>
      <c r="B117" s="608" t="s">
        <v>1183</v>
      </c>
      <c r="C117" s="471">
        <f t="shared" si="1"/>
        <v>0</v>
      </c>
      <c r="D117" s="471">
        <f t="shared" si="1"/>
        <v>0</v>
      </c>
    </row>
    <row r="118" spans="1:5" ht="25.5" x14ac:dyDescent="0.2">
      <c r="A118" s="844"/>
      <c r="B118" s="608" t="s">
        <v>1184</v>
      </c>
      <c r="C118" s="471">
        <f t="shared" si="1"/>
        <v>0</v>
      </c>
      <c r="D118" s="471">
        <f t="shared" si="1"/>
        <v>0</v>
      </c>
    </row>
    <row r="119" spans="1:5" x14ac:dyDescent="0.2">
      <c r="A119" s="845"/>
      <c r="B119" s="608" t="s">
        <v>1562</v>
      </c>
      <c r="C119" s="471">
        <f t="shared" ref="C119:C136" si="2">G173</f>
        <v>0</v>
      </c>
      <c r="D119" s="471">
        <f t="shared" ref="D119:D136" si="3">H173</f>
        <v>0</v>
      </c>
    </row>
    <row r="120" spans="1:5" s="665" customFormat="1" x14ac:dyDescent="0.2">
      <c r="A120" s="160"/>
      <c r="B120" s="497" t="s">
        <v>1546</v>
      </c>
      <c r="C120" s="471">
        <f t="shared" si="2"/>
        <v>0</v>
      </c>
      <c r="D120" s="471">
        <f t="shared" si="3"/>
        <v>0</v>
      </c>
    </row>
    <row r="121" spans="1:5" s="665" customFormat="1" x14ac:dyDescent="0.2">
      <c r="A121" s="160"/>
      <c r="B121" s="497" t="s">
        <v>1563</v>
      </c>
      <c r="C121" s="471">
        <f t="shared" si="2"/>
        <v>0</v>
      </c>
      <c r="D121" s="471">
        <f t="shared" si="3"/>
        <v>0</v>
      </c>
    </row>
    <row r="122" spans="1:5" s="665" customFormat="1" x14ac:dyDescent="0.2">
      <c r="A122" s="160"/>
      <c r="B122" s="497" t="s">
        <v>1564</v>
      </c>
      <c r="C122" s="471">
        <f t="shared" si="2"/>
        <v>0</v>
      </c>
      <c r="D122" s="471">
        <f t="shared" si="3"/>
        <v>0</v>
      </c>
    </row>
    <row r="123" spans="1:5" s="665" customFormat="1" x14ac:dyDescent="0.2">
      <c r="A123" s="160"/>
      <c r="B123" s="497" t="s">
        <v>1547</v>
      </c>
      <c r="C123" s="471">
        <f t="shared" si="2"/>
        <v>0</v>
      </c>
      <c r="D123" s="471">
        <f t="shared" si="3"/>
        <v>0</v>
      </c>
    </row>
    <row r="124" spans="1:5" s="665" customFormat="1" x14ac:dyDescent="0.2">
      <c r="A124" s="160"/>
      <c r="B124" s="497" t="s">
        <v>1548</v>
      </c>
      <c r="C124" s="471">
        <f t="shared" si="2"/>
        <v>0</v>
      </c>
      <c r="D124" s="471">
        <f t="shared" si="3"/>
        <v>0</v>
      </c>
    </row>
    <row r="125" spans="1:5" s="665" customFormat="1" x14ac:dyDescent="0.2">
      <c r="A125" s="160"/>
      <c r="B125" s="497" t="s">
        <v>1549</v>
      </c>
      <c r="C125" s="471">
        <f t="shared" si="2"/>
        <v>0</v>
      </c>
      <c r="D125" s="471">
        <f t="shared" si="3"/>
        <v>0</v>
      </c>
    </row>
    <row r="126" spans="1:5" s="665" customFormat="1" x14ac:dyDescent="0.2">
      <c r="A126" s="160"/>
      <c r="B126" s="497" t="s">
        <v>1550</v>
      </c>
      <c r="C126" s="471">
        <f t="shared" si="2"/>
        <v>0</v>
      </c>
      <c r="D126" s="471">
        <f t="shared" si="3"/>
        <v>0</v>
      </c>
    </row>
    <row r="127" spans="1:5" s="665" customFormat="1" x14ac:dyDescent="0.2">
      <c r="A127" s="160"/>
      <c r="B127" s="497" t="s">
        <v>1551</v>
      </c>
      <c r="C127" s="471">
        <f t="shared" si="2"/>
        <v>0</v>
      </c>
      <c r="D127" s="471">
        <f t="shared" si="3"/>
        <v>0</v>
      </c>
      <c r="E127" s="680"/>
    </row>
    <row r="128" spans="1:5" s="665" customFormat="1" x14ac:dyDescent="0.2">
      <c r="A128" s="160"/>
      <c r="B128" s="497" t="s">
        <v>1552</v>
      </c>
      <c r="C128" s="471">
        <f t="shared" si="2"/>
        <v>0</v>
      </c>
      <c r="D128" s="471">
        <f t="shared" si="3"/>
        <v>0</v>
      </c>
    </row>
    <row r="129" spans="1:9" s="665" customFormat="1" x14ac:dyDescent="0.2">
      <c r="A129" s="160"/>
      <c r="B129" s="497" t="s">
        <v>1553</v>
      </c>
      <c r="C129" s="471">
        <f t="shared" si="2"/>
        <v>0</v>
      </c>
      <c r="D129" s="471">
        <f t="shared" si="3"/>
        <v>0</v>
      </c>
    </row>
    <row r="130" spans="1:9" s="665" customFormat="1" x14ac:dyDescent="0.2">
      <c r="A130" s="160"/>
      <c r="B130" s="497" t="s">
        <v>1554</v>
      </c>
      <c r="C130" s="471">
        <f t="shared" si="2"/>
        <v>0</v>
      </c>
      <c r="D130" s="471">
        <f t="shared" si="3"/>
        <v>0</v>
      </c>
    </row>
    <row r="131" spans="1:9" s="665" customFormat="1" x14ac:dyDescent="0.2">
      <c r="A131" s="160"/>
      <c r="B131" s="497" t="s">
        <v>1555</v>
      </c>
      <c r="C131" s="471">
        <f t="shared" si="2"/>
        <v>0</v>
      </c>
      <c r="D131" s="471">
        <f t="shared" si="3"/>
        <v>0</v>
      </c>
    </row>
    <row r="132" spans="1:9" s="665" customFormat="1" x14ac:dyDescent="0.2">
      <c r="A132" s="160"/>
      <c r="B132" s="497" t="s">
        <v>1556</v>
      </c>
      <c r="C132" s="471">
        <f t="shared" si="2"/>
        <v>0</v>
      </c>
      <c r="D132" s="471">
        <f t="shared" si="3"/>
        <v>0</v>
      </c>
    </row>
    <row r="133" spans="1:9" s="665" customFormat="1" x14ac:dyDescent="0.2">
      <c r="A133" s="160"/>
      <c r="B133" s="497" t="s">
        <v>1557</v>
      </c>
      <c r="C133" s="471">
        <f t="shared" si="2"/>
        <v>0</v>
      </c>
      <c r="D133" s="471">
        <f t="shared" si="3"/>
        <v>0</v>
      </c>
    </row>
    <row r="134" spans="1:9" s="665" customFormat="1" x14ac:dyDescent="0.2">
      <c r="A134" s="160"/>
      <c r="B134" s="497" t="s">
        <v>1558</v>
      </c>
      <c r="C134" s="471">
        <f t="shared" si="2"/>
        <v>0</v>
      </c>
      <c r="D134" s="471">
        <f t="shared" si="3"/>
        <v>0</v>
      </c>
    </row>
    <row r="135" spans="1:9" s="665" customFormat="1" x14ac:dyDescent="0.2">
      <c r="A135" s="160"/>
      <c r="B135" s="497" t="s">
        <v>1559</v>
      </c>
      <c r="C135" s="471">
        <f t="shared" si="2"/>
        <v>0</v>
      </c>
      <c r="D135" s="471">
        <f t="shared" si="3"/>
        <v>0</v>
      </c>
    </row>
    <row r="136" spans="1:9" s="665" customFormat="1" x14ac:dyDescent="0.2">
      <c r="A136" s="160"/>
      <c r="B136" s="497" t="s">
        <v>1560</v>
      </c>
      <c r="C136" s="471">
        <f t="shared" si="2"/>
        <v>0</v>
      </c>
      <c r="D136" s="471">
        <f t="shared" si="3"/>
        <v>0</v>
      </c>
    </row>
    <row r="137" spans="1:9" x14ac:dyDescent="0.2">
      <c r="A137" s="160"/>
      <c r="B137" s="606"/>
      <c r="C137" s="466"/>
      <c r="D137" s="466"/>
      <c r="G137" s="447"/>
      <c r="H137" s="447"/>
      <c r="I137" s="447"/>
    </row>
    <row r="138" spans="1:9" ht="13.5" thickBot="1" x14ac:dyDescent="0.25">
      <c r="A138" s="160"/>
      <c r="B138" s="606"/>
      <c r="C138" s="472">
        <f>SUM(C92:C137)</f>
        <v>0</v>
      </c>
      <c r="D138" s="472">
        <f>SUM(D92:D137)</f>
        <v>0</v>
      </c>
      <c r="G138" s="447"/>
      <c r="H138" s="447"/>
      <c r="I138" s="663"/>
    </row>
    <row r="139" spans="1:9" ht="13.5" thickTop="1" x14ac:dyDescent="0.2">
      <c r="A139" s="160"/>
      <c r="B139" s="606"/>
      <c r="C139" s="466"/>
      <c r="D139" s="466"/>
    </row>
    <row r="140" spans="1:9" x14ac:dyDescent="0.2">
      <c r="A140" s="160"/>
      <c r="B140" s="606"/>
      <c r="C140" s="466"/>
      <c r="D140" s="466"/>
    </row>
    <row r="141" spans="1:9" ht="12.75" customHeight="1" x14ac:dyDescent="0.2">
      <c r="A141" s="160"/>
      <c r="B141" s="1104" t="s">
        <v>1639</v>
      </c>
      <c r="C141" s="1104"/>
      <c r="D141" s="1104"/>
      <c r="E141" s="1104"/>
      <c r="F141" s="1104"/>
      <c r="G141" s="1104"/>
      <c r="H141" s="1104"/>
    </row>
    <row r="142" spans="1:9" ht="12.75" customHeight="1" x14ac:dyDescent="0.2">
      <c r="A142" s="160"/>
      <c r="B142" s="1104"/>
      <c r="C142" s="1104"/>
      <c r="D142" s="1104"/>
      <c r="E142" s="1104"/>
      <c r="F142" s="1104"/>
      <c r="G142" s="1104"/>
      <c r="H142" s="1104"/>
    </row>
    <row r="143" spans="1:9" ht="18" x14ac:dyDescent="0.2">
      <c r="C143" s="498"/>
      <c r="D143" s="499"/>
      <c r="E143" s="500"/>
      <c r="F143" s="501"/>
      <c r="G143" s="1072" t="s">
        <v>457</v>
      </c>
      <c r="H143" s="1073"/>
    </row>
    <row r="144" spans="1:9" x14ac:dyDescent="0.2">
      <c r="C144" s="502"/>
      <c r="D144" s="503"/>
      <c r="E144" s="504"/>
      <c r="F144" s="609"/>
      <c r="G144" s="612"/>
      <c r="H144" s="127"/>
    </row>
    <row r="145" spans="2:8" x14ac:dyDescent="0.2">
      <c r="B145" s="82"/>
      <c r="C145" s="505" t="s">
        <v>645</v>
      </c>
      <c r="D145" s="110" t="s">
        <v>646</v>
      </c>
      <c r="E145" s="506" t="s">
        <v>1106</v>
      </c>
      <c r="F145" s="609"/>
      <c r="G145" s="59" t="s">
        <v>645</v>
      </c>
      <c r="H145" s="60" t="s">
        <v>646</v>
      </c>
    </row>
    <row r="146" spans="2:8" x14ac:dyDescent="0.2">
      <c r="B146" s="608" t="s">
        <v>726</v>
      </c>
      <c r="C146" s="671">
        <f>IF(G24&gt;0,G24*C66,0)</f>
        <v>0</v>
      </c>
      <c r="D146" s="672">
        <f>IF(F24&gt;0,F24*C66,0)</f>
        <v>0</v>
      </c>
      <c r="E146" s="507">
        <f>C146-D146</f>
        <v>0</v>
      </c>
      <c r="G146" s="94">
        <f>IF(E146&lt;0,0,E146)</f>
        <v>0</v>
      </c>
      <c r="H146" s="515">
        <f>IF(E146&gt;0,0,E146*-1)</f>
        <v>0</v>
      </c>
    </row>
    <row r="147" spans="2:8" x14ac:dyDescent="0.2">
      <c r="B147" s="608" t="s">
        <v>1573</v>
      </c>
      <c r="C147" s="511">
        <f>IF(H24&lt;0,-H24,0)</f>
        <v>0</v>
      </c>
      <c r="D147" s="512">
        <f>C66*(E36)</f>
        <v>0</v>
      </c>
      <c r="E147" s="507">
        <f t="shared" ref="E147:E190" si="4">C147-D147</f>
        <v>0</v>
      </c>
      <c r="G147" s="247">
        <f>IF(E147&lt;0,0,E147)</f>
        <v>0</v>
      </c>
      <c r="H147" s="516">
        <f>IF(E147&gt;0,0,E147*-1)</f>
        <v>0</v>
      </c>
    </row>
    <row r="148" spans="2:8" x14ac:dyDescent="0.2">
      <c r="B148" s="497" t="s">
        <v>1574</v>
      </c>
      <c r="C148" s="511">
        <f>C71*($D$37+$D$56+$D$57)</f>
        <v>0</v>
      </c>
      <c r="D148" s="512">
        <f t="shared" ref="D148:D164" si="5">C71*($E$37+$E$56+$E$57)</f>
        <v>0</v>
      </c>
      <c r="E148" s="507">
        <f t="shared" si="4"/>
        <v>0</v>
      </c>
      <c r="G148" s="247">
        <f>IF(E148&lt;0,0,E148-E191)</f>
        <v>0</v>
      </c>
      <c r="H148" s="516">
        <f>IF(E148&gt;0,0,-E148+E191)</f>
        <v>0</v>
      </c>
    </row>
    <row r="149" spans="2:8" x14ac:dyDescent="0.2">
      <c r="B149" s="497" t="s">
        <v>1575</v>
      </c>
      <c r="C149" s="511">
        <f t="shared" ref="C149:C164" si="6">C72*($D$37+$D$56+$D$57)</f>
        <v>0</v>
      </c>
      <c r="D149" s="512">
        <f t="shared" si="5"/>
        <v>0</v>
      </c>
      <c r="E149" s="507">
        <f t="shared" si="4"/>
        <v>0</v>
      </c>
      <c r="G149" s="247">
        <f t="shared" ref="G149:G172" si="7">IF(E149&lt;0,0,E149)</f>
        <v>0</v>
      </c>
      <c r="H149" s="516">
        <f t="shared" ref="H149:H172" si="8">IF(E149&gt;0,0,E149*-1)</f>
        <v>0</v>
      </c>
    </row>
    <row r="150" spans="2:8" x14ac:dyDescent="0.2">
      <c r="B150" s="497" t="s">
        <v>1576</v>
      </c>
      <c r="C150" s="511">
        <f t="shared" si="6"/>
        <v>0</v>
      </c>
      <c r="D150" s="512">
        <f t="shared" si="5"/>
        <v>0</v>
      </c>
      <c r="E150" s="507">
        <f t="shared" si="4"/>
        <v>0</v>
      </c>
      <c r="G150" s="247">
        <f t="shared" si="7"/>
        <v>0</v>
      </c>
      <c r="H150" s="516">
        <f t="shared" si="8"/>
        <v>0</v>
      </c>
    </row>
    <row r="151" spans="2:8" x14ac:dyDescent="0.2">
      <c r="B151" s="497" t="s">
        <v>1577</v>
      </c>
      <c r="C151" s="511">
        <f t="shared" si="6"/>
        <v>0</v>
      </c>
      <c r="D151" s="512">
        <f t="shared" si="5"/>
        <v>0</v>
      </c>
      <c r="E151" s="507">
        <f t="shared" si="4"/>
        <v>0</v>
      </c>
      <c r="G151" s="247">
        <f t="shared" si="7"/>
        <v>0</v>
      </c>
      <c r="H151" s="516">
        <f t="shared" si="8"/>
        <v>0</v>
      </c>
    </row>
    <row r="152" spans="2:8" x14ac:dyDescent="0.2">
      <c r="B152" s="497" t="s">
        <v>1578</v>
      </c>
      <c r="C152" s="511">
        <f t="shared" si="6"/>
        <v>0</v>
      </c>
      <c r="D152" s="512">
        <f t="shared" si="5"/>
        <v>0</v>
      </c>
      <c r="E152" s="507">
        <f t="shared" si="4"/>
        <v>0</v>
      </c>
      <c r="G152" s="247">
        <f t="shared" si="7"/>
        <v>0</v>
      </c>
      <c r="H152" s="516">
        <f t="shared" si="8"/>
        <v>0</v>
      </c>
    </row>
    <row r="153" spans="2:8" x14ac:dyDescent="0.2">
      <c r="B153" s="497" t="s">
        <v>1579</v>
      </c>
      <c r="C153" s="511">
        <f t="shared" si="6"/>
        <v>0</v>
      </c>
      <c r="D153" s="512">
        <f t="shared" si="5"/>
        <v>0</v>
      </c>
      <c r="E153" s="507">
        <f t="shared" si="4"/>
        <v>0</v>
      </c>
      <c r="G153" s="247">
        <f t="shared" si="7"/>
        <v>0</v>
      </c>
      <c r="H153" s="516">
        <f t="shared" si="8"/>
        <v>0</v>
      </c>
    </row>
    <row r="154" spans="2:8" x14ac:dyDescent="0.2">
      <c r="B154" s="497" t="s">
        <v>1580</v>
      </c>
      <c r="C154" s="511">
        <f t="shared" si="6"/>
        <v>0</v>
      </c>
      <c r="D154" s="512">
        <f t="shared" si="5"/>
        <v>0</v>
      </c>
      <c r="E154" s="507">
        <f t="shared" si="4"/>
        <v>0</v>
      </c>
      <c r="G154" s="247">
        <f t="shared" si="7"/>
        <v>0</v>
      </c>
      <c r="H154" s="516">
        <f t="shared" si="8"/>
        <v>0</v>
      </c>
    </row>
    <row r="155" spans="2:8" x14ac:dyDescent="0.2">
      <c r="B155" s="497" t="s">
        <v>1581</v>
      </c>
      <c r="C155" s="511">
        <f t="shared" si="6"/>
        <v>0</v>
      </c>
      <c r="D155" s="512">
        <f t="shared" si="5"/>
        <v>0</v>
      </c>
      <c r="E155" s="507">
        <f t="shared" si="4"/>
        <v>0</v>
      </c>
      <c r="G155" s="247">
        <f t="shared" si="7"/>
        <v>0</v>
      </c>
      <c r="H155" s="516">
        <f t="shared" si="8"/>
        <v>0</v>
      </c>
    </row>
    <row r="156" spans="2:8" x14ac:dyDescent="0.2">
      <c r="B156" s="497" t="s">
        <v>1582</v>
      </c>
      <c r="C156" s="511">
        <f t="shared" si="6"/>
        <v>0</v>
      </c>
      <c r="D156" s="512">
        <f t="shared" si="5"/>
        <v>0</v>
      </c>
      <c r="E156" s="507">
        <f t="shared" si="4"/>
        <v>0</v>
      </c>
      <c r="G156" s="247">
        <f t="shared" si="7"/>
        <v>0</v>
      </c>
      <c r="H156" s="516">
        <f t="shared" si="8"/>
        <v>0</v>
      </c>
    </row>
    <row r="157" spans="2:8" x14ac:dyDescent="0.2">
      <c r="B157" s="497" t="s">
        <v>1583</v>
      </c>
      <c r="C157" s="511">
        <f t="shared" si="6"/>
        <v>0</v>
      </c>
      <c r="D157" s="512">
        <f t="shared" si="5"/>
        <v>0</v>
      </c>
      <c r="E157" s="507">
        <f t="shared" si="4"/>
        <v>0</v>
      </c>
      <c r="G157" s="247">
        <f t="shared" si="7"/>
        <v>0</v>
      </c>
      <c r="H157" s="516">
        <f t="shared" si="8"/>
        <v>0</v>
      </c>
    </row>
    <row r="158" spans="2:8" x14ac:dyDescent="0.2">
      <c r="B158" s="497" t="s">
        <v>1584</v>
      </c>
      <c r="C158" s="511">
        <f t="shared" si="6"/>
        <v>0</v>
      </c>
      <c r="D158" s="512">
        <f t="shared" si="5"/>
        <v>0</v>
      </c>
      <c r="E158" s="507">
        <f t="shared" si="4"/>
        <v>0</v>
      </c>
      <c r="G158" s="247">
        <f t="shared" si="7"/>
        <v>0</v>
      </c>
      <c r="H158" s="516">
        <f t="shared" si="8"/>
        <v>0</v>
      </c>
    </row>
    <row r="159" spans="2:8" x14ac:dyDescent="0.2">
      <c r="B159" s="497" t="s">
        <v>1585</v>
      </c>
      <c r="C159" s="511">
        <f t="shared" si="6"/>
        <v>0</v>
      </c>
      <c r="D159" s="512">
        <f t="shared" si="5"/>
        <v>0</v>
      </c>
      <c r="E159" s="507">
        <f t="shared" si="4"/>
        <v>0</v>
      </c>
      <c r="G159" s="247">
        <f t="shared" si="7"/>
        <v>0</v>
      </c>
      <c r="H159" s="516">
        <f t="shared" si="8"/>
        <v>0</v>
      </c>
    </row>
    <row r="160" spans="2:8" x14ac:dyDescent="0.2">
      <c r="B160" s="497" t="s">
        <v>1586</v>
      </c>
      <c r="C160" s="511">
        <f t="shared" si="6"/>
        <v>0</v>
      </c>
      <c r="D160" s="512">
        <f t="shared" si="5"/>
        <v>0</v>
      </c>
      <c r="E160" s="507">
        <f t="shared" si="4"/>
        <v>0</v>
      </c>
      <c r="G160" s="247">
        <f t="shared" si="7"/>
        <v>0</v>
      </c>
      <c r="H160" s="516">
        <f t="shared" si="8"/>
        <v>0</v>
      </c>
    </row>
    <row r="161" spans="2:8" x14ac:dyDescent="0.2">
      <c r="B161" s="497" t="s">
        <v>1587</v>
      </c>
      <c r="C161" s="511">
        <f t="shared" si="6"/>
        <v>0</v>
      </c>
      <c r="D161" s="512">
        <f t="shared" si="5"/>
        <v>0</v>
      </c>
      <c r="E161" s="507">
        <f t="shared" si="4"/>
        <v>0</v>
      </c>
      <c r="G161" s="247">
        <f t="shared" si="7"/>
        <v>0</v>
      </c>
      <c r="H161" s="516">
        <f t="shared" si="8"/>
        <v>0</v>
      </c>
    </row>
    <row r="162" spans="2:8" x14ac:dyDescent="0.2">
      <c r="B162" s="497" t="s">
        <v>1588</v>
      </c>
      <c r="C162" s="511">
        <f t="shared" si="6"/>
        <v>0</v>
      </c>
      <c r="D162" s="512">
        <f t="shared" si="5"/>
        <v>0</v>
      </c>
      <c r="E162" s="507">
        <f t="shared" si="4"/>
        <v>0</v>
      </c>
      <c r="G162" s="247">
        <f t="shared" si="7"/>
        <v>0</v>
      </c>
      <c r="H162" s="516">
        <f t="shared" si="8"/>
        <v>0</v>
      </c>
    </row>
    <row r="163" spans="2:8" x14ac:dyDescent="0.2">
      <c r="B163" s="497" t="s">
        <v>1589</v>
      </c>
      <c r="C163" s="511">
        <f t="shared" si="6"/>
        <v>0</v>
      </c>
      <c r="D163" s="512">
        <f t="shared" si="5"/>
        <v>0</v>
      </c>
      <c r="E163" s="507">
        <f t="shared" si="4"/>
        <v>0</v>
      </c>
      <c r="G163" s="247">
        <f t="shared" si="7"/>
        <v>0</v>
      </c>
      <c r="H163" s="516">
        <f t="shared" si="8"/>
        <v>0</v>
      </c>
    </row>
    <row r="164" spans="2:8" x14ac:dyDescent="0.2">
      <c r="B164" s="497" t="s">
        <v>1590</v>
      </c>
      <c r="C164" s="511">
        <f t="shared" si="6"/>
        <v>0</v>
      </c>
      <c r="D164" s="512">
        <f t="shared" si="5"/>
        <v>0</v>
      </c>
      <c r="E164" s="507">
        <f t="shared" si="4"/>
        <v>0</v>
      </c>
      <c r="G164" s="247">
        <f t="shared" si="7"/>
        <v>0</v>
      </c>
      <c r="H164" s="516">
        <f t="shared" si="8"/>
        <v>0</v>
      </c>
    </row>
    <row r="165" spans="2:8" x14ac:dyDescent="0.2">
      <c r="B165" s="608" t="s">
        <v>1178</v>
      </c>
      <c r="C165" s="511">
        <f>$C$66*(D46)</f>
        <v>0</v>
      </c>
      <c r="D165" s="512">
        <f>$C$71*(E38+E46)</f>
        <v>0</v>
      </c>
      <c r="E165" s="604">
        <f>C165-D165</f>
        <v>0</v>
      </c>
      <c r="G165" s="247">
        <f>IF(E165&lt;0,0,E165)</f>
        <v>0</v>
      </c>
      <c r="H165" s="516">
        <f t="shared" si="8"/>
        <v>0</v>
      </c>
    </row>
    <row r="166" spans="2:8" ht="25.5" x14ac:dyDescent="0.2">
      <c r="B166" s="608" t="s">
        <v>1142</v>
      </c>
      <c r="C166" s="511">
        <f>$C$66*(D47)</f>
        <v>0</v>
      </c>
      <c r="D166" s="512">
        <f>$C$71*(E39+E47)</f>
        <v>0</v>
      </c>
      <c r="E166" s="604">
        <f t="shared" si="4"/>
        <v>0</v>
      </c>
      <c r="G166" s="247">
        <f t="shared" si="7"/>
        <v>0</v>
      </c>
      <c r="H166" s="516">
        <f t="shared" si="8"/>
        <v>0</v>
      </c>
    </row>
    <row r="167" spans="2:8" x14ac:dyDescent="0.2">
      <c r="B167" s="608" t="s">
        <v>1179</v>
      </c>
      <c r="C167" s="511">
        <f>$C$66*(D48)</f>
        <v>0</v>
      </c>
      <c r="D167" s="512">
        <f>$C$71*(E40+E48)</f>
        <v>0</v>
      </c>
      <c r="E167" s="604">
        <f t="shared" si="4"/>
        <v>0</v>
      </c>
      <c r="G167" s="247">
        <f t="shared" si="7"/>
        <v>0</v>
      </c>
      <c r="H167" s="516">
        <f t="shared" si="8"/>
        <v>0</v>
      </c>
    </row>
    <row r="168" spans="2:8" ht="25.5" x14ac:dyDescent="0.2">
      <c r="B168" s="608" t="s">
        <v>1180</v>
      </c>
      <c r="C168" s="511">
        <f t="shared" ref="C168:D172" si="9">$C$88*(D49)</f>
        <v>0</v>
      </c>
      <c r="D168" s="512">
        <f t="shared" si="9"/>
        <v>0</v>
      </c>
      <c r="E168" s="604">
        <f t="shared" si="4"/>
        <v>0</v>
      </c>
      <c r="G168" s="247">
        <f t="shared" si="7"/>
        <v>0</v>
      </c>
      <c r="H168" s="516">
        <f t="shared" si="8"/>
        <v>0</v>
      </c>
    </row>
    <row r="169" spans="2:8" x14ac:dyDescent="0.2">
      <c r="B169" s="608" t="s">
        <v>1181</v>
      </c>
      <c r="C169" s="511">
        <f t="shared" si="9"/>
        <v>0</v>
      </c>
      <c r="D169" s="512">
        <f t="shared" si="9"/>
        <v>0</v>
      </c>
      <c r="E169" s="604">
        <f t="shared" si="4"/>
        <v>0</v>
      </c>
      <c r="G169" s="247">
        <f t="shared" si="7"/>
        <v>0</v>
      </c>
      <c r="H169" s="516">
        <f t="shared" si="8"/>
        <v>0</v>
      </c>
    </row>
    <row r="170" spans="2:8" ht="25.5" x14ac:dyDescent="0.2">
      <c r="B170" s="608" t="s">
        <v>1182</v>
      </c>
      <c r="C170" s="511">
        <f t="shared" si="9"/>
        <v>0</v>
      </c>
      <c r="D170" s="512">
        <f t="shared" si="9"/>
        <v>0</v>
      </c>
      <c r="E170" s="604">
        <f t="shared" si="4"/>
        <v>0</v>
      </c>
      <c r="G170" s="247">
        <f t="shared" si="7"/>
        <v>0</v>
      </c>
      <c r="H170" s="516">
        <f t="shared" si="8"/>
        <v>0</v>
      </c>
    </row>
    <row r="171" spans="2:8" x14ac:dyDescent="0.2">
      <c r="B171" s="608" t="s">
        <v>1183</v>
      </c>
      <c r="C171" s="511">
        <f t="shared" si="9"/>
        <v>0</v>
      </c>
      <c r="D171" s="512">
        <f t="shared" si="9"/>
        <v>0</v>
      </c>
      <c r="E171" s="604">
        <f t="shared" si="4"/>
        <v>0</v>
      </c>
      <c r="G171" s="247">
        <f t="shared" si="7"/>
        <v>0</v>
      </c>
      <c r="H171" s="516">
        <f t="shared" si="8"/>
        <v>0</v>
      </c>
    </row>
    <row r="172" spans="2:8" ht="25.5" x14ac:dyDescent="0.2">
      <c r="B172" s="608" t="s">
        <v>1184</v>
      </c>
      <c r="C172" s="511">
        <f t="shared" si="9"/>
        <v>0</v>
      </c>
      <c r="D172" s="512">
        <f t="shared" si="9"/>
        <v>0</v>
      </c>
      <c r="E172" s="604">
        <f t="shared" si="4"/>
        <v>0</v>
      </c>
      <c r="G172" s="247">
        <f t="shared" si="7"/>
        <v>0</v>
      </c>
      <c r="H172" s="516">
        <f t="shared" si="8"/>
        <v>0</v>
      </c>
    </row>
    <row r="173" spans="2:8" s="677" customFormat="1" x14ac:dyDescent="0.2">
      <c r="B173" s="678" t="s">
        <v>1565</v>
      </c>
      <c r="C173" s="511">
        <f>C17*C88</f>
        <v>0</v>
      </c>
      <c r="D173" s="512"/>
      <c r="E173" s="604">
        <f t="shared" si="4"/>
        <v>0</v>
      </c>
      <c r="G173" s="247">
        <f t="shared" ref="G173:G190" si="10">IF(E173&lt;0,0,E173)</f>
        <v>0</v>
      </c>
      <c r="H173" s="516">
        <f t="shared" ref="H173:H190" si="11">IF(E173&gt;0,0,E173*-1)</f>
        <v>0</v>
      </c>
    </row>
    <row r="174" spans="2:8" s="677" customFormat="1" x14ac:dyDescent="0.2">
      <c r="B174" s="497" t="s">
        <v>1546</v>
      </c>
      <c r="C174" s="511"/>
      <c r="D174" s="512">
        <f>$C$17*C71</f>
        <v>0</v>
      </c>
      <c r="E174" s="604">
        <f t="shared" si="4"/>
        <v>0</v>
      </c>
      <c r="G174" s="247">
        <f t="shared" si="10"/>
        <v>0</v>
      </c>
      <c r="H174" s="516">
        <f t="shared" si="11"/>
        <v>0</v>
      </c>
    </row>
    <row r="175" spans="2:8" s="677" customFormat="1" x14ac:dyDescent="0.2">
      <c r="B175" s="497" t="s">
        <v>1563</v>
      </c>
      <c r="C175" s="511"/>
      <c r="D175" s="512">
        <f t="shared" ref="D175:D190" si="12">$C$17*C72</f>
        <v>0</v>
      </c>
      <c r="E175" s="604">
        <f t="shared" si="4"/>
        <v>0</v>
      </c>
      <c r="G175" s="247">
        <f t="shared" si="10"/>
        <v>0</v>
      </c>
      <c r="H175" s="516">
        <f t="shared" si="11"/>
        <v>0</v>
      </c>
    </row>
    <row r="176" spans="2:8" s="677" customFormat="1" x14ac:dyDescent="0.2">
      <c r="B176" s="497" t="s">
        <v>1564</v>
      </c>
      <c r="C176" s="511"/>
      <c r="D176" s="512">
        <f t="shared" si="12"/>
        <v>0</v>
      </c>
      <c r="E176" s="604">
        <f t="shared" si="4"/>
        <v>0</v>
      </c>
      <c r="G176" s="247">
        <f t="shared" si="10"/>
        <v>0</v>
      </c>
      <c r="H176" s="516">
        <f t="shared" si="11"/>
        <v>0</v>
      </c>
    </row>
    <row r="177" spans="2:8" s="677" customFormat="1" x14ac:dyDescent="0.2">
      <c r="B177" s="497" t="s">
        <v>1547</v>
      </c>
      <c r="C177" s="511"/>
      <c r="D177" s="512">
        <f t="shared" si="12"/>
        <v>0</v>
      </c>
      <c r="E177" s="604">
        <f t="shared" si="4"/>
        <v>0</v>
      </c>
      <c r="G177" s="247">
        <f t="shared" si="10"/>
        <v>0</v>
      </c>
      <c r="H177" s="516">
        <f t="shared" si="11"/>
        <v>0</v>
      </c>
    </row>
    <row r="178" spans="2:8" s="677" customFormat="1" x14ac:dyDescent="0.2">
      <c r="B178" s="497" t="s">
        <v>1548</v>
      </c>
      <c r="C178" s="511"/>
      <c r="D178" s="512">
        <f t="shared" si="12"/>
        <v>0</v>
      </c>
      <c r="E178" s="604">
        <f t="shared" si="4"/>
        <v>0</v>
      </c>
      <c r="G178" s="247">
        <f t="shared" si="10"/>
        <v>0</v>
      </c>
      <c r="H178" s="516">
        <f t="shared" si="11"/>
        <v>0</v>
      </c>
    </row>
    <row r="179" spans="2:8" s="677" customFormat="1" x14ac:dyDescent="0.2">
      <c r="B179" s="497" t="s">
        <v>1549</v>
      </c>
      <c r="C179" s="511"/>
      <c r="D179" s="512">
        <f t="shared" si="12"/>
        <v>0</v>
      </c>
      <c r="E179" s="604">
        <f t="shared" si="4"/>
        <v>0</v>
      </c>
      <c r="G179" s="247">
        <f t="shared" si="10"/>
        <v>0</v>
      </c>
      <c r="H179" s="516">
        <f t="shared" si="11"/>
        <v>0</v>
      </c>
    </row>
    <row r="180" spans="2:8" s="677" customFormat="1" x14ac:dyDescent="0.2">
      <c r="B180" s="497" t="s">
        <v>1550</v>
      </c>
      <c r="C180" s="511"/>
      <c r="D180" s="512">
        <f t="shared" si="12"/>
        <v>0</v>
      </c>
      <c r="E180" s="604">
        <f t="shared" si="4"/>
        <v>0</v>
      </c>
      <c r="G180" s="247">
        <f t="shared" si="10"/>
        <v>0</v>
      </c>
      <c r="H180" s="516">
        <f t="shared" si="11"/>
        <v>0</v>
      </c>
    </row>
    <row r="181" spans="2:8" s="677" customFormat="1" x14ac:dyDescent="0.2">
      <c r="B181" s="497" t="s">
        <v>1551</v>
      </c>
      <c r="C181" s="511"/>
      <c r="D181" s="512">
        <f t="shared" si="12"/>
        <v>0</v>
      </c>
      <c r="E181" s="604">
        <f t="shared" si="4"/>
        <v>0</v>
      </c>
      <c r="G181" s="247">
        <f t="shared" si="10"/>
        <v>0</v>
      </c>
      <c r="H181" s="516">
        <f t="shared" si="11"/>
        <v>0</v>
      </c>
    </row>
    <row r="182" spans="2:8" s="677" customFormat="1" x14ac:dyDescent="0.2">
      <c r="B182" s="497" t="s">
        <v>1552</v>
      </c>
      <c r="C182" s="511"/>
      <c r="D182" s="512">
        <f t="shared" si="12"/>
        <v>0</v>
      </c>
      <c r="E182" s="604">
        <f t="shared" si="4"/>
        <v>0</v>
      </c>
      <c r="G182" s="247">
        <f t="shared" si="10"/>
        <v>0</v>
      </c>
      <c r="H182" s="516">
        <f t="shared" si="11"/>
        <v>0</v>
      </c>
    </row>
    <row r="183" spans="2:8" s="677" customFormat="1" x14ac:dyDescent="0.2">
      <c r="B183" s="497" t="s">
        <v>1553</v>
      </c>
      <c r="C183" s="511"/>
      <c r="D183" s="512">
        <f t="shared" si="12"/>
        <v>0</v>
      </c>
      <c r="E183" s="604">
        <f t="shared" si="4"/>
        <v>0</v>
      </c>
      <c r="G183" s="247">
        <f t="shared" si="10"/>
        <v>0</v>
      </c>
      <c r="H183" s="516">
        <f t="shared" si="11"/>
        <v>0</v>
      </c>
    </row>
    <row r="184" spans="2:8" s="677" customFormat="1" x14ac:dyDescent="0.2">
      <c r="B184" s="497" t="s">
        <v>1554</v>
      </c>
      <c r="C184" s="511"/>
      <c r="D184" s="512">
        <f t="shared" si="12"/>
        <v>0</v>
      </c>
      <c r="E184" s="604">
        <f t="shared" si="4"/>
        <v>0</v>
      </c>
      <c r="G184" s="247">
        <f t="shared" si="10"/>
        <v>0</v>
      </c>
      <c r="H184" s="516">
        <f t="shared" si="11"/>
        <v>0</v>
      </c>
    </row>
    <row r="185" spans="2:8" s="677" customFormat="1" x14ac:dyDescent="0.2">
      <c r="B185" s="497" t="s">
        <v>1555</v>
      </c>
      <c r="C185" s="511"/>
      <c r="D185" s="512">
        <f t="shared" si="12"/>
        <v>0</v>
      </c>
      <c r="E185" s="604">
        <f t="shared" si="4"/>
        <v>0</v>
      </c>
      <c r="G185" s="247">
        <f t="shared" si="10"/>
        <v>0</v>
      </c>
      <c r="H185" s="516">
        <f t="shared" si="11"/>
        <v>0</v>
      </c>
    </row>
    <row r="186" spans="2:8" s="677" customFormat="1" x14ac:dyDescent="0.2">
      <c r="B186" s="497" t="s">
        <v>1556</v>
      </c>
      <c r="C186" s="511"/>
      <c r="D186" s="512">
        <f t="shared" si="12"/>
        <v>0</v>
      </c>
      <c r="E186" s="604">
        <f t="shared" si="4"/>
        <v>0</v>
      </c>
      <c r="G186" s="247">
        <f t="shared" si="10"/>
        <v>0</v>
      </c>
      <c r="H186" s="516">
        <f t="shared" si="11"/>
        <v>0</v>
      </c>
    </row>
    <row r="187" spans="2:8" s="677" customFormat="1" x14ac:dyDescent="0.2">
      <c r="B187" s="497" t="s">
        <v>1557</v>
      </c>
      <c r="C187" s="511"/>
      <c r="D187" s="512">
        <f t="shared" si="12"/>
        <v>0</v>
      </c>
      <c r="E187" s="604">
        <f t="shared" si="4"/>
        <v>0</v>
      </c>
      <c r="G187" s="247">
        <f t="shared" si="10"/>
        <v>0</v>
      </c>
      <c r="H187" s="516">
        <f t="shared" si="11"/>
        <v>0</v>
      </c>
    </row>
    <row r="188" spans="2:8" s="677" customFormat="1" x14ac:dyDescent="0.2">
      <c r="B188" s="497" t="s">
        <v>1558</v>
      </c>
      <c r="C188" s="511"/>
      <c r="D188" s="512">
        <f t="shared" si="12"/>
        <v>0</v>
      </c>
      <c r="E188" s="604">
        <f t="shared" si="4"/>
        <v>0</v>
      </c>
      <c r="G188" s="247">
        <f t="shared" si="10"/>
        <v>0</v>
      </c>
      <c r="H188" s="516">
        <f t="shared" si="11"/>
        <v>0</v>
      </c>
    </row>
    <row r="189" spans="2:8" s="677" customFormat="1" x14ac:dyDescent="0.2">
      <c r="B189" s="497" t="s">
        <v>1559</v>
      </c>
      <c r="C189" s="511"/>
      <c r="D189" s="512">
        <f t="shared" si="12"/>
        <v>0</v>
      </c>
      <c r="E189" s="604">
        <f t="shared" si="4"/>
        <v>0</v>
      </c>
      <c r="G189" s="247">
        <f t="shared" si="10"/>
        <v>0</v>
      </c>
      <c r="H189" s="516">
        <f t="shared" si="11"/>
        <v>0</v>
      </c>
    </row>
    <row r="190" spans="2:8" s="677" customFormat="1" x14ac:dyDescent="0.2">
      <c r="B190" s="497" t="s">
        <v>1560</v>
      </c>
      <c r="C190" s="511"/>
      <c r="D190" s="512">
        <f t="shared" si="12"/>
        <v>0</v>
      </c>
      <c r="E190" s="604">
        <f t="shared" si="4"/>
        <v>0</v>
      </c>
      <c r="G190" s="247">
        <f t="shared" si="10"/>
        <v>0</v>
      </c>
      <c r="H190" s="516">
        <f t="shared" si="11"/>
        <v>0</v>
      </c>
    </row>
    <row r="191" spans="2:8" x14ac:dyDescent="0.2">
      <c r="C191" s="513">
        <f>SUM(C146:C190)</f>
        <v>0</v>
      </c>
      <c r="D191" s="514">
        <f>SUM(D146:D190)</f>
        <v>0</v>
      </c>
      <c r="E191" s="508">
        <f>SUM(E146:E190)</f>
        <v>0</v>
      </c>
      <c r="G191" s="513">
        <f>SUM(G146:G190)</f>
        <v>0</v>
      </c>
      <c r="H191" s="514">
        <f>SUM(H146:H190)</f>
        <v>0</v>
      </c>
    </row>
  </sheetData>
  <sheetProtection algorithmName="SHA-512" hashValue="zQGWzM5rAbHojGsZw/oeHE2vQfo+KoOUrFVZDsgEytitW6c57S274R2c/ihoTTD7y0xv6fJ4p2S9uhFXPR13sg==" saltValue="+87x/MpRcLp8PDj9+A4tOw==" spinCount="100000" sheet="1" objects="1" scenarios="1"/>
  <mergeCells count="6">
    <mergeCell ref="G143:H143"/>
    <mergeCell ref="A2:C2"/>
    <mergeCell ref="A5:C5"/>
    <mergeCell ref="B63:I63"/>
    <mergeCell ref="B65:E65"/>
    <mergeCell ref="B141:H142"/>
  </mergeCells>
  <conditionalFormatting sqref="B36:E43 C51:E53 B54:E55 B57:E58 B56:C56">
    <cfRule type="expression" dxfId="23" priority="12">
      <formula>#REF!=2</formula>
    </cfRule>
  </conditionalFormatting>
  <conditionalFormatting sqref="B44">
    <cfRule type="expression" dxfId="22" priority="11">
      <formula>#REF!=2</formula>
    </cfRule>
  </conditionalFormatting>
  <conditionalFormatting sqref="E48:E50">
    <cfRule type="expression" dxfId="21" priority="10">
      <formula>#REF!=2</formula>
    </cfRule>
  </conditionalFormatting>
  <conditionalFormatting sqref="C44:E44">
    <cfRule type="expression" dxfId="20" priority="9">
      <formula>#REF!=2</formula>
    </cfRule>
  </conditionalFormatting>
  <conditionalFormatting sqref="B45">
    <cfRule type="expression" dxfId="19" priority="8">
      <formula>#REF!=2</formula>
    </cfRule>
  </conditionalFormatting>
  <conditionalFormatting sqref="C45:C50">
    <cfRule type="expression" dxfId="18" priority="7">
      <formula>#REF!=2</formula>
    </cfRule>
  </conditionalFormatting>
  <conditionalFormatting sqref="D45:D50">
    <cfRule type="expression" dxfId="17" priority="6">
      <formula>#REF!=2</formula>
    </cfRule>
  </conditionalFormatting>
  <conditionalFormatting sqref="E45:E47">
    <cfRule type="expression" dxfId="16" priority="5">
      <formula>#REF!=2</formula>
    </cfRule>
  </conditionalFormatting>
  <conditionalFormatting sqref="B46:B51">
    <cfRule type="expression" dxfId="15" priority="4">
      <formula>#REF!=2</formula>
    </cfRule>
  </conditionalFormatting>
  <conditionalFormatting sqref="B52">
    <cfRule type="expression" dxfId="14" priority="3">
      <formula>#REF!=2</formula>
    </cfRule>
  </conditionalFormatting>
  <conditionalFormatting sqref="B53">
    <cfRule type="expression" dxfId="13" priority="2">
      <formula>#REF!=2</formula>
    </cfRule>
  </conditionalFormatting>
  <conditionalFormatting sqref="D56:E56">
    <cfRule type="expression" dxfId="12" priority="1">
      <formula>#REF!=2</formula>
    </cfRule>
  </conditionalFormatting>
  <pageMargins left="0.7" right="0.7" top="0.75" bottom="0.75" header="0.3" footer="0.3"/>
  <pageSetup scale="20" fitToWidth="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'Ka. 2018 RHBF Summary'!$B$315:$B$620</xm:f>
          </x14:formula1>
          <xm:sqref>C14</xm:sqref>
        </x14:dataValidation>
      </x14:dataValidations>
    </ext>
  </extLs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L621"/>
  <sheetViews>
    <sheetView zoomScale="88" zoomScaleNormal="88" zoomScaleSheetLayoutView="115" workbookViewId="0">
      <pane xSplit="2" ySplit="5" topLeftCell="D6" activePane="bottomRight" state="frozen"/>
      <selection activeCell="A6" sqref="A6"/>
      <selection pane="topRight" activeCell="C6" sqref="C6"/>
      <selection pane="bottomLeft" activeCell="A12" sqref="A12"/>
      <selection pane="bottomRight" activeCell="K20" sqref="K20"/>
    </sheetView>
  </sheetViews>
  <sheetFormatPr defaultColWidth="9.140625" defaultRowHeight="15.75" x14ac:dyDescent="0.25"/>
  <cols>
    <col min="1" max="1" width="14.28515625" style="649" customWidth="1"/>
    <col min="2" max="2" width="60.140625" style="647" customWidth="1"/>
    <col min="3" max="5" width="21.85546875" style="659" customWidth="1"/>
    <col min="6" max="6" width="17.5703125" style="647" customWidth="1"/>
    <col min="7" max="7" width="17.28515625" style="617" customWidth="1"/>
    <col min="8" max="8" width="15" style="647" customWidth="1"/>
    <col min="9" max="9" width="14.7109375" style="617" customWidth="1"/>
    <col min="10" max="10" width="10" style="617" customWidth="1"/>
    <col min="11" max="11" width="17.5703125" style="617" customWidth="1"/>
    <col min="12" max="12" width="17" style="617" customWidth="1"/>
    <col min="13" max="13" width="2.85546875" style="617" customWidth="1"/>
    <col min="14" max="16" width="17" style="617" customWidth="1"/>
    <col min="17" max="17" width="19.140625" style="617" customWidth="1"/>
    <col min="18" max="18" width="17" style="617" customWidth="1"/>
    <col min="19" max="19" width="3.140625" style="617" customWidth="1"/>
    <col min="20" max="20" width="20" style="617" customWidth="1"/>
    <col min="21" max="21" width="22.85546875" style="617" customWidth="1"/>
    <col min="22" max="22" width="15.28515625" style="617" customWidth="1"/>
    <col min="23" max="30" width="16.42578125" style="617" customWidth="1"/>
    <col min="31" max="31" width="12.42578125" style="617" customWidth="1"/>
    <col min="32" max="32" width="12.7109375" style="617" bestFit="1" customWidth="1"/>
    <col min="33" max="16384" width="9.140625" style="617"/>
  </cols>
  <sheetData>
    <row r="1" spans="1:38" ht="18" customHeight="1" x14ac:dyDescent="0.25">
      <c r="A1" s="1118" t="s">
        <v>1188</v>
      </c>
      <c r="B1" s="1118"/>
      <c r="C1" s="652"/>
      <c r="D1" s="652"/>
      <c r="E1" s="652"/>
      <c r="F1" s="616"/>
      <c r="G1" s="616"/>
      <c r="H1" s="617"/>
      <c r="K1" s="618"/>
      <c r="U1" s="616"/>
      <c r="V1" s="616"/>
    </row>
    <row r="2" spans="1:38" ht="22.5" customHeight="1" x14ac:dyDescent="0.3">
      <c r="A2" s="1118"/>
      <c r="B2" s="1118"/>
      <c r="C2" s="652"/>
      <c r="D2" s="652"/>
      <c r="E2" s="652"/>
      <c r="F2" s="619"/>
      <c r="G2" s="619"/>
      <c r="H2" s="617"/>
      <c r="I2" s="619"/>
      <c r="J2" s="619"/>
      <c r="K2" s="619"/>
      <c r="L2" s="619"/>
      <c r="M2" s="619"/>
      <c r="N2" s="619"/>
      <c r="O2" s="619"/>
      <c r="P2" s="619"/>
      <c r="Q2" s="619"/>
      <c r="R2" s="619"/>
      <c r="S2" s="619"/>
      <c r="T2" s="619"/>
      <c r="U2" s="619"/>
      <c r="V2" s="619"/>
      <c r="W2" s="619"/>
      <c r="X2" s="619"/>
      <c r="Y2" s="619"/>
      <c r="Z2" s="619"/>
      <c r="AA2" s="619"/>
      <c r="AB2" s="619"/>
      <c r="AC2" s="619"/>
      <c r="AD2" s="619"/>
    </row>
    <row r="3" spans="1:38" ht="21.75" customHeight="1" x14ac:dyDescent="0.25">
      <c r="A3" s="620"/>
      <c r="B3" s="621"/>
      <c r="C3" s="653"/>
      <c r="D3" s="653"/>
      <c r="E3" s="653"/>
      <c r="F3" s="621"/>
      <c r="G3" s="622"/>
      <c r="H3" s="617"/>
      <c r="I3" s="1119" t="s">
        <v>1073</v>
      </c>
      <c r="J3" s="1119"/>
      <c r="K3" s="1119"/>
      <c r="L3" s="1119"/>
      <c r="M3" s="623"/>
      <c r="N3" s="1119" t="s">
        <v>730</v>
      </c>
      <c r="O3" s="1119"/>
      <c r="P3" s="1119"/>
      <c r="Q3" s="1119"/>
      <c r="R3" s="1119"/>
      <c r="S3" s="623"/>
      <c r="T3" s="1119" t="s">
        <v>1189</v>
      </c>
      <c r="U3" s="1119"/>
      <c r="V3" s="1119"/>
      <c r="W3" s="624"/>
      <c r="X3" s="625"/>
      <c r="Y3" s="624"/>
      <c r="Z3" s="624"/>
      <c r="AA3" s="624"/>
      <c r="AB3" s="624"/>
      <c r="AC3" s="624"/>
      <c r="AD3" s="624"/>
    </row>
    <row r="4" spans="1:38" ht="165" customHeight="1" x14ac:dyDescent="0.25">
      <c r="A4" s="626" t="s">
        <v>1190</v>
      </c>
      <c r="B4" s="627" t="s">
        <v>1191</v>
      </c>
      <c r="C4" s="654" t="s">
        <v>1506</v>
      </c>
      <c r="D4" s="654" t="s">
        <v>1507</v>
      </c>
      <c r="E4" s="654" t="s">
        <v>1509</v>
      </c>
      <c r="F4" s="628" t="s">
        <v>1192</v>
      </c>
      <c r="G4" s="629" t="s">
        <v>1193</v>
      </c>
      <c r="H4" s="628" t="s">
        <v>1194</v>
      </c>
      <c r="I4" s="628" t="s">
        <v>1195</v>
      </c>
      <c r="J4" s="628" t="s">
        <v>1196</v>
      </c>
      <c r="K4" s="628" t="s">
        <v>1197</v>
      </c>
      <c r="L4" s="628" t="s">
        <v>1198</v>
      </c>
      <c r="M4" s="628"/>
      <c r="N4" s="628" t="s">
        <v>1194</v>
      </c>
      <c r="O4" s="628" t="s">
        <v>1195</v>
      </c>
      <c r="P4" s="628" t="s">
        <v>1196</v>
      </c>
      <c r="Q4" s="628" t="s">
        <v>1197</v>
      </c>
      <c r="R4" s="628" t="s">
        <v>1199</v>
      </c>
      <c r="S4" s="628"/>
      <c r="T4" s="628" t="s">
        <v>1200</v>
      </c>
      <c r="U4" s="628" t="s">
        <v>1201</v>
      </c>
      <c r="V4" s="628" t="s">
        <v>1202</v>
      </c>
      <c r="W4" s="628"/>
      <c r="X4" s="628"/>
      <c r="Y4" s="628"/>
      <c r="Z4" s="628"/>
      <c r="AA4" s="628"/>
      <c r="AB4" s="628"/>
      <c r="AC4" s="628"/>
      <c r="AD4" s="628"/>
    </row>
    <row r="5" spans="1:38" ht="12.75" customHeight="1" x14ac:dyDescent="0.25">
      <c r="A5" s="630"/>
      <c r="B5" s="630"/>
      <c r="C5" s="655"/>
      <c r="D5" s="655"/>
      <c r="E5" s="655"/>
      <c r="F5" s="630"/>
      <c r="G5" s="630"/>
      <c r="H5" s="630"/>
      <c r="I5" s="630"/>
      <c r="J5" s="630"/>
      <c r="K5" s="630"/>
      <c r="L5" s="630"/>
      <c r="M5" s="630"/>
      <c r="N5" s="630"/>
      <c r="O5" s="630"/>
      <c r="P5" s="630"/>
      <c r="Q5" s="630"/>
      <c r="R5" s="630"/>
      <c r="S5" s="630"/>
      <c r="T5" s="626"/>
      <c r="U5" s="630"/>
      <c r="V5" s="630"/>
      <c r="W5" s="630"/>
      <c r="X5" s="630"/>
      <c r="Y5" s="630"/>
      <c r="Z5" s="630"/>
      <c r="AA5" s="630"/>
      <c r="AB5" s="630"/>
      <c r="AC5" s="630"/>
      <c r="AD5" s="630"/>
    </row>
    <row r="6" spans="1:38" ht="12.75" customHeight="1" x14ac:dyDescent="0.25">
      <c r="A6" s="631" t="s">
        <v>521</v>
      </c>
      <c r="B6" s="632" t="s">
        <v>1203</v>
      </c>
      <c r="C6" s="656">
        <v>0</v>
      </c>
      <c r="D6" s="656">
        <v>0</v>
      </c>
      <c r="E6" s="661">
        <v>0</v>
      </c>
      <c r="F6" s="633">
        <v>0</v>
      </c>
      <c r="G6" s="633">
        <v>0</v>
      </c>
      <c r="H6" s="633">
        <v>0</v>
      </c>
      <c r="I6" s="633">
        <v>0</v>
      </c>
      <c r="J6" s="633">
        <v>0</v>
      </c>
      <c r="K6" s="633">
        <v>0</v>
      </c>
      <c r="L6" s="633">
        <v>0</v>
      </c>
      <c r="M6" s="630"/>
      <c r="N6" s="633">
        <v>0</v>
      </c>
      <c r="O6" s="633">
        <v>0</v>
      </c>
      <c r="P6" s="633">
        <v>0</v>
      </c>
      <c r="Q6" s="633">
        <v>0</v>
      </c>
      <c r="R6" s="633">
        <v>0</v>
      </c>
      <c r="S6" s="633"/>
      <c r="T6" s="633">
        <v>0</v>
      </c>
      <c r="U6" s="633">
        <v>0</v>
      </c>
      <c r="V6" s="633">
        <v>0</v>
      </c>
      <c r="W6" s="630"/>
      <c r="X6" s="630"/>
      <c r="Y6" s="630"/>
      <c r="Z6" s="630"/>
      <c r="AA6" s="630"/>
      <c r="AB6" s="630"/>
      <c r="AC6" s="630"/>
      <c r="AD6" s="630"/>
    </row>
    <row r="7" spans="1:38" x14ac:dyDescent="0.25">
      <c r="A7" s="634">
        <v>10200</v>
      </c>
      <c r="B7" s="632" t="s">
        <v>1204</v>
      </c>
      <c r="C7" s="656">
        <v>9.3000000000000005E-4</v>
      </c>
      <c r="D7" s="656">
        <v>9.6699999999999998E-4</v>
      </c>
      <c r="E7" s="661">
        <v>841156</v>
      </c>
      <c r="F7" s="632">
        <v>40447705</v>
      </c>
      <c r="G7" s="633">
        <v>31701074</v>
      </c>
      <c r="H7" s="633">
        <v>0</v>
      </c>
      <c r="I7" s="633">
        <v>0</v>
      </c>
      <c r="J7" s="633">
        <v>0</v>
      </c>
      <c r="K7" s="633">
        <v>1281645</v>
      </c>
      <c r="L7" s="633">
        <f>SUM(H7:K7)</f>
        <v>1281645</v>
      </c>
      <c r="M7" s="633"/>
      <c r="N7" s="633">
        <v>2273025</v>
      </c>
      <c r="O7" s="633">
        <v>11781</v>
      </c>
      <c r="P7" s="633">
        <v>8730331</v>
      </c>
      <c r="Q7" s="633">
        <v>0</v>
      </c>
      <c r="R7" s="633">
        <f>SUM(N7:Q7)</f>
        <v>11015137</v>
      </c>
      <c r="S7" s="633"/>
      <c r="T7" s="633">
        <f>V7-U7</f>
        <v>1571688</v>
      </c>
      <c r="U7" s="633">
        <v>256330</v>
      </c>
      <c r="V7" s="633">
        <v>1828018</v>
      </c>
      <c r="W7" s="635"/>
      <c r="X7" s="635"/>
      <c r="Y7" s="635"/>
      <c r="Z7" s="635"/>
      <c r="AA7" s="635"/>
      <c r="AB7" s="635"/>
      <c r="AC7" s="635"/>
      <c r="AD7" s="635"/>
      <c r="AE7" s="636"/>
      <c r="AF7" s="636"/>
      <c r="AG7" s="636"/>
      <c r="AH7" s="636"/>
      <c r="AI7" s="636"/>
      <c r="AJ7" s="636"/>
      <c r="AK7" s="636"/>
      <c r="AL7" s="636"/>
    </row>
    <row r="8" spans="1:38" x14ac:dyDescent="0.25">
      <c r="A8" s="634">
        <v>10400</v>
      </c>
      <c r="B8" s="632" t="s">
        <v>1205</v>
      </c>
      <c r="C8" s="656">
        <v>2.712E-3</v>
      </c>
      <c r="D8" s="656">
        <v>2.8389999999999999E-3</v>
      </c>
      <c r="E8" s="661">
        <v>2883645</v>
      </c>
      <c r="F8" s="632">
        <v>117982350</v>
      </c>
      <c r="G8" s="633">
        <v>93084903</v>
      </c>
      <c r="H8" s="633">
        <v>0</v>
      </c>
      <c r="I8" s="633">
        <v>0</v>
      </c>
      <c r="J8" s="633">
        <v>0</v>
      </c>
      <c r="K8" s="633">
        <v>4762755</v>
      </c>
      <c r="L8" s="633">
        <f t="shared" ref="L8:L71" si="0">SUM(H8:K8)</f>
        <v>4762755</v>
      </c>
      <c r="M8" s="633"/>
      <c r="N8" s="633">
        <v>6674359</v>
      </c>
      <c r="O8" s="633">
        <v>34594</v>
      </c>
      <c r="P8" s="633">
        <v>25635157</v>
      </c>
      <c r="Q8" s="633">
        <v>0</v>
      </c>
      <c r="R8" s="633">
        <f t="shared" ref="R8:R71" si="1">SUM(N8:Q8)</f>
        <v>32344110</v>
      </c>
      <c r="S8" s="633"/>
      <c r="T8" s="633">
        <f t="shared" ref="T8:T71" si="2">V8-U8</f>
        <v>4615000</v>
      </c>
      <c r="U8" s="633">
        <v>952554</v>
      </c>
      <c r="V8" s="633">
        <v>5567554</v>
      </c>
      <c r="W8" s="635"/>
      <c r="X8" s="635"/>
      <c r="Y8" s="635"/>
      <c r="Z8" s="635"/>
      <c r="AA8" s="635"/>
      <c r="AB8" s="635"/>
      <c r="AC8" s="635"/>
      <c r="AD8" s="635"/>
      <c r="AE8" s="636"/>
      <c r="AF8" s="636"/>
      <c r="AG8" s="636"/>
      <c r="AH8" s="636"/>
      <c r="AI8" s="636"/>
      <c r="AJ8" s="636"/>
      <c r="AK8" s="636"/>
      <c r="AL8" s="636"/>
    </row>
    <row r="9" spans="1:38" x14ac:dyDescent="0.25">
      <c r="A9" s="634">
        <v>10500</v>
      </c>
      <c r="B9" s="632" t="s">
        <v>1206</v>
      </c>
      <c r="C9" s="656">
        <v>6.1200000000000002E-4</v>
      </c>
      <c r="D9" s="656">
        <v>6.9399999999999996E-4</v>
      </c>
      <c r="E9" s="661">
        <v>618745</v>
      </c>
      <c r="F9" s="632">
        <v>26620073</v>
      </c>
      <c r="G9" s="633">
        <v>22756790</v>
      </c>
      <c r="H9" s="633">
        <v>0</v>
      </c>
      <c r="I9" s="633">
        <v>0</v>
      </c>
      <c r="J9" s="633">
        <v>0</v>
      </c>
      <c r="K9" s="633">
        <v>2945415</v>
      </c>
      <c r="L9" s="633">
        <f t="shared" si="0"/>
        <v>2945415</v>
      </c>
      <c r="M9" s="633"/>
      <c r="N9" s="633">
        <v>1631704</v>
      </c>
      <c r="O9" s="633">
        <v>8457</v>
      </c>
      <c r="P9" s="633">
        <v>6267116</v>
      </c>
      <c r="Q9" s="633">
        <v>0</v>
      </c>
      <c r="R9" s="633">
        <f t="shared" si="1"/>
        <v>7907277</v>
      </c>
      <c r="S9" s="633"/>
      <c r="T9" s="633">
        <f t="shared" si="2"/>
        <v>1128245</v>
      </c>
      <c r="U9" s="633">
        <v>589079</v>
      </c>
      <c r="V9" s="633">
        <v>1717324</v>
      </c>
      <c r="W9" s="635"/>
      <c r="X9" s="635"/>
      <c r="Y9" s="635"/>
      <c r="Z9" s="635"/>
      <c r="AA9" s="635"/>
      <c r="AB9" s="635"/>
      <c r="AC9" s="635"/>
      <c r="AD9" s="635"/>
      <c r="AE9" s="636"/>
      <c r="AF9" s="636"/>
      <c r="AG9" s="636"/>
      <c r="AH9" s="636"/>
      <c r="AI9" s="636"/>
      <c r="AJ9" s="636"/>
      <c r="AK9" s="636"/>
      <c r="AL9" s="636"/>
    </row>
    <row r="10" spans="1:38" x14ac:dyDescent="0.25">
      <c r="A10" s="634">
        <v>10700</v>
      </c>
      <c r="B10" s="632" t="s">
        <v>1207</v>
      </c>
      <c r="C10" s="656">
        <v>3.722E-3</v>
      </c>
      <c r="D10" s="656">
        <v>4.045E-3</v>
      </c>
      <c r="E10" s="661">
        <v>4278473</v>
      </c>
      <c r="F10" s="632">
        <v>161898199</v>
      </c>
      <c r="G10" s="633">
        <v>132608146</v>
      </c>
      <c r="H10" s="633">
        <v>0</v>
      </c>
      <c r="I10" s="633">
        <v>0</v>
      </c>
      <c r="J10" s="633">
        <v>0</v>
      </c>
      <c r="K10" s="633">
        <v>12075945</v>
      </c>
      <c r="L10" s="633">
        <f t="shared" si="0"/>
        <v>12075945</v>
      </c>
      <c r="M10" s="633"/>
      <c r="N10" s="633">
        <v>9508248</v>
      </c>
      <c r="O10" s="633">
        <v>49283</v>
      </c>
      <c r="P10" s="633">
        <v>36519678</v>
      </c>
      <c r="Q10" s="633">
        <v>0</v>
      </c>
      <c r="R10" s="633">
        <f t="shared" si="1"/>
        <v>46077209</v>
      </c>
      <c r="S10" s="633"/>
      <c r="T10" s="633">
        <f t="shared" si="2"/>
        <v>6574499</v>
      </c>
      <c r="U10" s="633">
        <v>2415185</v>
      </c>
      <c r="V10" s="633">
        <v>8989684</v>
      </c>
      <c r="W10" s="635"/>
      <c r="X10" s="635"/>
      <c r="Y10" s="635"/>
      <c r="Z10" s="635"/>
      <c r="AA10" s="635"/>
      <c r="AB10" s="635"/>
      <c r="AC10" s="635"/>
      <c r="AD10" s="635"/>
      <c r="AE10" s="636"/>
      <c r="AF10" s="636"/>
      <c r="AG10" s="636"/>
      <c r="AH10" s="636"/>
      <c r="AI10" s="636"/>
      <c r="AJ10" s="636"/>
      <c r="AK10" s="636"/>
      <c r="AL10" s="636"/>
    </row>
    <row r="11" spans="1:38" x14ac:dyDescent="0.25">
      <c r="A11" s="634">
        <v>10800</v>
      </c>
      <c r="B11" s="632" t="s">
        <v>1208</v>
      </c>
      <c r="C11" s="656">
        <v>1.6268000000000001E-2</v>
      </c>
      <c r="D11" s="656">
        <v>1.7635999999999999E-2</v>
      </c>
      <c r="E11" s="661">
        <v>17925903</v>
      </c>
      <c r="F11" s="632">
        <v>707709228</v>
      </c>
      <c r="G11" s="633">
        <v>578237397</v>
      </c>
      <c r="H11" s="633">
        <v>0</v>
      </c>
      <c r="I11" s="633">
        <v>0</v>
      </c>
      <c r="J11" s="633">
        <v>0</v>
      </c>
      <c r="K11" s="633">
        <v>50587925</v>
      </c>
      <c r="L11" s="633">
        <f t="shared" si="0"/>
        <v>50587925</v>
      </c>
      <c r="M11" s="633"/>
      <c r="N11" s="633">
        <v>41460685</v>
      </c>
      <c r="O11" s="633">
        <v>214898</v>
      </c>
      <c r="P11" s="633">
        <v>159243939</v>
      </c>
      <c r="Q11" s="633">
        <v>0</v>
      </c>
      <c r="R11" s="633">
        <f t="shared" si="1"/>
        <v>200919522</v>
      </c>
      <c r="S11" s="633"/>
      <c r="T11" s="633">
        <f t="shared" si="2"/>
        <v>28668082</v>
      </c>
      <c r="U11" s="633">
        <v>10117587</v>
      </c>
      <c r="V11" s="633">
        <v>38785669</v>
      </c>
      <c r="W11" s="635"/>
      <c r="X11" s="635"/>
      <c r="Y11" s="635"/>
      <c r="Z11" s="635"/>
      <c r="AA11" s="635"/>
      <c r="AB11" s="635"/>
      <c r="AC11" s="635"/>
      <c r="AD11" s="635"/>
      <c r="AE11" s="636"/>
      <c r="AF11" s="636"/>
      <c r="AG11" s="636"/>
      <c r="AH11" s="636"/>
      <c r="AI11" s="636"/>
      <c r="AJ11" s="636"/>
      <c r="AK11" s="636"/>
      <c r="AL11" s="636"/>
    </row>
    <row r="12" spans="1:38" x14ac:dyDescent="0.25">
      <c r="A12" s="634">
        <v>10850</v>
      </c>
      <c r="B12" s="632" t="s">
        <v>1209</v>
      </c>
      <c r="C12" s="656">
        <v>1.16E-4</v>
      </c>
      <c r="D12" s="656">
        <v>1.2400000000000001E-4</v>
      </c>
      <c r="E12" s="661">
        <v>181486</v>
      </c>
      <c r="F12" s="632">
        <v>5039288</v>
      </c>
      <c r="G12" s="633">
        <v>4077013</v>
      </c>
      <c r="H12" s="633">
        <v>0</v>
      </c>
      <c r="I12" s="633">
        <v>0</v>
      </c>
      <c r="J12" s="633">
        <v>0</v>
      </c>
      <c r="K12" s="633">
        <v>361430</v>
      </c>
      <c r="L12" s="633">
        <f t="shared" si="0"/>
        <v>361430</v>
      </c>
      <c r="M12" s="633"/>
      <c r="N12" s="633">
        <v>292329</v>
      </c>
      <c r="O12" s="633">
        <v>1515</v>
      </c>
      <c r="P12" s="633">
        <v>1122791</v>
      </c>
      <c r="Q12" s="633">
        <v>0</v>
      </c>
      <c r="R12" s="633">
        <f t="shared" si="1"/>
        <v>1416635</v>
      </c>
      <c r="S12" s="633"/>
      <c r="T12" s="633">
        <f t="shared" si="2"/>
        <v>202132</v>
      </c>
      <c r="U12" s="633">
        <v>72285</v>
      </c>
      <c r="V12" s="633">
        <v>274417</v>
      </c>
      <c r="W12" s="635"/>
      <c r="X12" s="635"/>
      <c r="Y12" s="635"/>
      <c r="Z12" s="635"/>
      <c r="AA12" s="635"/>
      <c r="AB12" s="635"/>
      <c r="AC12" s="635"/>
      <c r="AD12" s="635"/>
      <c r="AE12" s="636"/>
      <c r="AF12" s="636"/>
      <c r="AG12" s="636"/>
      <c r="AH12" s="636"/>
      <c r="AI12" s="636"/>
      <c r="AJ12" s="636"/>
      <c r="AK12" s="636"/>
      <c r="AL12" s="636"/>
    </row>
    <row r="13" spans="1:38" x14ac:dyDescent="0.25">
      <c r="A13" s="634">
        <v>10900</v>
      </c>
      <c r="B13" s="632" t="s">
        <v>1210</v>
      </c>
      <c r="C13" s="656">
        <v>1.5659999999999999E-3</v>
      </c>
      <c r="D13" s="656">
        <v>1.544E-3</v>
      </c>
      <c r="E13" s="661">
        <v>1870960</v>
      </c>
      <c r="F13" s="632">
        <v>68140964</v>
      </c>
      <c r="G13" s="633">
        <v>50617538</v>
      </c>
      <c r="H13" s="633">
        <v>0</v>
      </c>
      <c r="I13" s="633">
        <v>0</v>
      </c>
      <c r="J13" s="633">
        <v>0</v>
      </c>
      <c r="K13" s="633">
        <v>0</v>
      </c>
      <c r="L13" s="633">
        <f t="shared" si="0"/>
        <v>0</v>
      </c>
      <c r="M13" s="633"/>
      <c r="N13" s="633">
        <v>3629371</v>
      </c>
      <c r="O13" s="633">
        <v>18812</v>
      </c>
      <c r="P13" s="633">
        <v>13939839</v>
      </c>
      <c r="Q13" s="633">
        <v>478320</v>
      </c>
      <c r="R13" s="633">
        <f t="shared" si="1"/>
        <v>18066342</v>
      </c>
      <c r="S13" s="633"/>
      <c r="T13" s="633">
        <f t="shared" si="2"/>
        <v>2509536</v>
      </c>
      <c r="U13" s="633">
        <v>-95661</v>
      </c>
      <c r="V13" s="633">
        <v>2413875</v>
      </c>
      <c r="W13" s="635"/>
      <c r="X13" s="635"/>
      <c r="Y13" s="635"/>
      <c r="Z13" s="635"/>
      <c r="AA13" s="635"/>
      <c r="AB13" s="635"/>
      <c r="AC13" s="635"/>
      <c r="AD13" s="635"/>
      <c r="AE13" s="636"/>
      <c r="AF13" s="636"/>
      <c r="AG13" s="636"/>
      <c r="AH13" s="636"/>
      <c r="AI13" s="636"/>
      <c r="AJ13" s="636"/>
      <c r="AK13" s="636"/>
      <c r="AL13" s="636"/>
    </row>
    <row r="14" spans="1:38" x14ac:dyDescent="0.25">
      <c r="A14" s="634">
        <v>10910</v>
      </c>
      <c r="B14" s="632" t="s">
        <v>1211</v>
      </c>
      <c r="C14" s="656">
        <v>2.3599999999999999E-4</v>
      </c>
      <c r="D14" s="656">
        <v>2.5399999999999999E-4</v>
      </c>
      <c r="E14" s="661">
        <v>240601</v>
      </c>
      <c r="F14" s="632">
        <v>10261033</v>
      </c>
      <c r="G14" s="633">
        <v>8324716</v>
      </c>
      <c r="H14" s="633">
        <v>0</v>
      </c>
      <c r="I14" s="633">
        <v>0</v>
      </c>
      <c r="J14" s="633">
        <v>0</v>
      </c>
      <c r="K14" s="633">
        <v>653445</v>
      </c>
      <c r="L14" s="633">
        <f t="shared" si="0"/>
        <v>653445</v>
      </c>
      <c r="M14" s="633"/>
      <c r="N14" s="633">
        <v>596897</v>
      </c>
      <c r="O14" s="633">
        <v>3094</v>
      </c>
      <c r="P14" s="633">
        <v>2292589</v>
      </c>
      <c r="Q14" s="633">
        <v>0</v>
      </c>
      <c r="R14" s="633">
        <f t="shared" si="1"/>
        <v>2892580</v>
      </c>
      <c r="S14" s="633"/>
      <c r="T14" s="633">
        <f t="shared" si="2"/>
        <v>412726</v>
      </c>
      <c r="U14" s="633">
        <v>130693</v>
      </c>
      <c r="V14" s="633">
        <v>543419</v>
      </c>
      <c r="W14" s="635"/>
      <c r="X14" s="635"/>
      <c r="Y14" s="635"/>
      <c r="Z14" s="635"/>
      <c r="AA14" s="635"/>
      <c r="AB14" s="635"/>
      <c r="AC14" s="635"/>
      <c r="AD14" s="635"/>
      <c r="AE14" s="636"/>
      <c r="AF14" s="636"/>
      <c r="AG14" s="636"/>
      <c r="AH14" s="636"/>
      <c r="AI14" s="636"/>
      <c r="AJ14" s="636"/>
      <c r="AK14" s="636"/>
      <c r="AL14" s="636"/>
    </row>
    <row r="15" spans="1:38" x14ac:dyDescent="0.25">
      <c r="A15" s="634">
        <v>10930</v>
      </c>
      <c r="B15" s="632" t="s">
        <v>1212</v>
      </c>
      <c r="C15" s="656">
        <v>2.0860000000000002E-3</v>
      </c>
      <c r="D15" s="656">
        <v>2.3960000000000001E-3</v>
      </c>
      <c r="E15" s="661">
        <v>2682244</v>
      </c>
      <c r="F15" s="632">
        <v>90747009</v>
      </c>
      <c r="G15" s="633">
        <v>78559570</v>
      </c>
      <c r="H15" s="633">
        <v>0</v>
      </c>
      <c r="I15" s="633">
        <v>0</v>
      </c>
      <c r="J15" s="633">
        <v>0</v>
      </c>
      <c r="K15" s="633">
        <v>11580795</v>
      </c>
      <c r="L15" s="633">
        <f t="shared" si="0"/>
        <v>11580795</v>
      </c>
      <c r="M15" s="633"/>
      <c r="N15" s="633">
        <v>5632866</v>
      </c>
      <c r="O15" s="633">
        <v>29196</v>
      </c>
      <c r="P15" s="633">
        <v>21634947</v>
      </c>
      <c r="Q15" s="633">
        <v>0</v>
      </c>
      <c r="R15" s="633">
        <f t="shared" si="1"/>
        <v>27297009</v>
      </c>
      <c r="S15" s="633"/>
      <c r="T15" s="633">
        <f t="shared" si="2"/>
        <v>3894857</v>
      </c>
      <c r="U15" s="633">
        <v>2316162</v>
      </c>
      <c r="V15" s="633">
        <v>6211019</v>
      </c>
      <c r="W15" s="635"/>
      <c r="X15" s="635"/>
      <c r="Y15" s="635"/>
      <c r="Z15" s="635"/>
      <c r="AA15" s="635"/>
      <c r="AB15" s="635"/>
      <c r="AC15" s="635"/>
      <c r="AD15" s="635"/>
      <c r="AE15" s="636"/>
      <c r="AF15" s="636"/>
      <c r="AG15" s="636"/>
      <c r="AH15" s="636"/>
      <c r="AI15" s="636"/>
      <c r="AJ15" s="636"/>
      <c r="AK15" s="636"/>
      <c r="AL15" s="636"/>
    </row>
    <row r="16" spans="1:38" x14ac:dyDescent="0.25">
      <c r="A16" s="634">
        <v>10940</v>
      </c>
      <c r="B16" s="632" t="s">
        <v>1213</v>
      </c>
      <c r="C16" s="656">
        <v>5.7300000000000005E-4</v>
      </c>
      <c r="D16" s="656">
        <v>6.0499999999999996E-4</v>
      </c>
      <c r="E16" s="661">
        <v>676496</v>
      </c>
      <c r="F16" s="632">
        <v>24905302</v>
      </c>
      <c r="G16" s="633">
        <v>19846062</v>
      </c>
      <c r="H16" s="633">
        <v>0</v>
      </c>
      <c r="I16" s="633">
        <v>0</v>
      </c>
      <c r="J16" s="633">
        <v>0</v>
      </c>
      <c r="K16" s="633">
        <v>1274345</v>
      </c>
      <c r="L16" s="633">
        <f t="shared" si="0"/>
        <v>1274345</v>
      </c>
      <c r="M16" s="633"/>
      <c r="N16" s="633">
        <v>1422999</v>
      </c>
      <c r="O16" s="633">
        <v>7376</v>
      </c>
      <c r="P16" s="633">
        <v>5465515</v>
      </c>
      <c r="Q16" s="633">
        <v>0</v>
      </c>
      <c r="R16" s="633">
        <f t="shared" si="1"/>
        <v>6895890</v>
      </c>
      <c r="S16" s="633"/>
      <c r="T16" s="633">
        <f t="shared" si="2"/>
        <v>983936</v>
      </c>
      <c r="U16" s="633">
        <v>254865</v>
      </c>
      <c r="V16" s="633">
        <v>1238801</v>
      </c>
      <c r="W16" s="635"/>
      <c r="X16" s="635"/>
      <c r="Y16" s="635"/>
      <c r="Z16" s="635"/>
      <c r="AA16" s="635"/>
      <c r="AB16" s="635"/>
      <c r="AC16" s="635"/>
      <c r="AD16" s="635"/>
      <c r="AE16" s="636"/>
      <c r="AF16" s="636"/>
      <c r="AG16" s="636"/>
      <c r="AH16" s="636"/>
      <c r="AI16" s="636"/>
      <c r="AJ16" s="636"/>
      <c r="AK16" s="636"/>
      <c r="AL16" s="636"/>
    </row>
    <row r="17" spans="1:38" x14ac:dyDescent="0.25">
      <c r="A17" s="634">
        <v>10950</v>
      </c>
      <c r="B17" s="632" t="s">
        <v>1214</v>
      </c>
      <c r="C17" s="656">
        <v>7.5000000000000002E-4</v>
      </c>
      <c r="D17" s="656">
        <v>7.2300000000000001E-4</v>
      </c>
      <c r="E17" s="661">
        <v>736220</v>
      </c>
      <c r="F17" s="632">
        <v>32637513</v>
      </c>
      <c r="G17" s="633">
        <v>23690030</v>
      </c>
      <c r="H17" s="633">
        <v>0</v>
      </c>
      <c r="I17" s="633">
        <v>0</v>
      </c>
      <c r="J17" s="633">
        <v>0</v>
      </c>
      <c r="K17" s="633">
        <v>0</v>
      </c>
      <c r="L17" s="633">
        <f t="shared" si="0"/>
        <v>0</v>
      </c>
      <c r="M17" s="633"/>
      <c r="N17" s="633">
        <v>1698619</v>
      </c>
      <c r="O17" s="633">
        <v>8804</v>
      </c>
      <c r="P17" s="633">
        <v>6524126</v>
      </c>
      <c r="Q17" s="633">
        <v>961860</v>
      </c>
      <c r="R17" s="633">
        <f t="shared" si="1"/>
        <v>9193409</v>
      </c>
      <c r="S17" s="633"/>
      <c r="T17" s="633">
        <f t="shared" si="2"/>
        <v>1174514</v>
      </c>
      <c r="U17" s="633">
        <v>-192367</v>
      </c>
      <c r="V17" s="633">
        <v>982147</v>
      </c>
      <c r="W17" s="635"/>
      <c r="X17" s="635"/>
      <c r="Y17" s="635"/>
      <c r="Z17" s="635"/>
      <c r="AA17" s="635"/>
      <c r="AB17" s="635"/>
      <c r="AC17" s="635"/>
      <c r="AD17" s="635"/>
      <c r="AE17" s="636"/>
      <c r="AF17" s="636"/>
      <c r="AG17" s="636"/>
      <c r="AH17" s="636"/>
      <c r="AI17" s="636"/>
      <c r="AJ17" s="636"/>
      <c r="AK17" s="636"/>
      <c r="AL17" s="636"/>
    </row>
    <row r="18" spans="1:38" x14ac:dyDescent="0.25">
      <c r="A18" s="634">
        <v>11300</v>
      </c>
      <c r="B18" s="632" t="s">
        <v>1215</v>
      </c>
      <c r="C18" s="656">
        <v>4.3600000000000002E-3</v>
      </c>
      <c r="D18" s="656">
        <v>4.1960000000000001E-3</v>
      </c>
      <c r="E18" s="661">
        <v>4713318</v>
      </c>
      <c r="F18" s="632">
        <v>189660798</v>
      </c>
      <c r="G18" s="633">
        <v>137563488</v>
      </c>
      <c r="H18" s="633">
        <v>0</v>
      </c>
      <c r="I18" s="633">
        <v>0</v>
      </c>
      <c r="J18" s="633">
        <v>0</v>
      </c>
      <c r="K18" s="633">
        <v>0</v>
      </c>
      <c r="L18" s="633">
        <f t="shared" si="0"/>
        <v>0</v>
      </c>
      <c r="M18" s="633"/>
      <c r="N18" s="633">
        <v>9863555</v>
      </c>
      <c r="O18" s="633">
        <v>51125</v>
      </c>
      <c r="P18" s="633">
        <v>37884357</v>
      </c>
      <c r="Q18" s="633">
        <v>5337610</v>
      </c>
      <c r="R18" s="633">
        <f t="shared" si="1"/>
        <v>53136647</v>
      </c>
      <c r="S18" s="633"/>
      <c r="T18" s="633">
        <f t="shared" si="2"/>
        <v>6820177</v>
      </c>
      <c r="U18" s="633">
        <v>-1067522</v>
      </c>
      <c r="V18" s="633">
        <v>5752655</v>
      </c>
      <c r="W18" s="635"/>
      <c r="X18" s="635"/>
      <c r="Y18" s="635"/>
      <c r="Z18" s="635"/>
      <c r="AA18" s="635"/>
      <c r="AB18" s="635"/>
      <c r="AC18" s="635"/>
      <c r="AD18" s="635"/>
      <c r="AE18" s="636"/>
      <c r="AF18" s="636"/>
      <c r="AG18" s="636"/>
      <c r="AH18" s="636"/>
      <c r="AI18" s="636"/>
      <c r="AJ18" s="636"/>
      <c r="AK18" s="636"/>
      <c r="AL18" s="636"/>
    </row>
    <row r="19" spans="1:38" x14ac:dyDescent="0.25">
      <c r="A19" s="634">
        <v>11310</v>
      </c>
      <c r="B19" s="632" t="s">
        <v>1216</v>
      </c>
      <c r="C19" s="656">
        <v>4.2000000000000002E-4</v>
      </c>
      <c r="D19" s="656">
        <v>4.4099999999999999E-4</v>
      </c>
      <c r="E19" s="661">
        <v>502637</v>
      </c>
      <c r="F19" s="632">
        <v>18265093</v>
      </c>
      <c r="G19" s="633">
        <v>14467153</v>
      </c>
      <c r="H19" s="633">
        <v>0</v>
      </c>
      <c r="I19" s="633">
        <v>0</v>
      </c>
      <c r="J19" s="633">
        <v>0</v>
      </c>
      <c r="K19" s="633">
        <v>845275</v>
      </c>
      <c r="L19" s="633">
        <f t="shared" si="0"/>
        <v>845275</v>
      </c>
      <c r="M19" s="633"/>
      <c r="N19" s="633">
        <v>1037321</v>
      </c>
      <c r="O19" s="633">
        <v>5377</v>
      </c>
      <c r="P19" s="633">
        <v>3984188</v>
      </c>
      <c r="Q19" s="633">
        <v>0</v>
      </c>
      <c r="R19" s="633">
        <f t="shared" si="1"/>
        <v>5026886</v>
      </c>
      <c r="S19" s="633"/>
      <c r="T19" s="633">
        <f t="shared" si="2"/>
        <v>717258</v>
      </c>
      <c r="U19" s="633">
        <v>169050</v>
      </c>
      <c r="V19" s="633">
        <v>886308</v>
      </c>
      <c r="W19" s="635"/>
      <c r="X19" s="635"/>
      <c r="Y19" s="635"/>
      <c r="Z19" s="635"/>
      <c r="AA19" s="635"/>
      <c r="AB19" s="635"/>
      <c r="AC19" s="635"/>
      <c r="AD19" s="635"/>
      <c r="AE19" s="636"/>
      <c r="AF19" s="636"/>
      <c r="AG19" s="636"/>
      <c r="AH19" s="636"/>
      <c r="AI19" s="636"/>
      <c r="AJ19" s="636"/>
      <c r="AK19" s="636"/>
      <c r="AL19" s="636"/>
    </row>
    <row r="20" spans="1:38" x14ac:dyDescent="0.25">
      <c r="A20" s="634">
        <v>11600</v>
      </c>
      <c r="B20" s="632" t="s">
        <v>1217</v>
      </c>
      <c r="C20" s="656">
        <v>1.792E-3</v>
      </c>
      <c r="D20" s="656">
        <v>1.91E-3</v>
      </c>
      <c r="E20" s="661">
        <v>1808229</v>
      </c>
      <c r="F20" s="632">
        <v>77965021</v>
      </c>
      <c r="G20" s="633">
        <v>62613997</v>
      </c>
      <c r="H20" s="633">
        <v>0</v>
      </c>
      <c r="I20" s="633">
        <v>0</v>
      </c>
      <c r="J20" s="633">
        <v>0</v>
      </c>
      <c r="K20" s="633">
        <v>4257770</v>
      </c>
      <c r="L20" s="633">
        <f t="shared" si="0"/>
        <v>4257770</v>
      </c>
      <c r="M20" s="633"/>
      <c r="N20" s="633">
        <v>4489539</v>
      </c>
      <c r="O20" s="633">
        <v>23270</v>
      </c>
      <c r="P20" s="633">
        <v>17243609</v>
      </c>
      <c r="Q20" s="633">
        <v>0</v>
      </c>
      <c r="R20" s="633">
        <f t="shared" si="1"/>
        <v>21756418</v>
      </c>
      <c r="S20" s="633"/>
      <c r="T20" s="633">
        <f t="shared" si="2"/>
        <v>3104301</v>
      </c>
      <c r="U20" s="633">
        <v>851551</v>
      </c>
      <c r="V20" s="633">
        <v>3955852</v>
      </c>
      <c r="W20" s="635"/>
      <c r="X20" s="635"/>
      <c r="Y20" s="635"/>
      <c r="Z20" s="635"/>
      <c r="AA20" s="635"/>
      <c r="AB20" s="635"/>
      <c r="AC20" s="635"/>
      <c r="AD20" s="635"/>
      <c r="AE20" s="636"/>
      <c r="AF20" s="636"/>
      <c r="AG20" s="636"/>
      <c r="AH20" s="636"/>
      <c r="AI20" s="636"/>
      <c r="AJ20" s="636"/>
      <c r="AK20" s="636"/>
      <c r="AL20" s="636"/>
    </row>
    <row r="21" spans="1:38" x14ac:dyDescent="0.25">
      <c r="A21" s="634">
        <v>11900</v>
      </c>
      <c r="B21" s="632" t="s">
        <v>1218</v>
      </c>
      <c r="C21" s="656">
        <v>2.0799999999999999E-4</v>
      </c>
      <c r="D21" s="656">
        <v>1.9900000000000001E-4</v>
      </c>
      <c r="E21" s="661">
        <v>181074</v>
      </c>
      <c r="F21" s="632">
        <v>9058251</v>
      </c>
      <c r="G21" s="633">
        <v>6513734</v>
      </c>
      <c r="H21" s="633">
        <v>0</v>
      </c>
      <c r="I21" s="633">
        <v>0</v>
      </c>
      <c r="J21" s="633">
        <v>0</v>
      </c>
      <c r="K21" s="633">
        <v>0</v>
      </c>
      <c r="L21" s="633">
        <f t="shared" si="0"/>
        <v>0</v>
      </c>
      <c r="M21" s="633"/>
      <c r="N21" s="633">
        <v>467047</v>
      </c>
      <c r="O21" s="633">
        <v>2421</v>
      </c>
      <c r="P21" s="633">
        <v>1793853</v>
      </c>
      <c r="Q21" s="633">
        <v>352550</v>
      </c>
      <c r="R21" s="633">
        <f t="shared" si="1"/>
        <v>2615871</v>
      </c>
      <c r="S21" s="633"/>
      <c r="T21" s="633">
        <f t="shared" si="2"/>
        <v>322940</v>
      </c>
      <c r="U21" s="633">
        <v>-70514</v>
      </c>
      <c r="V21" s="633">
        <v>252426</v>
      </c>
      <c r="W21" s="635"/>
      <c r="X21" s="635"/>
      <c r="Y21" s="635"/>
      <c r="Z21" s="635"/>
      <c r="AA21" s="635"/>
      <c r="AB21" s="635"/>
      <c r="AC21" s="635"/>
      <c r="AD21" s="635"/>
      <c r="AE21" s="636"/>
      <c r="AF21" s="636"/>
      <c r="AG21" s="636"/>
      <c r="AH21" s="636"/>
      <c r="AI21" s="636"/>
      <c r="AJ21" s="636"/>
      <c r="AK21" s="636"/>
      <c r="AL21" s="636"/>
    </row>
    <row r="22" spans="1:38" x14ac:dyDescent="0.25">
      <c r="A22" s="634">
        <v>12100</v>
      </c>
      <c r="B22" s="632" t="s">
        <v>1219</v>
      </c>
      <c r="C22" s="656">
        <v>2.4600000000000002E-4</v>
      </c>
      <c r="D22" s="656">
        <v>2.4699999999999999E-4</v>
      </c>
      <c r="E22" s="661">
        <v>234608</v>
      </c>
      <c r="F22" s="632">
        <v>10691180</v>
      </c>
      <c r="G22" s="633">
        <v>8085569</v>
      </c>
      <c r="H22" s="633">
        <v>0</v>
      </c>
      <c r="I22" s="633">
        <v>0</v>
      </c>
      <c r="J22" s="633">
        <v>0</v>
      </c>
      <c r="K22" s="633">
        <v>31340</v>
      </c>
      <c r="L22" s="633">
        <f t="shared" si="0"/>
        <v>31340</v>
      </c>
      <c r="M22" s="633"/>
      <c r="N22" s="633">
        <v>579750</v>
      </c>
      <c r="O22" s="633">
        <v>3005</v>
      </c>
      <c r="P22" s="633">
        <v>2226729</v>
      </c>
      <c r="Q22" s="633">
        <v>0</v>
      </c>
      <c r="R22" s="633">
        <f t="shared" si="1"/>
        <v>2809484</v>
      </c>
      <c r="S22" s="633"/>
      <c r="T22" s="633">
        <f t="shared" si="2"/>
        <v>400870</v>
      </c>
      <c r="U22" s="633">
        <v>6271</v>
      </c>
      <c r="V22" s="633">
        <v>407141</v>
      </c>
      <c r="W22" s="635"/>
      <c r="X22" s="635"/>
      <c r="Y22" s="635"/>
      <c r="Z22" s="635"/>
      <c r="AA22" s="635"/>
      <c r="AB22" s="635"/>
      <c r="AC22" s="635"/>
      <c r="AD22" s="635"/>
      <c r="AE22" s="636"/>
      <c r="AF22" s="636"/>
      <c r="AG22" s="636"/>
      <c r="AH22" s="636"/>
      <c r="AI22" s="636"/>
      <c r="AJ22" s="636"/>
      <c r="AK22" s="636"/>
      <c r="AL22" s="636"/>
    </row>
    <row r="23" spans="1:38" x14ac:dyDescent="0.25">
      <c r="A23" s="634">
        <v>12150</v>
      </c>
      <c r="B23" s="632" t="s">
        <v>1220</v>
      </c>
      <c r="C23" s="656">
        <v>3.6999999999999998E-5</v>
      </c>
      <c r="D23" s="656">
        <v>3.6999999999999998E-5</v>
      </c>
      <c r="E23" s="661">
        <v>28290</v>
      </c>
      <c r="F23" s="632">
        <v>1598454</v>
      </c>
      <c r="G23" s="633">
        <v>1204359</v>
      </c>
      <c r="H23" s="633">
        <v>0</v>
      </c>
      <c r="I23" s="633">
        <v>0</v>
      </c>
      <c r="J23" s="633">
        <v>0</v>
      </c>
      <c r="K23" s="633">
        <v>0</v>
      </c>
      <c r="L23" s="633">
        <f t="shared" si="0"/>
        <v>0</v>
      </c>
      <c r="M23" s="633"/>
      <c r="N23" s="633">
        <v>86355</v>
      </c>
      <c r="O23" s="633">
        <v>448</v>
      </c>
      <c r="P23" s="633">
        <v>331675</v>
      </c>
      <c r="Q23" s="633">
        <v>5865</v>
      </c>
      <c r="R23" s="633">
        <f t="shared" si="1"/>
        <v>424343</v>
      </c>
      <c r="S23" s="633"/>
      <c r="T23" s="633">
        <f t="shared" si="2"/>
        <v>59710</v>
      </c>
      <c r="U23" s="633">
        <v>-1173</v>
      </c>
      <c r="V23" s="633">
        <v>58537</v>
      </c>
      <c r="W23" s="635"/>
      <c r="X23" s="635"/>
      <c r="Y23" s="635"/>
      <c r="Z23" s="635"/>
      <c r="AA23" s="635"/>
      <c r="AB23" s="635"/>
      <c r="AC23" s="635"/>
      <c r="AD23" s="635"/>
      <c r="AE23" s="636"/>
      <c r="AF23" s="636"/>
      <c r="AG23" s="636"/>
      <c r="AH23" s="636"/>
      <c r="AI23" s="636"/>
      <c r="AJ23" s="636"/>
      <c r="AK23" s="636"/>
      <c r="AL23" s="636"/>
    </row>
    <row r="24" spans="1:38" x14ac:dyDescent="0.25">
      <c r="A24" s="634">
        <v>12160</v>
      </c>
      <c r="B24" s="632" t="s">
        <v>1221</v>
      </c>
      <c r="C24" s="656">
        <v>1.614E-3</v>
      </c>
      <c r="D24" s="656">
        <v>1.621E-3</v>
      </c>
      <c r="E24" s="661">
        <v>1793659</v>
      </c>
      <c r="F24" s="632">
        <v>70225886</v>
      </c>
      <c r="G24" s="633">
        <v>53160533</v>
      </c>
      <c r="H24" s="633">
        <v>0</v>
      </c>
      <c r="I24" s="633">
        <v>0</v>
      </c>
      <c r="J24" s="633">
        <v>0</v>
      </c>
      <c r="K24" s="633">
        <v>470275</v>
      </c>
      <c r="L24" s="633">
        <f t="shared" si="0"/>
        <v>470275</v>
      </c>
      <c r="M24" s="633"/>
      <c r="N24" s="633">
        <v>3811708</v>
      </c>
      <c r="O24" s="633">
        <v>19757</v>
      </c>
      <c r="P24" s="633">
        <v>14640168</v>
      </c>
      <c r="Q24" s="633">
        <v>0</v>
      </c>
      <c r="R24" s="633">
        <f t="shared" si="1"/>
        <v>18471633</v>
      </c>
      <c r="S24" s="633"/>
      <c r="T24" s="633">
        <f t="shared" si="2"/>
        <v>2635614</v>
      </c>
      <c r="U24" s="633">
        <v>94050</v>
      </c>
      <c r="V24" s="633">
        <v>2729664</v>
      </c>
      <c r="W24" s="635"/>
      <c r="X24" s="635"/>
      <c r="Y24" s="635"/>
      <c r="Z24" s="635"/>
      <c r="AA24" s="635"/>
      <c r="AB24" s="635"/>
      <c r="AC24" s="635"/>
      <c r="AD24" s="635"/>
      <c r="AE24" s="636"/>
      <c r="AF24" s="636"/>
      <c r="AG24" s="636"/>
      <c r="AH24" s="636"/>
      <c r="AI24" s="636"/>
      <c r="AJ24" s="636"/>
      <c r="AK24" s="636"/>
      <c r="AL24" s="636"/>
    </row>
    <row r="25" spans="1:38" x14ac:dyDescent="0.25">
      <c r="A25" s="634">
        <v>12220</v>
      </c>
      <c r="B25" s="632" t="s">
        <v>1222</v>
      </c>
      <c r="C25" s="656">
        <v>3.9863999999999997E-2</v>
      </c>
      <c r="D25" s="656">
        <v>4.1520000000000001E-2</v>
      </c>
      <c r="E25" s="661">
        <v>44591568</v>
      </c>
      <c r="F25" s="632">
        <v>1734212093</v>
      </c>
      <c r="G25" s="633">
        <v>1361296816</v>
      </c>
      <c r="H25" s="633">
        <v>0</v>
      </c>
      <c r="I25" s="633">
        <v>0</v>
      </c>
      <c r="J25" s="633">
        <v>0</v>
      </c>
      <c r="K25" s="633">
        <v>64328090</v>
      </c>
      <c r="L25" s="633">
        <f t="shared" si="0"/>
        <v>64328090</v>
      </c>
      <c r="M25" s="633"/>
      <c r="N25" s="633">
        <v>97607486</v>
      </c>
      <c r="O25" s="633">
        <v>505917</v>
      </c>
      <c r="P25" s="633">
        <v>374894928</v>
      </c>
      <c r="Q25" s="633">
        <v>0</v>
      </c>
      <c r="R25" s="633">
        <f t="shared" si="1"/>
        <v>473008331</v>
      </c>
      <c r="S25" s="633"/>
      <c r="T25" s="633">
        <f t="shared" si="2"/>
        <v>67490911</v>
      </c>
      <c r="U25" s="633">
        <v>12865620</v>
      </c>
      <c r="V25" s="633">
        <v>80356531</v>
      </c>
      <c r="W25" s="635"/>
      <c r="X25" s="635"/>
      <c r="Y25" s="635"/>
      <c r="Z25" s="635"/>
      <c r="AA25" s="635"/>
      <c r="AB25" s="635"/>
      <c r="AC25" s="635"/>
      <c r="AD25" s="635"/>
      <c r="AE25" s="636"/>
      <c r="AF25" s="636"/>
      <c r="AG25" s="636"/>
      <c r="AH25" s="636"/>
      <c r="AI25" s="636"/>
      <c r="AJ25" s="636"/>
      <c r="AK25" s="636"/>
      <c r="AL25" s="636"/>
    </row>
    <row r="26" spans="1:38" x14ac:dyDescent="0.25">
      <c r="A26" s="634">
        <v>12510</v>
      </c>
      <c r="B26" s="632" t="s">
        <v>1223</v>
      </c>
      <c r="C26" s="656">
        <v>4.4660000000000004E-3</v>
      </c>
      <c r="D26" s="656">
        <v>4.5500000000000002E-3</v>
      </c>
      <c r="E26" s="661">
        <v>5383201</v>
      </c>
      <c r="F26" s="632">
        <v>194297024</v>
      </c>
      <c r="G26" s="633">
        <v>149194287</v>
      </c>
      <c r="H26" s="633">
        <v>0</v>
      </c>
      <c r="I26" s="633">
        <v>0</v>
      </c>
      <c r="J26" s="633">
        <v>0</v>
      </c>
      <c r="K26" s="633">
        <v>3936690</v>
      </c>
      <c r="L26" s="633">
        <f t="shared" si="0"/>
        <v>3936690</v>
      </c>
      <c r="M26" s="633"/>
      <c r="N26" s="633">
        <v>10697505</v>
      </c>
      <c r="O26" s="633">
        <v>55447</v>
      </c>
      <c r="P26" s="633">
        <v>41087426</v>
      </c>
      <c r="Q26" s="633">
        <v>0</v>
      </c>
      <c r="R26" s="633">
        <f t="shared" si="1"/>
        <v>51840378</v>
      </c>
      <c r="S26" s="633"/>
      <c r="T26" s="633">
        <f t="shared" si="2"/>
        <v>7396813</v>
      </c>
      <c r="U26" s="633">
        <v>787338</v>
      </c>
      <c r="V26" s="633">
        <v>8184151</v>
      </c>
      <c r="W26" s="635"/>
      <c r="X26" s="635"/>
      <c r="Y26" s="635"/>
      <c r="Z26" s="635"/>
      <c r="AA26" s="635"/>
      <c r="AB26" s="635"/>
      <c r="AC26" s="635"/>
      <c r="AD26" s="635"/>
      <c r="AE26" s="636"/>
      <c r="AF26" s="636"/>
      <c r="AG26" s="636"/>
      <c r="AH26" s="636"/>
      <c r="AI26" s="636"/>
      <c r="AJ26" s="636"/>
      <c r="AK26" s="636"/>
      <c r="AL26" s="636"/>
    </row>
    <row r="27" spans="1:38" x14ac:dyDescent="0.25">
      <c r="A27" s="634">
        <v>12600</v>
      </c>
      <c r="B27" s="632" t="s">
        <v>1224</v>
      </c>
      <c r="C27" s="656">
        <v>1.201E-3</v>
      </c>
      <c r="D27" s="656">
        <v>1.25E-3</v>
      </c>
      <c r="E27" s="661">
        <v>1461714</v>
      </c>
      <c r="F27" s="632">
        <v>52253227</v>
      </c>
      <c r="G27" s="633">
        <v>40992712</v>
      </c>
      <c r="H27" s="633">
        <v>0</v>
      </c>
      <c r="I27" s="633">
        <v>0</v>
      </c>
      <c r="J27" s="633">
        <v>0</v>
      </c>
      <c r="K27" s="633">
        <v>2010450</v>
      </c>
      <c r="L27" s="633">
        <f t="shared" si="0"/>
        <v>2010450</v>
      </c>
      <c r="M27" s="633"/>
      <c r="N27" s="633">
        <v>2939253</v>
      </c>
      <c r="O27" s="633">
        <v>15235</v>
      </c>
      <c r="P27" s="633">
        <v>11289206</v>
      </c>
      <c r="Q27" s="633">
        <v>0</v>
      </c>
      <c r="R27" s="633">
        <f t="shared" si="1"/>
        <v>14243694</v>
      </c>
      <c r="S27" s="633"/>
      <c r="T27" s="633">
        <f t="shared" si="2"/>
        <v>2032353</v>
      </c>
      <c r="U27" s="633">
        <v>402089</v>
      </c>
      <c r="V27" s="633">
        <v>2434442</v>
      </c>
      <c r="W27" s="635"/>
      <c r="X27" s="635"/>
      <c r="Y27" s="635"/>
      <c r="Z27" s="635"/>
      <c r="AA27" s="635"/>
      <c r="AB27" s="635"/>
      <c r="AC27" s="635"/>
      <c r="AD27" s="635"/>
      <c r="AE27" s="636"/>
      <c r="AF27" s="636"/>
      <c r="AG27" s="636"/>
      <c r="AH27" s="636"/>
      <c r="AI27" s="636"/>
      <c r="AJ27" s="636"/>
      <c r="AK27" s="636"/>
      <c r="AL27" s="636"/>
    </row>
    <row r="28" spans="1:38" x14ac:dyDescent="0.25">
      <c r="A28" s="634">
        <v>12700</v>
      </c>
      <c r="B28" s="632" t="s">
        <v>1225</v>
      </c>
      <c r="C28" s="656">
        <v>9.5E-4</v>
      </c>
      <c r="D28" s="656">
        <v>9.5500000000000001E-4</v>
      </c>
      <c r="E28" s="661">
        <v>1123891</v>
      </c>
      <c r="F28" s="632">
        <v>41331596</v>
      </c>
      <c r="G28" s="633">
        <v>31324741</v>
      </c>
      <c r="H28" s="633">
        <v>0</v>
      </c>
      <c r="I28" s="633">
        <v>0</v>
      </c>
      <c r="J28" s="633">
        <v>0</v>
      </c>
      <c r="K28" s="633">
        <v>373655</v>
      </c>
      <c r="L28" s="633">
        <f t="shared" si="0"/>
        <v>373655</v>
      </c>
      <c r="M28" s="633"/>
      <c r="N28" s="633">
        <v>2246042</v>
      </c>
      <c r="O28" s="633">
        <v>11642</v>
      </c>
      <c r="P28" s="633">
        <v>8626691</v>
      </c>
      <c r="Q28" s="633">
        <v>0</v>
      </c>
      <c r="R28" s="633">
        <f t="shared" si="1"/>
        <v>10884375</v>
      </c>
      <c r="S28" s="633"/>
      <c r="T28" s="633">
        <f t="shared" si="2"/>
        <v>1553030</v>
      </c>
      <c r="U28" s="633">
        <v>74725</v>
      </c>
      <c r="V28" s="633">
        <v>1627755</v>
      </c>
      <c r="W28" s="635"/>
      <c r="X28" s="635"/>
      <c r="Y28" s="635"/>
      <c r="Z28" s="635"/>
      <c r="AA28" s="635"/>
      <c r="AB28" s="635"/>
      <c r="AC28" s="635"/>
      <c r="AD28" s="635"/>
      <c r="AE28" s="636"/>
      <c r="AF28" s="636"/>
      <c r="AG28" s="636"/>
      <c r="AH28" s="636"/>
      <c r="AI28" s="636"/>
      <c r="AJ28" s="636"/>
      <c r="AK28" s="636"/>
      <c r="AL28" s="636"/>
    </row>
    <row r="29" spans="1:38" x14ac:dyDescent="0.25">
      <c r="A29" s="634">
        <v>13500</v>
      </c>
      <c r="B29" s="632" t="s">
        <v>1226</v>
      </c>
      <c r="C29" s="656">
        <v>3.5360000000000001E-3</v>
      </c>
      <c r="D29" s="656">
        <v>3.9100000000000003E-3</v>
      </c>
      <c r="E29" s="661">
        <v>4052239</v>
      </c>
      <c r="F29" s="632">
        <v>153807098</v>
      </c>
      <c r="G29" s="633">
        <v>128196901</v>
      </c>
      <c r="H29" s="633">
        <v>0</v>
      </c>
      <c r="I29" s="633">
        <v>0</v>
      </c>
      <c r="J29" s="633">
        <v>0</v>
      </c>
      <c r="K29" s="633">
        <v>13858905</v>
      </c>
      <c r="L29" s="633">
        <f t="shared" si="0"/>
        <v>13858905</v>
      </c>
      <c r="M29" s="633"/>
      <c r="N29" s="633">
        <v>9191954</v>
      </c>
      <c r="O29" s="633">
        <v>47644</v>
      </c>
      <c r="P29" s="633">
        <v>35304841</v>
      </c>
      <c r="Q29" s="633">
        <v>0</v>
      </c>
      <c r="R29" s="633">
        <f t="shared" si="1"/>
        <v>44544439</v>
      </c>
      <c r="S29" s="633"/>
      <c r="T29" s="633">
        <f t="shared" si="2"/>
        <v>6355797</v>
      </c>
      <c r="U29" s="633">
        <v>2771779</v>
      </c>
      <c r="V29" s="633">
        <v>9127576</v>
      </c>
      <c r="W29" s="635"/>
      <c r="X29" s="635"/>
      <c r="Y29" s="635"/>
      <c r="Z29" s="635"/>
      <c r="AA29" s="635"/>
      <c r="AB29" s="635"/>
      <c r="AC29" s="635"/>
      <c r="AD29" s="635"/>
      <c r="AE29" s="636"/>
      <c r="AF29" s="636"/>
      <c r="AG29" s="636"/>
      <c r="AH29" s="636"/>
      <c r="AI29" s="636"/>
      <c r="AJ29" s="636"/>
      <c r="AK29" s="636"/>
      <c r="AL29" s="636"/>
    </row>
    <row r="30" spans="1:38" x14ac:dyDescent="0.25">
      <c r="A30" s="634">
        <v>13700</v>
      </c>
      <c r="B30" s="632" t="s">
        <v>1227</v>
      </c>
      <c r="C30" s="656">
        <v>4.2900000000000002E-4</v>
      </c>
      <c r="D30" s="656">
        <v>4.1399999999999998E-4</v>
      </c>
      <c r="E30" s="661">
        <v>477982</v>
      </c>
      <c r="F30" s="632">
        <v>18648145</v>
      </c>
      <c r="G30" s="633">
        <v>13588813</v>
      </c>
      <c r="H30" s="633">
        <v>0</v>
      </c>
      <c r="I30" s="633">
        <v>0</v>
      </c>
      <c r="J30" s="633">
        <v>0</v>
      </c>
      <c r="K30" s="633">
        <v>0</v>
      </c>
      <c r="L30" s="633">
        <f t="shared" si="0"/>
        <v>0</v>
      </c>
      <c r="M30" s="633"/>
      <c r="N30" s="633">
        <v>974343</v>
      </c>
      <c r="O30" s="633">
        <v>5050</v>
      </c>
      <c r="P30" s="633">
        <v>3742297</v>
      </c>
      <c r="Q30" s="633">
        <v>444475</v>
      </c>
      <c r="R30" s="633">
        <f t="shared" si="1"/>
        <v>5166165</v>
      </c>
      <c r="S30" s="633"/>
      <c r="T30" s="633">
        <f t="shared" si="2"/>
        <v>673712</v>
      </c>
      <c r="U30" s="633">
        <v>-88896</v>
      </c>
      <c r="V30" s="633">
        <v>584816</v>
      </c>
      <c r="W30" s="635"/>
      <c r="X30" s="635"/>
      <c r="Y30" s="635"/>
      <c r="Z30" s="635"/>
      <c r="AA30" s="635"/>
      <c r="AB30" s="635"/>
      <c r="AC30" s="635"/>
      <c r="AD30" s="635"/>
      <c r="AE30" s="636"/>
      <c r="AF30" s="636"/>
      <c r="AG30" s="636"/>
      <c r="AH30" s="636"/>
      <c r="AI30" s="636"/>
      <c r="AJ30" s="636"/>
      <c r="AK30" s="636"/>
      <c r="AL30" s="636"/>
    </row>
    <row r="31" spans="1:38" x14ac:dyDescent="0.25">
      <c r="A31" s="634">
        <v>14300</v>
      </c>
      <c r="B31" s="632" t="s">
        <v>1228</v>
      </c>
      <c r="C31" s="656">
        <v>1.2210000000000001E-3</v>
      </c>
      <c r="D31" s="656">
        <v>1.4350000000000001E-3</v>
      </c>
      <c r="E31" s="661">
        <v>1597828</v>
      </c>
      <c r="F31" s="632">
        <v>53095208</v>
      </c>
      <c r="G31" s="633">
        <v>47058333</v>
      </c>
      <c r="H31" s="633">
        <v>0</v>
      </c>
      <c r="I31" s="633">
        <v>0</v>
      </c>
      <c r="J31" s="633">
        <v>0</v>
      </c>
      <c r="K31" s="633">
        <v>7824325</v>
      </c>
      <c r="L31" s="633">
        <f t="shared" si="0"/>
        <v>7824325</v>
      </c>
      <c r="M31" s="633"/>
      <c r="N31" s="633">
        <v>3374169</v>
      </c>
      <c r="O31" s="633">
        <v>17489</v>
      </c>
      <c r="P31" s="633">
        <v>12959650</v>
      </c>
      <c r="Q31" s="633">
        <v>0</v>
      </c>
      <c r="R31" s="633">
        <f t="shared" si="1"/>
        <v>16351308</v>
      </c>
      <c r="S31" s="633"/>
      <c r="T31" s="633">
        <f t="shared" si="2"/>
        <v>2333077</v>
      </c>
      <c r="U31" s="633">
        <v>1564860</v>
      </c>
      <c r="V31" s="633">
        <v>3897937</v>
      </c>
      <c r="W31" s="635"/>
      <c r="X31" s="635"/>
      <c r="Y31" s="635"/>
      <c r="Z31" s="635"/>
      <c r="AA31" s="635"/>
      <c r="AB31" s="635"/>
      <c r="AC31" s="635"/>
      <c r="AD31" s="635"/>
      <c r="AE31" s="636"/>
      <c r="AF31" s="636"/>
      <c r="AG31" s="636"/>
      <c r="AH31" s="636"/>
      <c r="AI31" s="636"/>
      <c r="AJ31" s="636"/>
      <c r="AK31" s="636"/>
      <c r="AL31" s="636"/>
    </row>
    <row r="32" spans="1:38" s="705" customFormat="1" x14ac:dyDescent="0.25">
      <c r="A32" s="637">
        <v>14300.1</v>
      </c>
      <c r="B32" s="638" t="s">
        <v>1229</v>
      </c>
      <c r="C32" s="701">
        <v>1.2799999999999999E-4</v>
      </c>
      <c r="D32" s="701">
        <v>1.6899999999999999E-4</v>
      </c>
      <c r="E32" s="702">
        <v>0</v>
      </c>
      <c r="F32" s="638">
        <v>5560605</v>
      </c>
      <c r="G32" s="639">
        <v>5541457</v>
      </c>
      <c r="H32" s="639">
        <v>0</v>
      </c>
      <c r="I32" s="639">
        <v>0</v>
      </c>
      <c r="J32" s="639">
        <v>0</v>
      </c>
      <c r="K32" s="639">
        <v>1518000</v>
      </c>
      <c r="L32" s="639">
        <f t="shared" si="0"/>
        <v>1518000</v>
      </c>
      <c r="M32" s="639"/>
      <c r="N32" s="639">
        <v>397333</v>
      </c>
      <c r="O32" s="639">
        <v>2059</v>
      </c>
      <c r="P32" s="639">
        <v>1526092</v>
      </c>
      <c r="Q32" s="639">
        <v>0</v>
      </c>
      <c r="R32" s="639">
        <f t="shared" si="1"/>
        <v>1925484</v>
      </c>
      <c r="S32" s="639"/>
      <c r="T32" s="639">
        <f t="shared" si="2"/>
        <v>274737</v>
      </c>
      <c r="U32" s="639">
        <v>303600</v>
      </c>
      <c r="V32" s="639">
        <v>578337</v>
      </c>
      <c r="W32" s="703"/>
      <c r="X32" s="703"/>
      <c r="Y32" s="703"/>
      <c r="Z32" s="703"/>
      <c r="AA32" s="703"/>
      <c r="AB32" s="703"/>
      <c r="AC32" s="703"/>
      <c r="AD32" s="703"/>
      <c r="AE32" s="704"/>
      <c r="AF32" s="704"/>
      <c r="AG32" s="704"/>
      <c r="AH32" s="704"/>
      <c r="AI32" s="704"/>
      <c r="AJ32" s="704"/>
      <c r="AK32" s="704"/>
      <c r="AL32" s="704"/>
    </row>
    <row r="33" spans="1:38" x14ac:dyDescent="0.25">
      <c r="A33" s="634">
        <v>18400</v>
      </c>
      <c r="B33" s="632" t="s">
        <v>1230</v>
      </c>
      <c r="C33" s="656">
        <v>4.6750000000000003E-3</v>
      </c>
      <c r="D33" s="656">
        <v>4.8760000000000001E-3</v>
      </c>
      <c r="E33" s="661">
        <v>5234297</v>
      </c>
      <c r="F33" s="632">
        <v>203378738</v>
      </c>
      <c r="G33" s="633">
        <v>159857963</v>
      </c>
      <c r="H33" s="633">
        <v>0</v>
      </c>
      <c r="I33" s="633">
        <v>0</v>
      </c>
      <c r="J33" s="633">
        <v>0</v>
      </c>
      <c r="K33" s="633">
        <v>7778080</v>
      </c>
      <c r="L33" s="633">
        <f t="shared" si="0"/>
        <v>7778080</v>
      </c>
      <c r="M33" s="633"/>
      <c r="N33" s="633">
        <v>11462110</v>
      </c>
      <c r="O33" s="633">
        <v>59410</v>
      </c>
      <c r="P33" s="633">
        <v>44024153</v>
      </c>
      <c r="Q33" s="633">
        <v>0</v>
      </c>
      <c r="R33" s="633">
        <f t="shared" si="1"/>
        <v>55545673</v>
      </c>
      <c r="S33" s="633"/>
      <c r="T33" s="633">
        <f t="shared" si="2"/>
        <v>7925501</v>
      </c>
      <c r="U33" s="633">
        <v>1555615</v>
      </c>
      <c r="V33" s="633">
        <v>9481116</v>
      </c>
      <c r="W33" s="635"/>
      <c r="X33" s="635"/>
      <c r="Y33" s="635"/>
      <c r="Z33" s="635"/>
      <c r="AA33" s="635"/>
      <c r="AB33" s="635"/>
      <c r="AC33" s="635"/>
      <c r="AD33" s="635"/>
      <c r="AE33" s="636"/>
      <c r="AF33" s="636"/>
      <c r="AG33" s="636"/>
      <c r="AH33" s="636"/>
      <c r="AI33" s="636"/>
      <c r="AJ33" s="636"/>
      <c r="AK33" s="636"/>
      <c r="AL33" s="636"/>
    </row>
    <row r="34" spans="1:38" x14ac:dyDescent="0.25">
      <c r="A34" s="634">
        <v>18600</v>
      </c>
      <c r="B34" s="632" t="s">
        <v>1231</v>
      </c>
      <c r="C34" s="656">
        <v>2.0000000000000002E-5</v>
      </c>
      <c r="D34" s="656">
        <v>1.5E-5</v>
      </c>
      <c r="E34" s="661">
        <v>14710</v>
      </c>
      <c r="F34" s="632">
        <v>856640</v>
      </c>
      <c r="G34" s="633">
        <v>478866</v>
      </c>
      <c r="H34" s="633">
        <v>0</v>
      </c>
      <c r="I34" s="633">
        <v>0</v>
      </c>
      <c r="J34" s="633">
        <v>0</v>
      </c>
      <c r="K34" s="633">
        <v>0</v>
      </c>
      <c r="L34" s="633">
        <f t="shared" si="0"/>
        <v>0</v>
      </c>
      <c r="M34" s="633"/>
      <c r="N34" s="633">
        <v>34336</v>
      </c>
      <c r="O34" s="633">
        <v>178</v>
      </c>
      <c r="P34" s="633">
        <v>131878</v>
      </c>
      <c r="Q34" s="633">
        <v>183680</v>
      </c>
      <c r="R34" s="633">
        <f t="shared" si="1"/>
        <v>350072</v>
      </c>
      <c r="S34" s="633"/>
      <c r="T34" s="633">
        <f t="shared" si="2"/>
        <v>23741</v>
      </c>
      <c r="U34" s="633">
        <v>-36734</v>
      </c>
      <c r="V34" s="633">
        <v>-12993</v>
      </c>
      <c r="W34" s="635"/>
      <c r="X34" s="635"/>
      <c r="Y34" s="635"/>
      <c r="Z34" s="635"/>
      <c r="AA34" s="635"/>
      <c r="AB34" s="635"/>
      <c r="AC34" s="635"/>
      <c r="AD34" s="635"/>
      <c r="AE34" s="636"/>
      <c r="AF34" s="636"/>
      <c r="AG34" s="636"/>
      <c r="AH34" s="636"/>
      <c r="AI34" s="636"/>
      <c r="AJ34" s="636"/>
      <c r="AK34" s="636"/>
      <c r="AL34" s="636"/>
    </row>
    <row r="35" spans="1:38" x14ac:dyDescent="0.25">
      <c r="A35" s="634">
        <v>18690</v>
      </c>
      <c r="B35" s="632" t="s">
        <v>1232</v>
      </c>
      <c r="C35" s="656">
        <v>3.9999999999999998E-6</v>
      </c>
      <c r="D35" s="656">
        <v>0</v>
      </c>
      <c r="E35" s="661">
        <v>3520</v>
      </c>
      <c r="F35" s="632">
        <v>180738</v>
      </c>
      <c r="G35" s="633">
        <v>0</v>
      </c>
      <c r="H35" s="633">
        <v>0</v>
      </c>
      <c r="I35" s="633">
        <v>0</v>
      </c>
      <c r="J35" s="633">
        <v>0</v>
      </c>
      <c r="K35" s="633">
        <v>0</v>
      </c>
      <c r="L35" s="633">
        <f t="shared" si="0"/>
        <v>0</v>
      </c>
      <c r="M35" s="633"/>
      <c r="N35" s="633">
        <v>0</v>
      </c>
      <c r="O35" s="633">
        <v>0</v>
      </c>
      <c r="P35" s="633">
        <v>0</v>
      </c>
      <c r="Q35" s="633">
        <v>147680</v>
      </c>
      <c r="R35" s="633">
        <f t="shared" si="1"/>
        <v>147680</v>
      </c>
      <c r="S35" s="633"/>
      <c r="T35" s="633">
        <f t="shared" si="2"/>
        <v>0</v>
      </c>
      <c r="U35" s="633">
        <v>-29538</v>
      </c>
      <c r="V35" s="633">
        <v>-29538</v>
      </c>
      <c r="W35" s="635"/>
      <c r="X35" s="635"/>
      <c r="Y35" s="635"/>
      <c r="Z35" s="635"/>
      <c r="AA35" s="635"/>
      <c r="AB35" s="635"/>
      <c r="AC35" s="635"/>
      <c r="AD35" s="635"/>
      <c r="AE35" s="636"/>
      <c r="AF35" s="636"/>
      <c r="AG35" s="636"/>
      <c r="AH35" s="636"/>
      <c r="AI35" s="636"/>
      <c r="AJ35" s="636"/>
      <c r="AK35" s="636"/>
      <c r="AL35" s="636"/>
    </row>
    <row r="36" spans="1:38" x14ac:dyDescent="0.25">
      <c r="A36" s="634">
        <v>18740</v>
      </c>
      <c r="B36" s="632" t="s">
        <v>1233</v>
      </c>
      <c r="C36" s="656">
        <v>6.0000000000000002E-6</v>
      </c>
      <c r="D36" s="656">
        <v>6.9999999999999999E-6</v>
      </c>
      <c r="E36" s="661">
        <v>7558</v>
      </c>
      <c r="F36" s="632">
        <v>258662</v>
      </c>
      <c r="G36" s="633">
        <v>221627</v>
      </c>
      <c r="H36" s="633">
        <v>0</v>
      </c>
      <c r="I36" s="633">
        <v>0</v>
      </c>
      <c r="J36" s="633">
        <v>0</v>
      </c>
      <c r="K36" s="633">
        <v>30455</v>
      </c>
      <c r="L36" s="633">
        <f t="shared" si="0"/>
        <v>30455</v>
      </c>
      <c r="M36" s="633"/>
      <c r="N36" s="633">
        <v>15891</v>
      </c>
      <c r="O36" s="633">
        <v>82</v>
      </c>
      <c r="P36" s="633">
        <v>61035</v>
      </c>
      <c r="Q36" s="633">
        <v>0</v>
      </c>
      <c r="R36" s="633">
        <f t="shared" si="1"/>
        <v>77008</v>
      </c>
      <c r="S36" s="633"/>
      <c r="T36" s="633">
        <f t="shared" si="2"/>
        <v>10988</v>
      </c>
      <c r="U36" s="633">
        <v>6089</v>
      </c>
      <c r="V36" s="633">
        <v>17077</v>
      </c>
      <c r="W36" s="635"/>
      <c r="X36" s="635"/>
      <c r="Y36" s="635"/>
      <c r="Z36" s="635"/>
      <c r="AA36" s="635"/>
      <c r="AB36" s="635"/>
      <c r="AC36" s="635"/>
      <c r="AD36" s="635"/>
      <c r="AE36" s="636"/>
      <c r="AF36" s="636"/>
      <c r="AG36" s="636"/>
      <c r="AH36" s="636"/>
      <c r="AI36" s="636"/>
      <c r="AJ36" s="636"/>
      <c r="AK36" s="636"/>
      <c r="AL36" s="636"/>
    </row>
    <row r="37" spans="1:38" x14ac:dyDescent="0.25">
      <c r="A37" s="634">
        <v>18780</v>
      </c>
      <c r="B37" s="632" t="s">
        <v>1234</v>
      </c>
      <c r="C37" s="656">
        <v>1.2E-5</v>
      </c>
      <c r="D37" s="656">
        <v>1.2E-5</v>
      </c>
      <c r="E37" s="661">
        <v>14463</v>
      </c>
      <c r="F37" s="632">
        <v>519337</v>
      </c>
      <c r="G37" s="633">
        <v>389219</v>
      </c>
      <c r="H37" s="633">
        <v>0</v>
      </c>
      <c r="I37" s="633">
        <v>0</v>
      </c>
      <c r="J37" s="633">
        <v>0</v>
      </c>
      <c r="K37" s="633">
        <v>240</v>
      </c>
      <c r="L37" s="633">
        <f t="shared" si="0"/>
        <v>240</v>
      </c>
      <c r="M37" s="633"/>
      <c r="N37" s="633">
        <v>27908</v>
      </c>
      <c r="O37" s="633">
        <v>145</v>
      </c>
      <c r="P37" s="633">
        <v>107189</v>
      </c>
      <c r="Q37" s="633">
        <v>0</v>
      </c>
      <c r="R37" s="633">
        <f t="shared" si="1"/>
        <v>135242</v>
      </c>
      <c r="S37" s="633"/>
      <c r="T37" s="633">
        <f t="shared" si="2"/>
        <v>19297</v>
      </c>
      <c r="U37" s="633">
        <v>50</v>
      </c>
      <c r="V37" s="633">
        <v>19347</v>
      </c>
      <c r="W37" s="635"/>
      <c r="X37" s="635"/>
      <c r="Y37" s="635"/>
      <c r="Z37" s="635"/>
      <c r="AA37" s="635"/>
      <c r="AB37" s="635"/>
      <c r="AC37" s="635"/>
      <c r="AD37" s="635"/>
      <c r="AE37" s="636"/>
      <c r="AF37" s="636"/>
      <c r="AG37" s="636"/>
      <c r="AH37" s="636"/>
      <c r="AI37" s="636"/>
      <c r="AJ37" s="636"/>
      <c r="AK37" s="636"/>
      <c r="AL37" s="636"/>
    </row>
    <row r="38" spans="1:38" x14ac:dyDescent="0.25">
      <c r="A38" s="634">
        <v>19005</v>
      </c>
      <c r="B38" s="632" t="s">
        <v>1235</v>
      </c>
      <c r="C38" s="656">
        <v>6.4300000000000002E-4</v>
      </c>
      <c r="D38" s="656">
        <v>6.6600000000000003E-4</v>
      </c>
      <c r="E38" s="661">
        <v>794049</v>
      </c>
      <c r="F38" s="632">
        <v>27964598</v>
      </c>
      <c r="G38" s="633">
        <v>21847962</v>
      </c>
      <c r="H38" s="633">
        <v>0</v>
      </c>
      <c r="I38" s="633">
        <v>0</v>
      </c>
      <c r="J38" s="633">
        <v>0</v>
      </c>
      <c r="K38" s="633">
        <v>988095</v>
      </c>
      <c r="L38" s="633">
        <f t="shared" si="0"/>
        <v>988095</v>
      </c>
      <c r="M38" s="633"/>
      <c r="N38" s="633">
        <v>1566539</v>
      </c>
      <c r="O38" s="633">
        <v>8120</v>
      </c>
      <c r="P38" s="633">
        <v>6016829</v>
      </c>
      <c r="Q38" s="633">
        <v>0</v>
      </c>
      <c r="R38" s="633">
        <f t="shared" si="1"/>
        <v>7591488</v>
      </c>
      <c r="S38" s="633"/>
      <c r="T38" s="633">
        <f t="shared" si="2"/>
        <v>1083187</v>
      </c>
      <c r="U38" s="633">
        <v>197619</v>
      </c>
      <c r="V38" s="633">
        <v>1280806</v>
      </c>
      <c r="W38" s="635"/>
      <c r="X38" s="635"/>
      <c r="Y38" s="635"/>
      <c r="Z38" s="635"/>
      <c r="AA38" s="635"/>
      <c r="AB38" s="635"/>
      <c r="AC38" s="635"/>
      <c r="AD38" s="635"/>
      <c r="AE38" s="636"/>
      <c r="AF38" s="636"/>
      <c r="AG38" s="636"/>
      <c r="AH38" s="636"/>
      <c r="AI38" s="636"/>
      <c r="AJ38" s="636"/>
      <c r="AK38" s="636"/>
      <c r="AL38" s="636"/>
    </row>
    <row r="39" spans="1:38" x14ac:dyDescent="0.25">
      <c r="A39" s="634">
        <v>19100</v>
      </c>
      <c r="B39" s="632" t="s">
        <v>1236</v>
      </c>
      <c r="C39" s="656">
        <v>5.7083000000000002E-2</v>
      </c>
      <c r="D39" s="656">
        <v>6.0919000000000001E-2</v>
      </c>
      <c r="E39" s="661">
        <v>60568822</v>
      </c>
      <c r="F39" s="632">
        <v>2483290054</v>
      </c>
      <c r="G39" s="633">
        <v>1997326196</v>
      </c>
      <c r="H39" s="633">
        <v>0</v>
      </c>
      <c r="I39" s="633">
        <v>0</v>
      </c>
      <c r="J39" s="633">
        <v>0</v>
      </c>
      <c r="K39" s="633">
        <v>141324590</v>
      </c>
      <c r="L39" s="633">
        <f t="shared" si="0"/>
        <v>141324590</v>
      </c>
      <c r="M39" s="633"/>
      <c r="N39" s="633">
        <v>143211962</v>
      </c>
      <c r="O39" s="633">
        <v>742293</v>
      </c>
      <c r="P39" s="633">
        <v>550054515</v>
      </c>
      <c r="Q39" s="633">
        <v>0</v>
      </c>
      <c r="R39" s="633">
        <f t="shared" si="1"/>
        <v>694008770</v>
      </c>
      <c r="S39" s="633"/>
      <c r="T39" s="633">
        <f t="shared" si="2"/>
        <v>99024227</v>
      </c>
      <c r="U39" s="633">
        <v>28264917</v>
      </c>
      <c r="V39" s="633">
        <v>127289144</v>
      </c>
      <c r="W39" s="635"/>
      <c r="X39" s="635"/>
      <c r="Y39" s="635"/>
      <c r="Z39" s="635"/>
      <c r="AA39" s="635"/>
      <c r="AB39" s="635"/>
      <c r="AC39" s="635"/>
      <c r="AD39" s="635"/>
      <c r="AE39" s="636"/>
      <c r="AF39" s="636"/>
      <c r="AG39" s="636"/>
      <c r="AH39" s="636"/>
      <c r="AI39" s="636"/>
      <c r="AJ39" s="636"/>
      <c r="AK39" s="636"/>
      <c r="AL39" s="636"/>
    </row>
    <row r="40" spans="1:38" x14ac:dyDescent="0.25">
      <c r="A40" s="634">
        <v>20100</v>
      </c>
      <c r="B40" s="632" t="s">
        <v>1237</v>
      </c>
      <c r="C40" s="656">
        <v>1.0803E-2</v>
      </c>
      <c r="D40" s="656">
        <v>9.6579999999999999E-3</v>
      </c>
      <c r="E40" s="661">
        <v>10028643</v>
      </c>
      <c r="F40" s="632">
        <v>469946641</v>
      </c>
      <c r="G40" s="633">
        <v>316660087</v>
      </c>
      <c r="H40" s="633">
        <v>0</v>
      </c>
      <c r="I40" s="633">
        <v>0</v>
      </c>
      <c r="J40" s="633">
        <v>0</v>
      </c>
      <c r="K40" s="633">
        <v>0</v>
      </c>
      <c r="L40" s="633">
        <f t="shared" si="0"/>
        <v>0</v>
      </c>
      <c r="M40" s="633"/>
      <c r="N40" s="633">
        <v>22705111</v>
      </c>
      <c r="O40" s="633">
        <v>117685</v>
      </c>
      <c r="P40" s="633">
        <v>87206742</v>
      </c>
      <c r="Q40" s="633">
        <v>40773225</v>
      </c>
      <c r="R40" s="633">
        <f t="shared" si="1"/>
        <v>150802763</v>
      </c>
      <c r="S40" s="633"/>
      <c r="T40" s="633">
        <f t="shared" si="2"/>
        <v>15699499</v>
      </c>
      <c r="U40" s="633">
        <v>-8154648</v>
      </c>
      <c r="V40" s="633">
        <v>7544851</v>
      </c>
      <c r="W40" s="635"/>
      <c r="X40" s="635"/>
      <c r="Y40" s="635"/>
      <c r="Z40" s="635"/>
      <c r="AA40" s="635"/>
      <c r="AB40" s="635"/>
      <c r="AC40" s="635"/>
      <c r="AD40" s="635"/>
      <c r="AE40" s="636"/>
      <c r="AF40" s="636"/>
      <c r="AG40" s="636"/>
      <c r="AH40" s="636"/>
      <c r="AI40" s="636"/>
      <c r="AJ40" s="636"/>
      <c r="AK40" s="636"/>
      <c r="AL40" s="636"/>
    </row>
    <row r="41" spans="1:38" x14ac:dyDescent="0.25">
      <c r="A41" s="634">
        <v>20200</v>
      </c>
      <c r="B41" s="632" t="s">
        <v>1238</v>
      </c>
      <c r="C41" s="656">
        <v>1.3979999999999999E-3</v>
      </c>
      <c r="D41" s="656">
        <v>1.358E-3</v>
      </c>
      <c r="E41" s="661">
        <v>1562359</v>
      </c>
      <c r="F41" s="632">
        <v>60834895</v>
      </c>
      <c r="G41" s="633">
        <v>44537750</v>
      </c>
      <c r="H41" s="633">
        <v>0</v>
      </c>
      <c r="I41" s="633">
        <v>0</v>
      </c>
      <c r="J41" s="633">
        <v>0</v>
      </c>
      <c r="K41" s="633">
        <v>0</v>
      </c>
      <c r="L41" s="633">
        <f t="shared" si="0"/>
        <v>0</v>
      </c>
      <c r="M41" s="633"/>
      <c r="N41" s="633">
        <v>3193439</v>
      </c>
      <c r="O41" s="633">
        <v>16552</v>
      </c>
      <c r="P41" s="633">
        <v>12265493</v>
      </c>
      <c r="Q41" s="633">
        <v>1222840</v>
      </c>
      <c r="R41" s="633">
        <f t="shared" si="1"/>
        <v>16698324</v>
      </c>
      <c r="S41" s="633"/>
      <c r="T41" s="633">
        <f t="shared" si="2"/>
        <v>2208110</v>
      </c>
      <c r="U41" s="633">
        <v>-244571</v>
      </c>
      <c r="V41" s="633">
        <v>1963539</v>
      </c>
      <c r="W41" s="635"/>
      <c r="X41" s="635"/>
      <c r="Y41" s="635"/>
      <c r="Z41" s="635"/>
      <c r="AA41" s="635"/>
      <c r="AB41" s="635"/>
      <c r="AC41" s="635"/>
      <c r="AD41" s="635"/>
      <c r="AE41" s="636"/>
      <c r="AF41" s="636"/>
      <c r="AG41" s="636"/>
      <c r="AH41" s="636"/>
      <c r="AI41" s="636"/>
      <c r="AJ41" s="636"/>
      <c r="AK41" s="636"/>
      <c r="AL41" s="636"/>
    </row>
    <row r="42" spans="1:38" x14ac:dyDescent="0.25">
      <c r="A42" s="634">
        <v>20300</v>
      </c>
      <c r="B42" s="632" t="s">
        <v>1239</v>
      </c>
      <c r="C42" s="656">
        <v>2.6137000000000001E-2</v>
      </c>
      <c r="D42" s="656">
        <v>2.2789E-2</v>
      </c>
      <c r="E42" s="661">
        <v>23204464</v>
      </c>
      <c r="F42" s="632">
        <v>1137036767</v>
      </c>
      <c r="G42" s="633">
        <v>747188074</v>
      </c>
      <c r="H42" s="633">
        <v>0</v>
      </c>
      <c r="I42" s="633">
        <v>0</v>
      </c>
      <c r="J42" s="633">
        <v>0</v>
      </c>
      <c r="K42" s="633">
        <v>0</v>
      </c>
      <c r="L42" s="633">
        <f t="shared" si="0"/>
        <v>0</v>
      </c>
      <c r="M42" s="633"/>
      <c r="N42" s="633">
        <v>53574759</v>
      </c>
      <c r="O42" s="633">
        <v>277687</v>
      </c>
      <c r="P42" s="633">
        <v>205772184</v>
      </c>
      <c r="Q42" s="633">
        <v>120053320</v>
      </c>
      <c r="R42" s="633">
        <f t="shared" si="1"/>
        <v>379677950</v>
      </c>
      <c r="S42" s="633"/>
      <c r="T42" s="633">
        <f t="shared" si="2"/>
        <v>37044385</v>
      </c>
      <c r="U42" s="633">
        <v>-24010664</v>
      </c>
      <c r="V42" s="633">
        <v>13033721</v>
      </c>
      <c r="W42" s="635"/>
      <c r="X42" s="635"/>
      <c r="Y42" s="635"/>
      <c r="Z42" s="635"/>
      <c r="AA42" s="635"/>
      <c r="AB42" s="635"/>
      <c r="AC42" s="635"/>
      <c r="AD42" s="635"/>
      <c r="AE42" s="636"/>
      <c r="AF42" s="636"/>
      <c r="AG42" s="636"/>
      <c r="AH42" s="636"/>
      <c r="AI42" s="636"/>
      <c r="AJ42" s="636"/>
      <c r="AK42" s="636"/>
      <c r="AL42" s="636"/>
    </row>
    <row r="43" spans="1:38" x14ac:dyDescent="0.25">
      <c r="A43" s="634">
        <v>20400</v>
      </c>
      <c r="B43" s="632" t="s">
        <v>1240</v>
      </c>
      <c r="C43" s="656">
        <v>1.273E-3</v>
      </c>
      <c r="D43" s="656">
        <v>1.1000000000000001E-3</v>
      </c>
      <c r="E43" s="661">
        <v>1224248</v>
      </c>
      <c r="F43" s="632">
        <v>55367077</v>
      </c>
      <c r="G43" s="633">
        <v>36078513</v>
      </c>
      <c r="H43" s="633">
        <v>0</v>
      </c>
      <c r="I43" s="633">
        <v>0</v>
      </c>
      <c r="J43" s="633">
        <v>0</v>
      </c>
      <c r="K43" s="633">
        <v>0</v>
      </c>
      <c r="L43" s="633">
        <f t="shared" si="0"/>
        <v>0</v>
      </c>
      <c r="M43" s="633"/>
      <c r="N43" s="633">
        <v>2586896</v>
      </c>
      <c r="O43" s="633">
        <v>13408</v>
      </c>
      <c r="P43" s="633">
        <v>9935858</v>
      </c>
      <c r="Q43" s="633">
        <v>6097391</v>
      </c>
      <c r="R43" s="633">
        <f t="shared" si="1"/>
        <v>18633553</v>
      </c>
      <c r="S43" s="633"/>
      <c r="T43" s="633">
        <f t="shared" si="2"/>
        <v>1788715</v>
      </c>
      <c r="U43" s="633">
        <v>-1219479</v>
      </c>
      <c r="V43" s="633">
        <v>569236</v>
      </c>
      <c r="W43" s="635"/>
      <c r="X43" s="635"/>
      <c r="Y43" s="635"/>
      <c r="Z43" s="635"/>
      <c r="AA43" s="635"/>
      <c r="AB43" s="635"/>
      <c r="AC43" s="635"/>
      <c r="AD43" s="635"/>
      <c r="AE43" s="636"/>
      <c r="AF43" s="636"/>
      <c r="AG43" s="636"/>
      <c r="AH43" s="636"/>
      <c r="AI43" s="636"/>
      <c r="AJ43" s="636"/>
      <c r="AK43" s="636"/>
      <c r="AL43" s="636"/>
    </row>
    <row r="44" spans="1:38" x14ac:dyDescent="0.25">
      <c r="A44" s="634">
        <v>20600</v>
      </c>
      <c r="B44" s="632" t="s">
        <v>1241</v>
      </c>
      <c r="C44" s="656">
        <v>2.8370000000000001E-3</v>
      </c>
      <c r="D44" s="656">
        <v>2.5929999999999998E-3</v>
      </c>
      <c r="E44" s="661">
        <v>2871469</v>
      </c>
      <c r="F44" s="632">
        <v>123409080</v>
      </c>
      <c r="G44" s="633">
        <v>85022391</v>
      </c>
      <c r="H44" s="633">
        <v>0</v>
      </c>
      <c r="I44" s="633">
        <v>0</v>
      </c>
      <c r="J44" s="633">
        <v>0</v>
      </c>
      <c r="K44" s="633">
        <v>0</v>
      </c>
      <c r="L44" s="633">
        <f t="shared" si="0"/>
        <v>0</v>
      </c>
      <c r="M44" s="633"/>
      <c r="N44" s="633">
        <v>6096262</v>
      </c>
      <c r="O44" s="633">
        <v>31598</v>
      </c>
      <c r="P44" s="633">
        <v>23414778</v>
      </c>
      <c r="Q44" s="633">
        <v>8489880</v>
      </c>
      <c r="R44" s="633">
        <f t="shared" si="1"/>
        <v>38032518</v>
      </c>
      <c r="S44" s="633"/>
      <c r="T44" s="633">
        <f t="shared" si="2"/>
        <v>4215274</v>
      </c>
      <c r="U44" s="633">
        <v>-1697975</v>
      </c>
      <c r="V44" s="633">
        <v>2517299</v>
      </c>
      <c r="W44" s="635"/>
      <c r="X44" s="635"/>
      <c r="Y44" s="635"/>
      <c r="Z44" s="635"/>
      <c r="AA44" s="635"/>
      <c r="AB44" s="635"/>
      <c r="AC44" s="635"/>
      <c r="AD44" s="635"/>
      <c r="AE44" s="636"/>
      <c r="AF44" s="636"/>
      <c r="AG44" s="636"/>
      <c r="AH44" s="636"/>
      <c r="AI44" s="636"/>
      <c r="AJ44" s="636"/>
      <c r="AK44" s="636"/>
      <c r="AL44" s="636"/>
    </row>
    <row r="45" spans="1:38" x14ac:dyDescent="0.25">
      <c r="A45" s="634">
        <v>20700</v>
      </c>
      <c r="B45" s="632" t="s">
        <v>1242</v>
      </c>
      <c r="C45" s="656">
        <v>6.2360000000000002E-3</v>
      </c>
      <c r="D45" s="656">
        <v>5.457E-3</v>
      </c>
      <c r="E45" s="661">
        <v>6185261</v>
      </c>
      <c r="F45" s="632">
        <v>271297256</v>
      </c>
      <c r="G45" s="633">
        <v>178919711</v>
      </c>
      <c r="H45" s="633">
        <v>0</v>
      </c>
      <c r="I45" s="633">
        <v>0</v>
      </c>
      <c r="J45" s="633">
        <v>0</v>
      </c>
      <c r="K45" s="633">
        <v>0</v>
      </c>
      <c r="L45" s="633">
        <f t="shared" si="0"/>
        <v>0</v>
      </c>
      <c r="M45" s="633"/>
      <c r="N45" s="633">
        <v>12828872</v>
      </c>
      <c r="O45" s="633">
        <v>66494</v>
      </c>
      <c r="P45" s="633">
        <v>49273671</v>
      </c>
      <c r="Q45" s="633">
        <v>27411495</v>
      </c>
      <c r="R45" s="633">
        <f t="shared" si="1"/>
        <v>89580532</v>
      </c>
      <c r="S45" s="633"/>
      <c r="T45" s="633">
        <f t="shared" si="2"/>
        <v>8870552</v>
      </c>
      <c r="U45" s="633">
        <v>-5482303</v>
      </c>
      <c r="V45" s="633">
        <v>3388249</v>
      </c>
      <c r="W45" s="635"/>
      <c r="X45" s="635"/>
      <c r="Y45" s="635"/>
      <c r="Z45" s="635"/>
      <c r="AA45" s="635"/>
      <c r="AB45" s="635"/>
      <c r="AC45" s="635"/>
      <c r="AD45" s="635"/>
      <c r="AE45" s="636"/>
      <c r="AF45" s="636"/>
      <c r="AG45" s="636"/>
      <c r="AH45" s="636"/>
      <c r="AI45" s="636"/>
      <c r="AJ45" s="636"/>
      <c r="AK45" s="636"/>
      <c r="AL45" s="636"/>
    </row>
    <row r="46" spans="1:38" x14ac:dyDescent="0.25">
      <c r="A46" s="634">
        <v>20800</v>
      </c>
      <c r="B46" s="632" t="s">
        <v>1243</v>
      </c>
      <c r="C46" s="656">
        <v>4.921E-3</v>
      </c>
      <c r="D46" s="656">
        <v>4.3790000000000001E-3</v>
      </c>
      <c r="E46" s="661">
        <v>4710210</v>
      </c>
      <c r="F46" s="632">
        <v>214061520</v>
      </c>
      <c r="G46" s="633">
        <v>143564788</v>
      </c>
      <c r="H46" s="633">
        <v>0</v>
      </c>
      <c r="I46" s="633">
        <v>0</v>
      </c>
      <c r="J46" s="633">
        <v>0</v>
      </c>
      <c r="K46" s="633">
        <v>0</v>
      </c>
      <c r="L46" s="633">
        <f t="shared" si="0"/>
        <v>0</v>
      </c>
      <c r="M46" s="633"/>
      <c r="N46" s="633">
        <v>10293859</v>
      </c>
      <c r="O46" s="633">
        <v>53355</v>
      </c>
      <c r="P46" s="633">
        <v>39537087</v>
      </c>
      <c r="Q46" s="633">
        <v>19183275</v>
      </c>
      <c r="R46" s="633">
        <f t="shared" si="1"/>
        <v>69067576</v>
      </c>
      <c r="S46" s="633"/>
      <c r="T46" s="633">
        <f t="shared" si="2"/>
        <v>7117712</v>
      </c>
      <c r="U46" s="633">
        <v>-3836657</v>
      </c>
      <c r="V46" s="633">
        <v>3281055</v>
      </c>
      <c r="W46" s="635"/>
      <c r="X46" s="635"/>
      <c r="Y46" s="635"/>
      <c r="Z46" s="635"/>
      <c r="AA46" s="635"/>
      <c r="AB46" s="635"/>
      <c r="AC46" s="635"/>
      <c r="AD46" s="635"/>
      <c r="AE46" s="636"/>
      <c r="AF46" s="636"/>
      <c r="AG46" s="636"/>
      <c r="AH46" s="636"/>
      <c r="AI46" s="636"/>
      <c r="AJ46" s="636"/>
      <c r="AK46" s="636"/>
      <c r="AL46" s="636"/>
    </row>
    <row r="47" spans="1:38" x14ac:dyDescent="0.25">
      <c r="A47" s="634">
        <v>20900</v>
      </c>
      <c r="B47" s="632" t="s">
        <v>1244</v>
      </c>
      <c r="C47" s="656">
        <v>1.0137999999999999E-2</v>
      </c>
      <c r="D47" s="656">
        <v>8.9479999999999994E-3</v>
      </c>
      <c r="E47" s="661">
        <v>9568368</v>
      </c>
      <c r="F47" s="632">
        <v>441056660</v>
      </c>
      <c r="G47" s="633">
        <v>293363921</v>
      </c>
      <c r="H47" s="633">
        <v>0</v>
      </c>
      <c r="I47" s="633">
        <v>0</v>
      </c>
      <c r="J47" s="633">
        <v>0</v>
      </c>
      <c r="K47" s="633">
        <v>0</v>
      </c>
      <c r="L47" s="633">
        <f t="shared" si="0"/>
        <v>0</v>
      </c>
      <c r="M47" s="633"/>
      <c r="N47" s="633">
        <v>21034733</v>
      </c>
      <c r="O47" s="633">
        <v>109027</v>
      </c>
      <c r="P47" s="633">
        <v>80791085</v>
      </c>
      <c r="Q47" s="633">
        <v>42278370</v>
      </c>
      <c r="R47" s="633">
        <f t="shared" si="1"/>
        <v>144213215</v>
      </c>
      <c r="S47" s="633"/>
      <c r="T47" s="633">
        <f t="shared" si="2"/>
        <v>14544512</v>
      </c>
      <c r="U47" s="633">
        <v>-8455670</v>
      </c>
      <c r="V47" s="633">
        <v>6088842</v>
      </c>
      <c r="W47" s="635"/>
      <c r="X47" s="635"/>
      <c r="Y47" s="635"/>
      <c r="Z47" s="635"/>
      <c r="AA47" s="635"/>
      <c r="AB47" s="635"/>
      <c r="AC47" s="635"/>
      <c r="AD47" s="635"/>
      <c r="AE47" s="636"/>
      <c r="AF47" s="636"/>
      <c r="AG47" s="636"/>
      <c r="AH47" s="636"/>
      <c r="AI47" s="636"/>
      <c r="AJ47" s="636"/>
      <c r="AK47" s="636"/>
      <c r="AL47" s="636"/>
    </row>
    <row r="48" spans="1:38" x14ac:dyDescent="0.25">
      <c r="A48" s="634">
        <v>21200</v>
      </c>
      <c r="B48" s="632" t="s">
        <v>1245</v>
      </c>
      <c r="C48" s="656">
        <v>3.3210000000000002E-3</v>
      </c>
      <c r="D48" s="656">
        <v>2.8519999999999999E-3</v>
      </c>
      <c r="E48" s="661">
        <v>2901634</v>
      </c>
      <c r="F48" s="632">
        <v>144479386</v>
      </c>
      <c r="G48" s="633">
        <v>93510444</v>
      </c>
      <c r="H48" s="633">
        <v>0</v>
      </c>
      <c r="I48" s="633">
        <v>0</v>
      </c>
      <c r="J48" s="633">
        <v>0</v>
      </c>
      <c r="K48" s="633">
        <v>0</v>
      </c>
      <c r="L48" s="633">
        <f t="shared" si="0"/>
        <v>0</v>
      </c>
      <c r="M48" s="633"/>
      <c r="N48" s="633">
        <v>6704871</v>
      </c>
      <c r="O48" s="633">
        <v>34753</v>
      </c>
      <c r="P48" s="633">
        <v>25752349</v>
      </c>
      <c r="Q48" s="633">
        <v>16842865</v>
      </c>
      <c r="R48" s="633">
        <f t="shared" si="1"/>
        <v>49334838</v>
      </c>
      <c r="S48" s="633"/>
      <c r="T48" s="633">
        <f t="shared" si="2"/>
        <v>4636098</v>
      </c>
      <c r="U48" s="633">
        <v>-3368568</v>
      </c>
      <c r="V48" s="633">
        <v>1267530</v>
      </c>
      <c r="W48" s="635"/>
      <c r="X48" s="635"/>
      <c r="Y48" s="635"/>
      <c r="Z48" s="635"/>
      <c r="AA48" s="635"/>
      <c r="AB48" s="635"/>
      <c r="AC48" s="635"/>
      <c r="AD48" s="635"/>
      <c r="AE48" s="636"/>
      <c r="AF48" s="636"/>
      <c r="AG48" s="636"/>
      <c r="AH48" s="636"/>
      <c r="AI48" s="636"/>
      <c r="AJ48" s="636"/>
      <c r="AK48" s="636"/>
      <c r="AL48" s="636"/>
    </row>
    <row r="49" spans="1:38" x14ac:dyDescent="0.25">
      <c r="A49" s="634">
        <v>21300</v>
      </c>
      <c r="B49" s="632" t="s">
        <v>1246</v>
      </c>
      <c r="C49" s="656">
        <v>3.9766999999999997E-2</v>
      </c>
      <c r="D49" s="656">
        <v>3.5423000000000003E-2</v>
      </c>
      <c r="E49" s="661">
        <v>36269435</v>
      </c>
      <c r="F49" s="632">
        <v>1730002793</v>
      </c>
      <c r="G49" s="633">
        <v>1161399772</v>
      </c>
      <c r="H49" s="633">
        <v>0</v>
      </c>
      <c r="I49" s="633">
        <v>0</v>
      </c>
      <c r="J49" s="633">
        <v>0</v>
      </c>
      <c r="K49" s="633">
        <v>0</v>
      </c>
      <c r="L49" s="633">
        <f t="shared" si="0"/>
        <v>0</v>
      </c>
      <c r="M49" s="633"/>
      <c r="N49" s="633">
        <v>83274500</v>
      </c>
      <c r="O49" s="633">
        <v>431626</v>
      </c>
      <c r="P49" s="633">
        <v>319844195</v>
      </c>
      <c r="Q49" s="633">
        <v>155303000</v>
      </c>
      <c r="R49" s="633">
        <f t="shared" si="1"/>
        <v>558853321</v>
      </c>
      <c r="S49" s="633"/>
      <c r="T49" s="633">
        <f t="shared" si="2"/>
        <v>57580336</v>
      </c>
      <c r="U49" s="633">
        <v>-31060601</v>
      </c>
      <c r="V49" s="633">
        <v>26519735</v>
      </c>
      <c r="W49" s="635"/>
      <c r="X49" s="635"/>
      <c r="Y49" s="635"/>
      <c r="Z49" s="635"/>
      <c r="AA49" s="635"/>
      <c r="AB49" s="635"/>
      <c r="AC49" s="635"/>
      <c r="AD49" s="635"/>
      <c r="AE49" s="636"/>
      <c r="AF49" s="636"/>
      <c r="AG49" s="636"/>
      <c r="AH49" s="636"/>
      <c r="AI49" s="636"/>
      <c r="AJ49" s="636"/>
      <c r="AK49" s="636"/>
      <c r="AL49" s="636"/>
    </row>
    <row r="50" spans="1:38" x14ac:dyDescent="0.25">
      <c r="A50" s="634">
        <v>21520</v>
      </c>
      <c r="B50" s="632" t="s">
        <v>820</v>
      </c>
      <c r="C50" s="656">
        <v>7.2484000000000007E-2</v>
      </c>
      <c r="D50" s="656">
        <v>6.3606999999999997E-2</v>
      </c>
      <c r="E50" s="661">
        <v>64376483</v>
      </c>
      <c r="F50" s="632">
        <v>3153294783</v>
      </c>
      <c r="G50" s="633">
        <v>2085455588</v>
      </c>
      <c r="H50" s="633">
        <v>0</v>
      </c>
      <c r="I50" s="633">
        <v>0</v>
      </c>
      <c r="J50" s="633">
        <v>0</v>
      </c>
      <c r="K50" s="633">
        <v>0</v>
      </c>
      <c r="L50" s="633">
        <f t="shared" si="0"/>
        <v>0</v>
      </c>
      <c r="M50" s="633"/>
      <c r="N50" s="633">
        <v>149531002</v>
      </c>
      <c r="O50" s="633">
        <v>775045</v>
      </c>
      <c r="P50" s="633">
        <v>574324948</v>
      </c>
      <c r="Q50" s="633">
        <v>318521045</v>
      </c>
      <c r="R50" s="633">
        <f t="shared" si="1"/>
        <v>1043152040</v>
      </c>
      <c r="S50" s="633"/>
      <c r="T50" s="633">
        <f t="shared" si="2"/>
        <v>103393541</v>
      </c>
      <c r="U50" s="633">
        <v>-63704212</v>
      </c>
      <c r="V50" s="633">
        <v>39689329</v>
      </c>
      <c r="W50" s="635"/>
      <c r="X50" s="635"/>
      <c r="Y50" s="635"/>
      <c r="Z50" s="635"/>
      <c r="AA50" s="635"/>
      <c r="AB50" s="635"/>
      <c r="AC50" s="635"/>
      <c r="AD50" s="635"/>
      <c r="AE50" s="636"/>
      <c r="AF50" s="636"/>
      <c r="AG50" s="636"/>
      <c r="AH50" s="636"/>
      <c r="AI50" s="636"/>
      <c r="AJ50" s="636"/>
      <c r="AK50" s="636"/>
      <c r="AL50" s="636"/>
    </row>
    <row r="51" spans="1:38" x14ac:dyDescent="0.25">
      <c r="A51" s="634">
        <v>21525</v>
      </c>
      <c r="B51" s="632" t="s">
        <v>1247</v>
      </c>
      <c r="C51" s="656">
        <v>1.755E-3</v>
      </c>
      <c r="D51" s="656">
        <v>1.67E-3</v>
      </c>
      <c r="E51" s="661">
        <v>1853481</v>
      </c>
      <c r="F51" s="632">
        <v>76362188</v>
      </c>
      <c r="G51" s="633">
        <v>54765104</v>
      </c>
      <c r="H51" s="633">
        <v>0</v>
      </c>
      <c r="I51" s="633">
        <v>0</v>
      </c>
      <c r="J51" s="633">
        <v>0</v>
      </c>
      <c r="K51" s="633">
        <v>0</v>
      </c>
      <c r="L51" s="633">
        <f t="shared" si="0"/>
        <v>0</v>
      </c>
      <c r="M51" s="633"/>
      <c r="N51" s="633">
        <v>3926759</v>
      </c>
      <c r="O51" s="633">
        <v>20353</v>
      </c>
      <c r="P51" s="633">
        <v>15082060</v>
      </c>
      <c r="Q51" s="633">
        <v>3010915</v>
      </c>
      <c r="R51" s="633">
        <f t="shared" si="1"/>
        <v>22040087</v>
      </c>
      <c r="S51" s="633"/>
      <c r="T51" s="633">
        <f t="shared" si="2"/>
        <v>2715166</v>
      </c>
      <c r="U51" s="633">
        <v>-602180</v>
      </c>
      <c r="V51" s="633">
        <v>2112986</v>
      </c>
      <c r="W51" s="635"/>
      <c r="X51" s="635"/>
      <c r="Y51" s="635"/>
      <c r="Z51" s="635"/>
      <c r="AA51" s="635"/>
      <c r="AB51" s="635"/>
      <c r="AC51" s="635"/>
      <c r="AD51" s="635"/>
      <c r="AE51" s="636"/>
      <c r="AF51" s="636"/>
      <c r="AG51" s="636"/>
      <c r="AH51" s="636"/>
      <c r="AI51" s="636"/>
      <c r="AJ51" s="636"/>
      <c r="AK51" s="636"/>
      <c r="AL51" s="636"/>
    </row>
    <row r="52" spans="1:38" s="705" customFormat="1" ht="26.25" x14ac:dyDescent="0.25">
      <c r="A52" s="637">
        <v>21525.1</v>
      </c>
      <c r="B52" s="638" t="s">
        <v>1248</v>
      </c>
      <c r="C52" s="701">
        <v>9.7E-5</v>
      </c>
      <c r="D52" s="701">
        <v>1.17E-4</v>
      </c>
      <c r="E52" s="702">
        <v>0</v>
      </c>
      <c r="F52" s="638">
        <v>4212555</v>
      </c>
      <c r="G52" s="639">
        <v>3829724</v>
      </c>
      <c r="H52" s="639">
        <v>0</v>
      </c>
      <c r="I52" s="639">
        <v>0</v>
      </c>
      <c r="J52" s="639">
        <v>0</v>
      </c>
      <c r="K52" s="639">
        <v>784590</v>
      </c>
      <c r="L52" s="639">
        <f t="shared" si="0"/>
        <v>784590</v>
      </c>
      <c r="M52" s="639"/>
      <c r="N52" s="639">
        <v>274598</v>
      </c>
      <c r="O52" s="639">
        <v>1423</v>
      </c>
      <c r="P52" s="639">
        <v>1054688</v>
      </c>
      <c r="Q52" s="639">
        <v>0</v>
      </c>
      <c r="R52" s="639">
        <f t="shared" si="1"/>
        <v>1330709</v>
      </c>
      <c r="S52" s="639"/>
      <c r="T52" s="639">
        <f t="shared" si="2"/>
        <v>189872</v>
      </c>
      <c r="U52" s="639">
        <v>156916</v>
      </c>
      <c r="V52" s="639">
        <v>346788</v>
      </c>
      <c r="W52" s="703"/>
      <c r="X52" s="703"/>
      <c r="Y52" s="703"/>
      <c r="Z52" s="703"/>
      <c r="AA52" s="703"/>
      <c r="AB52" s="703"/>
      <c r="AC52" s="703"/>
      <c r="AD52" s="703"/>
      <c r="AE52" s="704"/>
      <c r="AF52" s="704"/>
      <c r="AG52" s="704"/>
      <c r="AH52" s="704"/>
      <c r="AI52" s="704"/>
      <c r="AJ52" s="704"/>
      <c r="AK52" s="704"/>
      <c r="AL52" s="704"/>
    </row>
    <row r="53" spans="1:38" x14ac:dyDescent="0.25">
      <c r="A53" s="634">
        <v>21550</v>
      </c>
      <c r="B53" s="632" t="s">
        <v>1249</v>
      </c>
      <c r="C53" s="656">
        <v>3.9174E-2</v>
      </c>
      <c r="D53" s="656">
        <v>3.8648000000000002E-2</v>
      </c>
      <c r="E53" s="661">
        <v>35423392</v>
      </c>
      <c r="F53" s="632">
        <v>1704201125</v>
      </c>
      <c r="G53" s="633">
        <v>1267142058</v>
      </c>
      <c r="H53" s="633">
        <v>0</v>
      </c>
      <c r="I53" s="633">
        <v>0</v>
      </c>
      <c r="J53" s="633">
        <v>0</v>
      </c>
      <c r="K53" s="633">
        <v>0</v>
      </c>
      <c r="L53" s="633">
        <f t="shared" si="0"/>
        <v>0</v>
      </c>
      <c r="M53" s="633"/>
      <c r="N53" s="633">
        <v>90856416</v>
      </c>
      <c r="O53" s="633">
        <v>470925</v>
      </c>
      <c r="P53" s="633">
        <v>348965138</v>
      </c>
      <c r="Q53" s="633">
        <v>20138385</v>
      </c>
      <c r="R53" s="633">
        <f t="shared" si="1"/>
        <v>460430864</v>
      </c>
      <c r="S53" s="633"/>
      <c r="T53" s="633">
        <f t="shared" si="2"/>
        <v>62822869</v>
      </c>
      <c r="U53" s="633">
        <v>-4027680</v>
      </c>
      <c r="V53" s="633">
        <v>58795189</v>
      </c>
      <c r="W53" s="635"/>
      <c r="X53" s="635"/>
      <c r="Y53" s="635"/>
      <c r="Z53" s="635"/>
      <c r="AA53" s="635"/>
      <c r="AB53" s="635"/>
      <c r="AC53" s="635"/>
      <c r="AD53" s="635"/>
      <c r="AE53" s="636"/>
      <c r="AF53" s="636"/>
      <c r="AG53" s="636"/>
      <c r="AH53" s="636"/>
      <c r="AI53" s="636"/>
      <c r="AJ53" s="636"/>
      <c r="AK53" s="636"/>
      <c r="AL53" s="636"/>
    </row>
    <row r="54" spans="1:38" x14ac:dyDescent="0.25">
      <c r="A54" s="634">
        <v>21570</v>
      </c>
      <c r="B54" s="632" t="s">
        <v>1250</v>
      </c>
      <c r="C54" s="656">
        <v>1.5699999999999999E-4</v>
      </c>
      <c r="D54" s="656">
        <v>1.64E-4</v>
      </c>
      <c r="E54" s="661">
        <v>180756</v>
      </c>
      <c r="F54" s="632">
        <v>6846056</v>
      </c>
      <c r="G54" s="633">
        <v>5376185</v>
      </c>
      <c r="H54" s="633">
        <v>0</v>
      </c>
      <c r="I54" s="633">
        <v>0</v>
      </c>
      <c r="J54" s="633">
        <v>0</v>
      </c>
      <c r="K54" s="633">
        <v>260335</v>
      </c>
      <c r="L54" s="633">
        <f t="shared" si="0"/>
        <v>260335</v>
      </c>
      <c r="M54" s="633"/>
      <c r="N54" s="633">
        <v>385482</v>
      </c>
      <c r="O54" s="633">
        <v>1998</v>
      </c>
      <c r="P54" s="633">
        <v>1480577</v>
      </c>
      <c r="Q54" s="633">
        <v>0</v>
      </c>
      <c r="R54" s="633">
        <f t="shared" si="1"/>
        <v>1868057</v>
      </c>
      <c r="S54" s="633"/>
      <c r="T54" s="633">
        <f t="shared" si="2"/>
        <v>266543</v>
      </c>
      <c r="U54" s="633">
        <v>52065</v>
      </c>
      <c r="V54" s="633">
        <v>318608</v>
      </c>
      <c r="W54" s="635"/>
      <c r="X54" s="635"/>
      <c r="Y54" s="635"/>
      <c r="Z54" s="635"/>
      <c r="AA54" s="635"/>
      <c r="AB54" s="635"/>
      <c r="AC54" s="635"/>
      <c r="AD54" s="635"/>
      <c r="AE54" s="636"/>
      <c r="AF54" s="636"/>
      <c r="AG54" s="636"/>
      <c r="AH54" s="636"/>
      <c r="AI54" s="636"/>
      <c r="AJ54" s="636"/>
      <c r="AK54" s="636"/>
      <c r="AL54" s="636"/>
    </row>
    <row r="55" spans="1:38" x14ac:dyDescent="0.25">
      <c r="A55" s="634">
        <v>21800</v>
      </c>
      <c r="B55" s="632" t="s">
        <v>1251</v>
      </c>
      <c r="C55" s="656">
        <v>5.8609999999999999E-3</v>
      </c>
      <c r="D55" s="656">
        <v>5.2030000000000002E-3</v>
      </c>
      <c r="E55" s="661">
        <v>5298730</v>
      </c>
      <c r="F55" s="632">
        <v>254977835</v>
      </c>
      <c r="G55" s="633">
        <v>170592206</v>
      </c>
      <c r="H55" s="633">
        <v>0</v>
      </c>
      <c r="I55" s="633">
        <v>0</v>
      </c>
      <c r="J55" s="633">
        <v>0</v>
      </c>
      <c r="K55" s="633">
        <v>0</v>
      </c>
      <c r="L55" s="633">
        <f t="shared" si="0"/>
        <v>0</v>
      </c>
      <c r="M55" s="633"/>
      <c r="N55" s="633">
        <v>12231775</v>
      </c>
      <c r="O55" s="633">
        <v>63399</v>
      </c>
      <c r="P55" s="633">
        <v>46980315</v>
      </c>
      <c r="Q55" s="633">
        <v>23557585</v>
      </c>
      <c r="R55" s="633">
        <f t="shared" si="1"/>
        <v>82833074</v>
      </c>
      <c r="S55" s="633"/>
      <c r="T55" s="633">
        <f t="shared" si="2"/>
        <v>8457688</v>
      </c>
      <c r="U55" s="633">
        <v>-4711513</v>
      </c>
      <c r="V55" s="633">
        <v>3746175</v>
      </c>
      <c r="W55" s="635"/>
      <c r="X55" s="635"/>
      <c r="Y55" s="635"/>
      <c r="Z55" s="635"/>
      <c r="AA55" s="635"/>
      <c r="AB55" s="635"/>
      <c r="AC55" s="635"/>
      <c r="AD55" s="635"/>
      <c r="AE55" s="636"/>
      <c r="AF55" s="636"/>
      <c r="AG55" s="636"/>
      <c r="AH55" s="636"/>
      <c r="AI55" s="636"/>
      <c r="AJ55" s="636"/>
      <c r="AK55" s="636"/>
      <c r="AL55" s="636"/>
    </row>
    <row r="56" spans="1:38" x14ac:dyDescent="0.25">
      <c r="A56" s="634">
        <v>21900</v>
      </c>
      <c r="B56" s="632" t="s">
        <v>1252</v>
      </c>
      <c r="C56" s="656">
        <v>3.3760000000000001E-3</v>
      </c>
      <c r="D56" s="656">
        <v>3.0309999999999998E-3</v>
      </c>
      <c r="E56" s="661">
        <v>3263663</v>
      </c>
      <c r="F56" s="632">
        <v>146863084</v>
      </c>
      <c r="G56" s="633">
        <v>99363488</v>
      </c>
      <c r="H56" s="633">
        <v>0</v>
      </c>
      <c r="I56" s="633">
        <v>0</v>
      </c>
      <c r="J56" s="633">
        <v>0</v>
      </c>
      <c r="K56" s="633">
        <v>0</v>
      </c>
      <c r="L56" s="633">
        <f t="shared" si="0"/>
        <v>0</v>
      </c>
      <c r="M56" s="633"/>
      <c r="N56" s="633">
        <v>7124545</v>
      </c>
      <c r="O56" s="633">
        <v>36928</v>
      </c>
      <c r="P56" s="633">
        <v>27364251</v>
      </c>
      <c r="Q56" s="633">
        <v>12197075</v>
      </c>
      <c r="R56" s="633">
        <f t="shared" si="1"/>
        <v>46722799</v>
      </c>
      <c r="S56" s="633"/>
      <c r="T56" s="633">
        <f t="shared" si="2"/>
        <v>4926282</v>
      </c>
      <c r="U56" s="633">
        <v>-2439417</v>
      </c>
      <c r="V56" s="633">
        <v>2486865</v>
      </c>
      <c r="W56" s="635"/>
      <c r="X56" s="635"/>
      <c r="Y56" s="635"/>
      <c r="Z56" s="635"/>
      <c r="AA56" s="635"/>
      <c r="AB56" s="635"/>
      <c r="AC56" s="635"/>
      <c r="AD56" s="635"/>
      <c r="AE56" s="636"/>
      <c r="AF56" s="636"/>
      <c r="AG56" s="636"/>
      <c r="AH56" s="636"/>
      <c r="AI56" s="636"/>
      <c r="AJ56" s="636"/>
      <c r="AK56" s="636"/>
      <c r="AL56" s="636"/>
    </row>
    <row r="57" spans="1:38" x14ac:dyDescent="0.25">
      <c r="A57" s="634">
        <v>22000</v>
      </c>
      <c r="B57" s="632" t="s">
        <v>1253</v>
      </c>
      <c r="C57" s="656">
        <v>3.3170000000000001E-3</v>
      </c>
      <c r="D57" s="656">
        <v>3.2520000000000001E-3</v>
      </c>
      <c r="E57" s="661">
        <v>3751531</v>
      </c>
      <c r="F57" s="632">
        <v>144310612</v>
      </c>
      <c r="G57" s="633">
        <v>106617885</v>
      </c>
      <c r="H57" s="633">
        <v>0</v>
      </c>
      <c r="I57" s="633">
        <v>0</v>
      </c>
      <c r="J57" s="633">
        <v>0</v>
      </c>
      <c r="K57" s="633">
        <v>0</v>
      </c>
      <c r="L57" s="633">
        <f t="shared" si="0"/>
        <v>0</v>
      </c>
      <c r="M57" s="633"/>
      <c r="N57" s="633">
        <v>7644698</v>
      </c>
      <c r="O57" s="633">
        <v>39624</v>
      </c>
      <c r="P57" s="633">
        <v>29362079</v>
      </c>
      <c r="Q57" s="633">
        <v>1817280</v>
      </c>
      <c r="R57" s="633">
        <f t="shared" si="1"/>
        <v>38863681</v>
      </c>
      <c r="S57" s="633"/>
      <c r="T57" s="633">
        <f t="shared" si="2"/>
        <v>5285944</v>
      </c>
      <c r="U57" s="633">
        <v>-363459</v>
      </c>
      <c r="V57" s="633">
        <v>4922485</v>
      </c>
      <c r="W57" s="635"/>
      <c r="X57" s="635"/>
      <c r="Y57" s="635"/>
      <c r="Z57" s="635"/>
      <c r="AA57" s="635"/>
      <c r="AB57" s="635"/>
      <c r="AC57" s="635"/>
      <c r="AD57" s="635"/>
      <c r="AE57" s="636"/>
      <c r="AF57" s="636"/>
      <c r="AG57" s="636"/>
      <c r="AH57" s="636"/>
      <c r="AI57" s="636"/>
      <c r="AJ57" s="636"/>
      <c r="AK57" s="636"/>
      <c r="AL57" s="636"/>
    </row>
    <row r="58" spans="1:38" x14ac:dyDescent="0.25">
      <c r="A58" s="634">
        <v>23000</v>
      </c>
      <c r="B58" s="632" t="s">
        <v>1254</v>
      </c>
      <c r="C58" s="656">
        <v>2.5509999999999999E-3</v>
      </c>
      <c r="D58" s="656">
        <v>2.3779999999999999E-3</v>
      </c>
      <c r="E58" s="661">
        <v>2431323</v>
      </c>
      <c r="F58" s="632">
        <v>110965161</v>
      </c>
      <c r="G58" s="633">
        <v>77954552</v>
      </c>
      <c r="H58" s="633">
        <v>0</v>
      </c>
      <c r="I58" s="633">
        <v>0</v>
      </c>
      <c r="J58" s="633">
        <v>0</v>
      </c>
      <c r="K58" s="633">
        <v>0</v>
      </c>
      <c r="L58" s="633">
        <f t="shared" si="0"/>
        <v>0</v>
      </c>
      <c r="M58" s="633"/>
      <c r="N58" s="633">
        <v>5589485</v>
      </c>
      <c r="O58" s="633">
        <v>28971</v>
      </c>
      <c r="P58" s="633">
        <v>21468328</v>
      </c>
      <c r="Q58" s="633">
        <v>6131135</v>
      </c>
      <c r="R58" s="633">
        <f t="shared" si="1"/>
        <v>33217919</v>
      </c>
      <c r="S58" s="633"/>
      <c r="T58" s="633">
        <f t="shared" si="2"/>
        <v>3864862</v>
      </c>
      <c r="U58" s="633">
        <v>-1226229</v>
      </c>
      <c r="V58" s="633">
        <v>2638633</v>
      </c>
      <c r="W58" s="635"/>
      <c r="X58" s="635"/>
      <c r="Y58" s="635"/>
      <c r="Z58" s="635"/>
      <c r="AA58" s="635"/>
      <c r="AB58" s="635"/>
      <c r="AC58" s="635"/>
      <c r="AD58" s="635"/>
      <c r="AE58" s="636"/>
      <c r="AF58" s="636"/>
      <c r="AG58" s="636"/>
      <c r="AH58" s="636"/>
      <c r="AI58" s="636"/>
      <c r="AJ58" s="636"/>
      <c r="AK58" s="636"/>
      <c r="AL58" s="636"/>
    </row>
    <row r="59" spans="1:38" x14ac:dyDescent="0.25">
      <c r="A59" s="634">
        <v>23100</v>
      </c>
      <c r="B59" s="632" t="s">
        <v>1255</v>
      </c>
      <c r="C59" s="656">
        <v>1.4788000000000001E-2</v>
      </c>
      <c r="D59" s="656">
        <v>1.3759E-2</v>
      </c>
      <c r="E59" s="661">
        <v>14193190</v>
      </c>
      <c r="F59" s="632">
        <v>643326249</v>
      </c>
      <c r="G59" s="633">
        <v>451110687</v>
      </c>
      <c r="H59" s="633">
        <v>0</v>
      </c>
      <c r="I59" s="633">
        <v>0</v>
      </c>
      <c r="J59" s="633">
        <v>0</v>
      </c>
      <c r="K59" s="633">
        <v>0</v>
      </c>
      <c r="L59" s="633">
        <f t="shared" si="0"/>
        <v>0</v>
      </c>
      <c r="M59" s="633"/>
      <c r="N59" s="633">
        <v>32345466</v>
      </c>
      <c r="O59" s="633">
        <v>167652</v>
      </c>
      <c r="P59" s="633">
        <v>124233824</v>
      </c>
      <c r="Q59" s="633">
        <v>36367310</v>
      </c>
      <c r="R59" s="633">
        <f t="shared" si="1"/>
        <v>193114252</v>
      </c>
      <c r="S59" s="633"/>
      <c r="T59" s="633">
        <f t="shared" si="2"/>
        <v>22365344</v>
      </c>
      <c r="U59" s="633">
        <v>-7273464</v>
      </c>
      <c r="V59" s="633">
        <v>15091880</v>
      </c>
      <c r="W59" s="635"/>
      <c r="X59" s="635"/>
      <c r="Y59" s="635"/>
      <c r="Z59" s="635"/>
      <c r="AA59" s="635"/>
      <c r="AB59" s="635"/>
      <c r="AC59" s="635"/>
      <c r="AD59" s="635"/>
      <c r="AE59" s="636"/>
      <c r="AF59" s="636"/>
      <c r="AG59" s="636"/>
      <c r="AH59" s="636"/>
      <c r="AI59" s="636"/>
      <c r="AJ59" s="636"/>
      <c r="AK59" s="636"/>
      <c r="AL59" s="636"/>
    </row>
    <row r="60" spans="1:38" x14ac:dyDescent="0.25">
      <c r="A60" s="634">
        <v>23200</v>
      </c>
      <c r="B60" s="632" t="s">
        <v>1256</v>
      </c>
      <c r="C60" s="656">
        <v>7.7949999999999998E-3</v>
      </c>
      <c r="D60" s="656">
        <v>7.0270000000000003E-3</v>
      </c>
      <c r="E60" s="661">
        <v>6479303</v>
      </c>
      <c r="F60" s="632">
        <v>339091357</v>
      </c>
      <c r="G60" s="633">
        <v>230381927</v>
      </c>
      <c r="H60" s="633">
        <v>0</v>
      </c>
      <c r="I60" s="633">
        <v>0</v>
      </c>
      <c r="J60" s="633">
        <v>0</v>
      </c>
      <c r="K60" s="633">
        <v>0</v>
      </c>
      <c r="L60" s="633">
        <f t="shared" si="0"/>
        <v>0</v>
      </c>
      <c r="M60" s="633"/>
      <c r="N60" s="633">
        <v>16518808</v>
      </c>
      <c r="O60" s="633">
        <v>85620</v>
      </c>
      <c r="P60" s="633">
        <v>63446131</v>
      </c>
      <c r="Q60" s="633">
        <v>28001280</v>
      </c>
      <c r="R60" s="633">
        <f t="shared" si="1"/>
        <v>108051839</v>
      </c>
      <c r="S60" s="633"/>
      <c r="T60" s="633">
        <f t="shared" si="2"/>
        <v>11421966</v>
      </c>
      <c r="U60" s="633">
        <v>-5600255</v>
      </c>
      <c r="V60" s="633">
        <v>5821711</v>
      </c>
      <c r="W60" s="635"/>
      <c r="X60" s="635"/>
      <c r="Y60" s="635"/>
      <c r="Z60" s="635"/>
      <c r="AA60" s="635"/>
      <c r="AB60" s="635"/>
      <c r="AC60" s="635"/>
      <c r="AD60" s="635"/>
      <c r="AE60" s="636"/>
      <c r="AF60" s="636"/>
      <c r="AG60" s="636"/>
      <c r="AH60" s="636"/>
      <c r="AI60" s="636"/>
      <c r="AJ60" s="636"/>
      <c r="AK60" s="636"/>
      <c r="AL60" s="636"/>
    </row>
    <row r="61" spans="1:38" x14ac:dyDescent="0.25">
      <c r="A61" s="634">
        <v>30000</v>
      </c>
      <c r="B61" s="632" t="s">
        <v>1257</v>
      </c>
      <c r="C61" s="656">
        <v>8.7399999999999999E-4</v>
      </c>
      <c r="D61" s="656">
        <v>9.0300000000000005E-4</v>
      </c>
      <c r="E61" s="661">
        <v>806446</v>
      </c>
      <c r="F61" s="632">
        <v>38027979</v>
      </c>
      <c r="G61" s="633">
        <v>29604942</v>
      </c>
      <c r="H61" s="633">
        <v>0</v>
      </c>
      <c r="I61" s="633">
        <v>0</v>
      </c>
      <c r="J61" s="633">
        <v>0</v>
      </c>
      <c r="K61" s="633">
        <v>1002035</v>
      </c>
      <c r="L61" s="633">
        <f t="shared" si="0"/>
        <v>1002035</v>
      </c>
      <c r="M61" s="633"/>
      <c r="N61" s="633">
        <v>2122729</v>
      </c>
      <c r="O61" s="633">
        <v>11002</v>
      </c>
      <c r="P61" s="633">
        <v>8153066</v>
      </c>
      <c r="Q61" s="633">
        <v>0</v>
      </c>
      <c r="R61" s="633">
        <f t="shared" si="1"/>
        <v>10286797</v>
      </c>
      <c r="S61" s="633"/>
      <c r="T61" s="633">
        <f t="shared" si="2"/>
        <v>1467766</v>
      </c>
      <c r="U61" s="633">
        <v>200406</v>
      </c>
      <c r="V61" s="633">
        <v>1668172</v>
      </c>
      <c r="W61" s="635"/>
      <c r="X61" s="635"/>
      <c r="Y61" s="635"/>
      <c r="Z61" s="635"/>
      <c r="AA61" s="635"/>
      <c r="AB61" s="635"/>
      <c r="AC61" s="635"/>
      <c r="AD61" s="635"/>
      <c r="AE61" s="636"/>
      <c r="AF61" s="636"/>
      <c r="AG61" s="636"/>
      <c r="AH61" s="636"/>
      <c r="AI61" s="636"/>
      <c r="AJ61" s="636"/>
      <c r="AK61" s="636"/>
      <c r="AL61" s="636"/>
    </row>
    <row r="62" spans="1:38" x14ac:dyDescent="0.25">
      <c r="A62" s="634">
        <v>30100</v>
      </c>
      <c r="B62" s="632" t="s">
        <v>1258</v>
      </c>
      <c r="C62" s="656">
        <v>7.7279999999999996E-3</v>
      </c>
      <c r="D62" s="656">
        <v>7.8659999999999997E-3</v>
      </c>
      <c r="E62" s="661">
        <v>6665138</v>
      </c>
      <c r="F62" s="632">
        <v>336184984</v>
      </c>
      <c r="G62" s="633">
        <v>257905302</v>
      </c>
      <c r="H62" s="633">
        <v>0</v>
      </c>
      <c r="I62" s="633">
        <v>0</v>
      </c>
      <c r="J62" s="633">
        <v>0</v>
      </c>
      <c r="K62" s="633">
        <v>4344170</v>
      </c>
      <c r="L62" s="633">
        <f t="shared" si="0"/>
        <v>4344170</v>
      </c>
      <c r="M62" s="633"/>
      <c r="N62" s="633">
        <v>18492285</v>
      </c>
      <c r="O62" s="633">
        <v>95849</v>
      </c>
      <c r="P62" s="633">
        <v>71025943</v>
      </c>
      <c r="Q62" s="633">
        <v>0</v>
      </c>
      <c r="R62" s="633">
        <f t="shared" si="1"/>
        <v>89614077</v>
      </c>
      <c r="S62" s="633"/>
      <c r="T62" s="633">
        <f t="shared" si="2"/>
        <v>12786531</v>
      </c>
      <c r="U62" s="633">
        <v>868831</v>
      </c>
      <c r="V62" s="633">
        <v>13655362</v>
      </c>
      <c r="W62" s="635"/>
      <c r="X62" s="635"/>
      <c r="Y62" s="635"/>
      <c r="Z62" s="635"/>
      <c r="AA62" s="635"/>
      <c r="AB62" s="635"/>
      <c r="AC62" s="635"/>
      <c r="AD62" s="635"/>
      <c r="AE62" s="636"/>
      <c r="AF62" s="636"/>
      <c r="AG62" s="636"/>
      <c r="AH62" s="636"/>
      <c r="AI62" s="636"/>
      <c r="AJ62" s="636"/>
      <c r="AK62" s="636"/>
      <c r="AL62" s="636"/>
    </row>
    <row r="63" spans="1:38" x14ac:dyDescent="0.25">
      <c r="A63" s="634">
        <v>30102</v>
      </c>
      <c r="B63" s="632" t="s">
        <v>1259</v>
      </c>
      <c r="C63" s="656">
        <v>1.44E-4</v>
      </c>
      <c r="D63" s="656">
        <v>1.46E-4</v>
      </c>
      <c r="E63" s="661">
        <v>118573</v>
      </c>
      <c r="F63" s="632">
        <v>6275645</v>
      </c>
      <c r="G63" s="633">
        <v>4797110</v>
      </c>
      <c r="H63" s="633">
        <v>0</v>
      </c>
      <c r="I63" s="633">
        <v>0</v>
      </c>
      <c r="J63" s="633">
        <v>0</v>
      </c>
      <c r="K63" s="633">
        <v>57545</v>
      </c>
      <c r="L63" s="633">
        <f t="shared" si="0"/>
        <v>57545</v>
      </c>
      <c r="M63" s="633"/>
      <c r="N63" s="633">
        <v>343962</v>
      </c>
      <c r="O63" s="633">
        <v>1783</v>
      </c>
      <c r="P63" s="633">
        <v>1321102</v>
      </c>
      <c r="Q63" s="633">
        <v>0</v>
      </c>
      <c r="R63" s="633">
        <f t="shared" si="1"/>
        <v>1666847</v>
      </c>
      <c r="S63" s="633"/>
      <c r="T63" s="633">
        <f t="shared" si="2"/>
        <v>237833</v>
      </c>
      <c r="U63" s="633">
        <v>11507</v>
      </c>
      <c r="V63" s="633">
        <v>249340</v>
      </c>
      <c r="W63" s="635"/>
      <c r="X63" s="635"/>
      <c r="Y63" s="635"/>
      <c r="Z63" s="635"/>
      <c r="AA63" s="635"/>
      <c r="AB63" s="635"/>
      <c r="AC63" s="635"/>
      <c r="AD63" s="635"/>
      <c r="AE63" s="636"/>
      <c r="AF63" s="636"/>
      <c r="AG63" s="636"/>
      <c r="AH63" s="636"/>
      <c r="AI63" s="636"/>
      <c r="AJ63" s="636"/>
      <c r="AK63" s="636"/>
      <c r="AL63" s="636"/>
    </row>
    <row r="64" spans="1:38" x14ac:dyDescent="0.25">
      <c r="A64" s="634">
        <v>30103</v>
      </c>
      <c r="B64" s="632" t="s">
        <v>1260</v>
      </c>
      <c r="C64" s="656">
        <v>1.65E-4</v>
      </c>
      <c r="D64" s="656">
        <v>1.9699999999999999E-4</v>
      </c>
      <c r="E64" s="661">
        <v>157470</v>
      </c>
      <c r="F64" s="632">
        <v>7180309</v>
      </c>
      <c r="G64" s="633">
        <v>6459441</v>
      </c>
      <c r="H64" s="633">
        <v>0</v>
      </c>
      <c r="I64" s="633">
        <v>0</v>
      </c>
      <c r="J64" s="633">
        <v>0</v>
      </c>
      <c r="K64" s="633">
        <v>1134010</v>
      </c>
      <c r="L64" s="633">
        <f t="shared" si="0"/>
        <v>1134010</v>
      </c>
      <c r="M64" s="633"/>
      <c r="N64" s="633">
        <v>463154</v>
      </c>
      <c r="O64" s="633">
        <v>2401</v>
      </c>
      <c r="P64" s="633">
        <v>1778901</v>
      </c>
      <c r="Q64" s="633">
        <v>0</v>
      </c>
      <c r="R64" s="633">
        <f t="shared" si="1"/>
        <v>2244456</v>
      </c>
      <c r="S64" s="633"/>
      <c r="T64" s="633">
        <f t="shared" si="2"/>
        <v>320249</v>
      </c>
      <c r="U64" s="633">
        <v>226798</v>
      </c>
      <c r="V64" s="633">
        <v>547047</v>
      </c>
      <c r="W64" s="635"/>
      <c r="X64" s="635"/>
      <c r="Y64" s="635"/>
      <c r="Z64" s="635"/>
      <c r="AA64" s="635"/>
      <c r="AB64" s="635"/>
      <c r="AC64" s="635"/>
      <c r="AD64" s="635"/>
      <c r="AE64" s="636"/>
      <c r="AF64" s="636"/>
      <c r="AG64" s="636"/>
      <c r="AH64" s="636"/>
      <c r="AI64" s="636"/>
      <c r="AJ64" s="636"/>
      <c r="AK64" s="636"/>
      <c r="AL64" s="636"/>
    </row>
    <row r="65" spans="1:38" x14ac:dyDescent="0.25">
      <c r="A65" s="634">
        <v>30104</v>
      </c>
      <c r="B65" s="632" t="s">
        <v>1261</v>
      </c>
      <c r="C65" s="656">
        <v>1.05E-4</v>
      </c>
      <c r="D65" s="656">
        <v>1.17E-4</v>
      </c>
      <c r="E65" s="661">
        <v>80744</v>
      </c>
      <c r="F65" s="632">
        <v>4578588</v>
      </c>
      <c r="G65" s="633">
        <v>3834837</v>
      </c>
      <c r="H65" s="633">
        <v>0</v>
      </c>
      <c r="I65" s="633">
        <v>0</v>
      </c>
      <c r="J65" s="633">
        <v>0</v>
      </c>
      <c r="K65" s="633">
        <v>399460</v>
      </c>
      <c r="L65" s="633">
        <f t="shared" si="0"/>
        <v>399460</v>
      </c>
      <c r="M65" s="633"/>
      <c r="N65" s="633">
        <v>274965</v>
      </c>
      <c r="O65" s="633">
        <v>1425</v>
      </c>
      <c r="P65" s="633">
        <v>1056097</v>
      </c>
      <c r="Q65" s="633">
        <v>0</v>
      </c>
      <c r="R65" s="633">
        <f t="shared" si="1"/>
        <v>1332487</v>
      </c>
      <c r="S65" s="633"/>
      <c r="T65" s="633">
        <f t="shared" si="2"/>
        <v>190125</v>
      </c>
      <c r="U65" s="633">
        <v>79895</v>
      </c>
      <c r="V65" s="633">
        <v>270020</v>
      </c>
      <c r="W65" s="635"/>
      <c r="X65" s="635"/>
      <c r="Y65" s="635"/>
      <c r="Z65" s="635"/>
      <c r="AA65" s="635"/>
      <c r="AB65" s="635"/>
      <c r="AC65" s="635"/>
      <c r="AD65" s="635"/>
      <c r="AE65" s="636"/>
      <c r="AF65" s="636"/>
      <c r="AG65" s="636"/>
      <c r="AH65" s="636"/>
      <c r="AI65" s="636"/>
      <c r="AJ65" s="636"/>
      <c r="AK65" s="636"/>
      <c r="AL65" s="636"/>
    </row>
    <row r="66" spans="1:38" x14ac:dyDescent="0.25">
      <c r="A66" s="634">
        <v>30105</v>
      </c>
      <c r="B66" s="632" t="s">
        <v>1262</v>
      </c>
      <c r="C66" s="656">
        <v>7.1699999999999997E-4</v>
      </c>
      <c r="D66" s="656">
        <v>7.3099999999999999E-4</v>
      </c>
      <c r="E66" s="661">
        <v>798462</v>
      </c>
      <c r="F66" s="632">
        <v>31176776</v>
      </c>
      <c r="G66" s="633">
        <v>23973545</v>
      </c>
      <c r="H66" s="633">
        <v>0</v>
      </c>
      <c r="I66" s="633">
        <v>0</v>
      </c>
      <c r="J66" s="633">
        <v>0</v>
      </c>
      <c r="K66" s="633">
        <v>613935</v>
      </c>
      <c r="L66" s="633">
        <f t="shared" si="0"/>
        <v>613935</v>
      </c>
      <c r="M66" s="633"/>
      <c r="N66" s="633">
        <v>1718947</v>
      </c>
      <c r="O66" s="633">
        <v>8910</v>
      </c>
      <c r="P66" s="633">
        <v>6602205</v>
      </c>
      <c r="Q66" s="633">
        <v>0</v>
      </c>
      <c r="R66" s="633">
        <f t="shared" si="1"/>
        <v>8330062</v>
      </c>
      <c r="S66" s="633"/>
      <c r="T66" s="633">
        <f t="shared" si="2"/>
        <v>1188570</v>
      </c>
      <c r="U66" s="633">
        <v>122789</v>
      </c>
      <c r="V66" s="633">
        <v>1311359</v>
      </c>
      <c r="W66" s="635"/>
      <c r="X66" s="635"/>
      <c r="Y66" s="635"/>
      <c r="Z66" s="635"/>
      <c r="AA66" s="635"/>
      <c r="AB66" s="635"/>
      <c r="AC66" s="635"/>
      <c r="AD66" s="635"/>
      <c r="AE66" s="636"/>
      <c r="AF66" s="636"/>
      <c r="AG66" s="636"/>
      <c r="AH66" s="636"/>
      <c r="AI66" s="636"/>
      <c r="AJ66" s="636"/>
      <c r="AK66" s="636"/>
      <c r="AL66" s="636"/>
    </row>
    <row r="67" spans="1:38" x14ac:dyDescent="0.25">
      <c r="A67" s="634">
        <v>30200</v>
      </c>
      <c r="B67" s="632" t="s">
        <v>1263</v>
      </c>
      <c r="C67" s="656">
        <v>1.699E-3</v>
      </c>
      <c r="D67" s="656">
        <v>1.799E-3</v>
      </c>
      <c r="E67" s="661">
        <v>1598287</v>
      </c>
      <c r="F67" s="632">
        <v>73894467</v>
      </c>
      <c r="G67" s="633">
        <v>58993316</v>
      </c>
      <c r="H67" s="633">
        <v>0</v>
      </c>
      <c r="I67" s="633">
        <v>0</v>
      </c>
      <c r="J67" s="633">
        <v>0</v>
      </c>
      <c r="K67" s="633">
        <v>3558905</v>
      </c>
      <c r="L67" s="633">
        <f t="shared" si="0"/>
        <v>3558905</v>
      </c>
      <c r="M67" s="633"/>
      <c r="N67" s="633">
        <v>4229929</v>
      </c>
      <c r="O67" s="633">
        <v>21924</v>
      </c>
      <c r="P67" s="633">
        <v>16246490</v>
      </c>
      <c r="Q67" s="633">
        <v>0</v>
      </c>
      <c r="R67" s="633">
        <f t="shared" si="1"/>
        <v>20498343</v>
      </c>
      <c r="S67" s="633"/>
      <c r="T67" s="633">
        <f t="shared" si="2"/>
        <v>2924794</v>
      </c>
      <c r="U67" s="633">
        <v>711780</v>
      </c>
      <c r="V67" s="633">
        <v>3636574</v>
      </c>
      <c r="W67" s="635"/>
      <c r="X67" s="635"/>
      <c r="Y67" s="635"/>
      <c r="Z67" s="635"/>
      <c r="AA67" s="635"/>
      <c r="AB67" s="635"/>
      <c r="AC67" s="635"/>
      <c r="AD67" s="635"/>
      <c r="AE67" s="636"/>
      <c r="AF67" s="636"/>
      <c r="AG67" s="636"/>
      <c r="AH67" s="636"/>
      <c r="AI67" s="636"/>
      <c r="AJ67" s="636"/>
      <c r="AK67" s="636"/>
      <c r="AL67" s="636"/>
    </row>
    <row r="68" spans="1:38" x14ac:dyDescent="0.25">
      <c r="A68" s="634">
        <v>30300</v>
      </c>
      <c r="B68" s="632" t="s">
        <v>1264</v>
      </c>
      <c r="C68" s="656">
        <v>5.8200000000000005E-4</v>
      </c>
      <c r="D68" s="656">
        <v>5.6899999999999995E-4</v>
      </c>
      <c r="E68" s="661">
        <v>529442</v>
      </c>
      <c r="F68" s="632">
        <v>25325691</v>
      </c>
      <c r="G68" s="633">
        <v>18666048</v>
      </c>
      <c r="H68" s="633">
        <v>0</v>
      </c>
      <c r="I68" s="633">
        <v>0</v>
      </c>
      <c r="J68" s="633">
        <v>0</v>
      </c>
      <c r="K68" s="633">
        <v>0</v>
      </c>
      <c r="L68" s="633">
        <f t="shared" si="0"/>
        <v>0</v>
      </c>
      <c r="M68" s="633"/>
      <c r="N68" s="633">
        <v>1338390</v>
      </c>
      <c r="O68" s="633">
        <v>6937</v>
      </c>
      <c r="P68" s="633">
        <v>5140544</v>
      </c>
      <c r="Q68" s="633">
        <v>474800</v>
      </c>
      <c r="R68" s="633">
        <f t="shared" si="1"/>
        <v>6960671</v>
      </c>
      <c r="S68" s="633"/>
      <c r="T68" s="633">
        <f t="shared" si="2"/>
        <v>925433</v>
      </c>
      <c r="U68" s="633">
        <v>-94962</v>
      </c>
      <c r="V68" s="633">
        <v>830471</v>
      </c>
      <c r="W68" s="635"/>
      <c r="X68" s="635"/>
      <c r="Y68" s="635"/>
      <c r="Z68" s="635"/>
      <c r="AA68" s="635"/>
      <c r="AB68" s="635"/>
      <c r="AC68" s="635"/>
      <c r="AD68" s="635"/>
      <c r="AE68" s="636"/>
      <c r="AF68" s="636"/>
      <c r="AG68" s="636"/>
      <c r="AH68" s="636"/>
      <c r="AI68" s="636"/>
      <c r="AJ68" s="636"/>
      <c r="AK68" s="636"/>
      <c r="AL68" s="636"/>
    </row>
    <row r="69" spans="1:38" x14ac:dyDescent="0.25">
      <c r="A69" s="634">
        <v>30400</v>
      </c>
      <c r="B69" s="632" t="s">
        <v>1265</v>
      </c>
      <c r="C69" s="656">
        <v>1.072E-3</v>
      </c>
      <c r="D69" s="656">
        <v>1.08E-3</v>
      </c>
      <c r="E69" s="661">
        <v>1077886</v>
      </c>
      <c r="F69" s="632">
        <v>46640606</v>
      </c>
      <c r="G69" s="633">
        <v>35396207</v>
      </c>
      <c r="H69" s="633">
        <v>0</v>
      </c>
      <c r="I69" s="633">
        <v>0</v>
      </c>
      <c r="J69" s="633">
        <v>0</v>
      </c>
      <c r="K69" s="633">
        <v>314735</v>
      </c>
      <c r="L69" s="633">
        <f t="shared" si="0"/>
        <v>314735</v>
      </c>
      <c r="M69" s="633"/>
      <c r="N69" s="633">
        <v>2537973</v>
      </c>
      <c r="O69" s="633">
        <v>13155</v>
      </c>
      <c r="P69" s="633">
        <v>9747954</v>
      </c>
      <c r="Q69" s="633">
        <v>0</v>
      </c>
      <c r="R69" s="633">
        <f t="shared" si="1"/>
        <v>12299082</v>
      </c>
      <c r="S69" s="633"/>
      <c r="T69" s="633">
        <f t="shared" si="2"/>
        <v>1754887</v>
      </c>
      <c r="U69" s="633">
        <v>62947</v>
      </c>
      <c r="V69" s="633">
        <v>1817834</v>
      </c>
      <c r="W69" s="635"/>
      <c r="X69" s="635"/>
      <c r="Y69" s="635"/>
      <c r="Z69" s="635"/>
      <c r="AA69" s="635"/>
      <c r="AB69" s="635"/>
      <c r="AC69" s="635"/>
      <c r="AD69" s="635"/>
      <c r="AE69" s="636"/>
      <c r="AF69" s="636"/>
      <c r="AG69" s="636"/>
      <c r="AH69" s="636"/>
      <c r="AI69" s="636"/>
      <c r="AJ69" s="636"/>
      <c r="AK69" s="636"/>
      <c r="AL69" s="636"/>
    </row>
    <row r="70" spans="1:38" x14ac:dyDescent="0.25">
      <c r="A70" s="634">
        <v>30405</v>
      </c>
      <c r="B70" s="632" t="s">
        <v>1266</v>
      </c>
      <c r="C70" s="656">
        <v>7.4399999999999998E-4</v>
      </c>
      <c r="D70" s="656">
        <v>6.9300000000000004E-4</v>
      </c>
      <c r="E70" s="661">
        <v>674737</v>
      </c>
      <c r="F70" s="632">
        <v>32358660</v>
      </c>
      <c r="G70" s="633">
        <v>22715152</v>
      </c>
      <c r="H70" s="633">
        <v>0</v>
      </c>
      <c r="I70" s="633">
        <v>0</v>
      </c>
      <c r="J70" s="633">
        <v>0</v>
      </c>
      <c r="K70" s="633">
        <v>0</v>
      </c>
      <c r="L70" s="633">
        <f t="shared" si="0"/>
        <v>0</v>
      </c>
      <c r="M70" s="633"/>
      <c r="N70" s="633">
        <v>1628718</v>
      </c>
      <c r="O70" s="633">
        <v>8442</v>
      </c>
      <c r="P70" s="633">
        <v>6255649</v>
      </c>
      <c r="Q70" s="633">
        <v>1835120</v>
      </c>
      <c r="R70" s="633">
        <f t="shared" si="1"/>
        <v>9727929</v>
      </c>
      <c r="S70" s="633"/>
      <c r="T70" s="633">
        <f t="shared" si="2"/>
        <v>1126181</v>
      </c>
      <c r="U70" s="633">
        <v>-367022</v>
      </c>
      <c r="V70" s="633">
        <v>759159</v>
      </c>
      <c r="W70" s="635"/>
      <c r="X70" s="635"/>
      <c r="Y70" s="635"/>
      <c r="Z70" s="635"/>
      <c r="AA70" s="635"/>
      <c r="AB70" s="635"/>
      <c r="AC70" s="635"/>
      <c r="AD70" s="635"/>
      <c r="AE70" s="636"/>
      <c r="AF70" s="636"/>
      <c r="AG70" s="636"/>
      <c r="AH70" s="636"/>
      <c r="AI70" s="636"/>
      <c r="AJ70" s="636"/>
      <c r="AK70" s="636"/>
      <c r="AL70" s="636"/>
    </row>
    <row r="71" spans="1:38" x14ac:dyDescent="0.25">
      <c r="A71" s="634">
        <v>30500</v>
      </c>
      <c r="B71" s="632" t="s">
        <v>1267</v>
      </c>
      <c r="C71" s="656">
        <v>1.1299999999999999E-3</v>
      </c>
      <c r="D71" s="656">
        <v>1.1609999999999999E-3</v>
      </c>
      <c r="E71" s="661">
        <v>1059216</v>
      </c>
      <c r="F71" s="632">
        <v>49174198</v>
      </c>
      <c r="G71" s="633">
        <v>38072097</v>
      </c>
      <c r="H71" s="633">
        <v>0</v>
      </c>
      <c r="I71" s="633">
        <v>0</v>
      </c>
      <c r="J71" s="633">
        <v>0</v>
      </c>
      <c r="K71" s="633">
        <v>1082030</v>
      </c>
      <c r="L71" s="633">
        <f t="shared" si="0"/>
        <v>1082030</v>
      </c>
      <c r="M71" s="633"/>
      <c r="N71" s="633">
        <v>2729839</v>
      </c>
      <c r="O71" s="633">
        <v>14149</v>
      </c>
      <c r="P71" s="633">
        <v>10484882</v>
      </c>
      <c r="Q71" s="633">
        <v>0</v>
      </c>
      <c r="R71" s="633">
        <f t="shared" si="1"/>
        <v>13228870</v>
      </c>
      <c r="S71" s="633"/>
      <c r="T71" s="633">
        <f t="shared" si="2"/>
        <v>1887553</v>
      </c>
      <c r="U71" s="633">
        <v>216401</v>
      </c>
      <c r="V71" s="633">
        <v>2103954</v>
      </c>
      <c r="W71" s="635"/>
      <c r="X71" s="635"/>
      <c r="Y71" s="635"/>
      <c r="Z71" s="635"/>
      <c r="AA71" s="635"/>
      <c r="AB71" s="635"/>
      <c r="AC71" s="635"/>
      <c r="AD71" s="635"/>
      <c r="AE71" s="636"/>
      <c r="AF71" s="636"/>
      <c r="AG71" s="636"/>
      <c r="AH71" s="636"/>
      <c r="AI71" s="636"/>
      <c r="AJ71" s="636"/>
      <c r="AK71" s="636"/>
      <c r="AL71" s="636"/>
    </row>
    <row r="72" spans="1:38" x14ac:dyDescent="0.25">
      <c r="A72" s="634">
        <v>30600</v>
      </c>
      <c r="B72" s="632" t="s">
        <v>1268</v>
      </c>
      <c r="C72" s="656">
        <v>8.8099999999999995E-4</v>
      </c>
      <c r="D72" s="656">
        <v>9.0499999999999999E-4</v>
      </c>
      <c r="E72" s="661">
        <v>828995</v>
      </c>
      <c r="F72" s="632">
        <v>38311527</v>
      </c>
      <c r="G72" s="633">
        <v>29656746</v>
      </c>
      <c r="H72" s="633">
        <v>0</v>
      </c>
      <c r="I72" s="633">
        <v>0</v>
      </c>
      <c r="J72" s="633">
        <v>0</v>
      </c>
      <c r="K72" s="633">
        <v>840565</v>
      </c>
      <c r="L72" s="633">
        <f t="shared" ref="L72:L135" si="3">SUM(H72:K72)</f>
        <v>840565</v>
      </c>
      <c r="M72" s="633"/>
      <c r="N72" s="633">
        <v>2126443</v>
      </c>
      <c r="O72" s="633">
        <v>11022</v>
      </c>
      <c r="P72" s="633">
        <v>8167332</v>
      </c>
      <c r="Q72" s="633">
        <v>0</v>
      </c>
      <c r="R72" s="633">
        <f t="shared" ref="R72:R135" si="4">SUM(N72:Q72)</f>
        <v>10304797</v>
      </c>
      <c r="S72" s="633"/>
      <c r="T72" s="633">
        <f t="shared" ref="T72:T135" si="5">V72-U72</f>
        <v>1470334</v>
      </c>
      <c r="U72" s="633">
        <v>168112</v>
      </c>
      <c r="V72" s="633">
        <v>1638446</v>
      </c>
      <c r="W72" s="635"/>
      <c r="X72" s="635"/>
      <c r="Y72" s="635"/>
      <c r="Z72" s="635"/>
      <c r="AA72" s="635"/>
      <c r="AB72" s="635"/>
      <c r="AC72" s="635"/>
      <c r="AD72" s="635"/>
      <c r="AE72" s="636"/>
      <c r="AF72" s="636"/>
      <c r="AG72" s="636"/>
      <c r="AH72" s="636"/>
      <c r="AI72" s="636"/>
      <c r="AJ72" s="636"/>
      <c r="AK72" s="636"/>
      <c r="AL72" s="636"/>
    </row>
    <row r="73" spans="1:38" x14ac:dyDescent="0.25">
      <c r="A73" s="634">
        <v>30601</v>
      </c>
      <c r="B73" s="632" t="s">
        <v>1269</v>
      </c>
      <c r="C73" s="656">
        <v>2.1999999999999999E-5</v>
      </c>
      <c r="D73" s="656">
        <v>1.8E-5</v>
      </c>
      <c r="E73" s="661">
        <v>17785</v>
      </c>
      <c r="F73" s="632">
        <v>960125</v>
      </c>
      <c r="G73" s="633">
        <v>598900</v>
      </c>
      <c r="H73" s="633">
        <v>0</v>
      </c>
      <c r="I73" s="633">
        <v>0</v>
      </c>
      <c r="J73" s="633">
        <v>0</v>
      </c>
      <c r="K73" s="633">
        <v>0</v>
      </c>
      <c r="L73" s="633">
        <f t="shared" si="3"/>
        <v>0</v>
      </c>
      <c r="M73" s="633"/>
      <c r="N73" s="633">
        <v>42942</v>
      </c>
      <c r="O73" s="633">
        <v>223</v>
      </c>
      <c r="P73" s="633">
        <v>164934</v>
      </c>
      <c r="Q73" s="633">
        <v>137530</v>
      </c>
      <c r="R73" s="633">
        <f t="shared" si="4"/>
        <v>345629</v>
      </c>
      <c r="S73" s="633"/>
      <c r="T73" s="633">
        <f t="shared" si="5"/>
        <v>29692</v>
      </c>
      <c r="U73" s="633">
        <v>-27503</v>
      </c>
      <c r="V73" s="633">
        <v>2189</v>
      </c>
      <c r="W73" s="635"/>
      <c r="X73" s="635"/>
      <c r="Y73" s="635"/>
      <c r="Z73" s="635"/>
      <c r="AA73" s="635"/>
      <c r="AB73" s="635"/>
      <c r="AC73" s="635"/>
      <c r="AD73" s="635"/>
      <c r="AE73" s="636"/>
      <c r="AF73" s="636"/>
      <c r="AG73" s="636"/>
      <c r="AH73" s="636"/>
      <c r="AI73" s="636"/>
      <c r="AJ73" s="636"/>
      <c r="AK73" s="636"/>
      <c r="AL73" s="636"/>
    </row>
    <row r="74" spans="1:38" hidden="1" x14ac:dyDescent="0.25">
      <c r="A74" s="634">
        <v>30700</v>
      </c>
      <c r="B74" s="632" t="s">
        <v>1270</v>
      </c>
      <c r="C74" s="656">
        <v>2.2550000000000001E-3</v>
      </c>
      <c r="D74" s="656">
        <v>2.3219999999999998E-3</v>
      </c>
      <c r="E74" s="661">
        <v>2150295</v>
      </c>
      <c r="F74" s="632">
        <v>98112662</v>
      </c>
      <c r="G74" s="633">
        <v>76141522</v>
      </c>
      <c r="H74" s="633">
        <v>0</v>
      </c>
      <c r="I74" s="633">
        <v>0</v>
      </c>
      <c r="J74" s="633">
        <v>0</v>
      </c>
      <c r="K74" s="633">
        <v>2384160</v>
      </c>
      <c r="L74" s="633">
        <f t="shared" si="3"/>
        <v>2384160</v>
      </c>
      <c r="M74" s="633"/>
      <c r="N74" s="633">
        <v>5459487</v>
      </c>
      <c r="O74" s="633">
        <v>28297</v>
      </c>
      <c r="P74" s="633">
        <v>20969028</v>
      </c>
      <c r="Q74" s="633">
        <v>0</v>
      </c>
      <c r="R74" s="633">
        <f t="shared" si="4"/>
        <v>26456812</v>
      </c>
      <c r="S74" s="633"/>
      <c r="T74" s="633">
        <f t="shared" si="5"/>
        <v>3774974</v>
      </c>
      <c r="U74" s="633">
        <v>476833</v>
      </c>
      <c r="V74" s="633">
        <v>4251807</v>
      </c>
      <c r="W74" s="635"/>
      <c r="X74" s="635"/>
      <c r="Y74" s="635"/>
      <c r="Z74" s="635"/>
      <c r="AA74" s="635"/>
      <c r="AB74" s="635"/>
      <c r="AC74" s="635"/>
      <c r="AD74" s="635"/>
      <c r="AE74" s="636"/>
      <c r="AF74" s="636"/>
      <c r="AG74" s="636"/>
      <c r="AH74" s="636"/>
      <c r="AI74" s="636"/>
      <c r="AJ74" s="636"/>
      <c r="AK74" s="636"/>
      <c r="AL74" s="636"/>
    </row>
    <row r="75" spans="1:38" hidden="1" x14ac:dyDescent="0.25">
      <c r="A75" s="634">
        <v>30705</v>
      </c>
      <c r="B75" s="632" t="s">
        <v>1271</v>
      </c>
      <c r="C75" s="656">
        <v>4.4799999999999999E-4</v>
      </c>
      <c r="D75" s="656">
        <v>4.1100000000000002E-4</v>
      </c>
      <c r="E75" s="661">
        <v>421344</v>
      </c>
      <c r="F75" s="632">
        <v>19502706</v>
      </c>
      <c r="G75" s="633">
        <v>13460453</v>
      </c>
      <c r="H75" s="633">
        <v>0</v>
      </c>
      <c r="I75" s="633">
        <v>0</v>
      </c>
      <c r="J75" s="633">
        <v>0</v>
      </c>
      <c r="K75" s="633">
        <v>0</v>
      </c>
      <c r="L75" s="633">
        <f t="shared" si="3"/>
        <v>0</v>
      </c>
      <c r="M75" s="633"/>
      <c r="N75" s="633">
        <v>965139</v>
      </c>
      <c r="O75" s="633">
        <v>5002</v>
      </c>
      <c r="P75" s="633">
        <v>3706947</v>
      </c>
      <c r="Q75" s="633">
        <v>1342640</v>
      </c>
      <c r="R75" s="633">
        <f t="shared" si="4"/>
        <v>6019728</v>
      </c>
      <c r="S75" s="633"/>
      <c r="T75" s="633">
        <f t="shared" si="5"/>
        <v>667348</v>
      </c>
      <c r="U75" s="633">
        <v>-268528</v>
      </c>
      <c r="V75" s="633">
        <v>398820</v>
      </c>
      <c r="W75" s="635"/>
      <c r="X75" s="635"/>
      <c r="Y75" s="635"/>
      <c r="Z75" s="635"/>
      <c r="AA75" s="635"/>
      <c r="AB75" s="635"/>
      <c r="AC75" s="635"/>
      <c r="AD75" s="635"/>
      <c r="AE75" s="636"/>
      <c r="AF75" s="636"/>
      <c r="AG75" s="636"/>
      <c r="AH75" s="636"/>
      <c r="AI75" s="636"/>
      <c r="AJ75" s="636"/>
      <c r="AK75" s="636"/>
      <c r="AL75" s="636"/>
    </row>
    <row r="76" spans="1:38" hidden="1" x14ac:dyDescent="0.25">
      <c r="A76" s="634">
        <v>30800</v>
      </c>
      <c r="B76" s="632" t="s">
        <v>1272</v>
      </c>
      <c r="C76" s="656">
        <v>8.7600000000000004E-4</v>
      </c>
      <c r="D76" s="656">
        <v>8.5599999999999999E-4</v>
      </c>
      <c r="E76" s="661">
        <v>831610</v>
      </c>
      <c r="F76" s="632">
        <v>38128055</v>
      </c>
      <c r="G76" s="633">
        <v>28066714</v>
      </c>
      <c r="H76" s="633">
        <v>0</v>
      </c>
      <c r="I76" s="633">
        <v>0</v>
      </c>
      <c r="J76" s="633">
        <v>0</v>
      </c>
      <c r="K76" s="633">
        <v>0</v>
      </c>
      <c r="L76" s="633">
        <f t="shared" si="3"/>
        <v>0</v>
      </c>
      <c r="M76" s="633"/>
      <c r="N76" s="633">
        <v>2012435</v>
      </c>
      <c r="O76" s="633">
        <v>10431</v>
      </c>
      <c r="P76" s="633">
        <v>7729445</v>
      </c>
      <c r="Q76" s="633">
        <v>724100</v>
      </c>
      <c r="R76" s="633">
        <f t="shared" si="4"/>
        <v>10476411</v>
      </c>
      <c r="S76" s="633"/>
      <c r="T76" s="633">
        <f t="shared" si="5"/>
        <v>1391503</v>
      </c>
      <c r="U76" s="633">
        <v>-144823</v>
      </c>
      <c r="V76" s="633">
        <v>1246680</v>
      </c>
      <c r="W76" s="635"/>
      <c r="X76" s="635"/>
      <c r="Y76" s="635"/>
      <c r="Z76" s="635"/>
      <c r="AA76" s="635"/>
      <c r="AB76" s="635"/>
      <c r="AC76" s="635"/>
      <c r="AD76" s="635"/>
      <c r="AE76" s="636"/>
      <c r="AF76" s="636"/>
      <c r="AG76" s="636"/>
      <c r="AH76" s="636"/>
      <c r="AI76" s="636"/>
      <c r="AJ76" s="636"/>
      <c r="AK76" s="636"/>
      <c r="AL76" s="636"/>
    </row>
    <row r="77" spans="1:38" hidden="1" x14ac:dyDescent="0.25">
      <c r="A77" s="634">
        <v>30900</v>
      </c>
      <c r="B77" s="632" t="s">
        <v>1273</v>
      </c>
      <c r="C77" s="656">
        <v>1.4630000000000001E-3</v>
      </c>
      <c r="D77" s="656">
        <v>1.4469999999999999E-3</v>
      </c>
      <c r="E77" s="661">
        <v>1466863</v>
      </c>
      <c r="F77" s="632">
        <v>63649160</v>
      </c>
      <c r="G77" s="633">
        <v>47452186</v>
      </c>
      <c r="H77" s="633">
        <v>0</v>
      </c>
      <c r="I77" s="633">
        <v>0</v>
      </c>
      <c r="J77" s="633">
        <v>0</v>
      </c>
      <c r="K77" s="633">
        <v>0</v>
      </c>
      <c r="L77" s="633">
        <f t="shared" si="3"/>
        <v>0</v>
      </c>
      <c r="M77" s="633"/>
      <c r="N77" s="633">
        <v>3402409</v>
      </c>
      <c r="O77" s="633">
        <v>17635</v>
      </c>
      <c r="P77" s="633">
        <v>13068115</v>
      </c>
      <c r="Q77" s="633">
        <v>495465</v>
      </c>
      <c r="R77" s="633">
        <f t="shared" si="4"/>
        <v>16983624</v>
      </c>
      <c r="S77" s="633"/>
      <c r="T77" s="633">
        <f t="shared" si="5"/>
        <v>2352603</v>
      </c>
      <c r="U77" s="633">
        <v>-99090</v>
      </c>
      <c r="V77" s="633">
        <v>2253513</v>
      </c>
      <c r="W77" s="635"/>
      <c r="X77" s="635"/>
      <c r="Y77" s="635"/>
      <c r="Z77" s="635"/>
      <c r="AA77" s="635"/>
      <c r="AB77" s="635"/>
      <c r="AC77" s="635"/>
      <c r="AD77" s="635"/>
      <c r="AE77" s="636"/>
      <c r="AF77" s="636"/>
      <c r="AG77" s="636"/>
      <c r="AH77" s="636"/>
      <c r="AI77" s="636"/>
      <c r="AJ77" s="636"/>
      <c r="AK77" s="636"/>
      <c r="AL77" s="636"/>
    </row>
    <row r="78" spans="1:38" hidden="1" x14ac:dyDescent="0.25">
      <c r="A78" s="634">
        <v>30905</v>
      </c>
      <c r="B78" s="632" t="s">
        <v>1274</v>
      </c>
      <c r="C78" s="656">
        <v>3.0299999999999999E-4</v>
      </c>
      <c r="D78" s="656">
        <v>2.5900000000000001E-4</v>
      </c>
      <c r="E78" s="661">
        <v>343909</v>
      </c>
      <c r="F78" s="632">
        <v>13175731</v>
      </c>
      <c r="G78" s="633">
        <v>8493812</v>
      </c>
      <c r="H78" s="633">
        <v>0</v>
      </c>
      <c r="I78" s="633">
        <v>0</v>
      </c>
      <c r="J78" s="633">
        <v>0</v>
      </c>
      <c r="K78" s="633">
        <v>0</v>
      </c>
      <c r="L78" s="633">
        <f t="shared" si="3"/>
        <v>0</v>
      </c>
      <c r="M78" s="633"/>
      <c r="N78" s="633">
        <v>609022</v>
      </c>
      <c r="O78" s="633">
        <v>3157</v>
      </c>
      <c r="P78" s="633">
        <v>2339157</v>
      </c>
      <c r="Q78" s="633">
        <v>1506485</v>
      </c>
      <c r="R78" s="633">
        <f t="shared" si="4"/>
        <v>4457821</v>
      </c>
      <c r="S78" s="633"/>
      <c r="T78" s="633">
        <f t="shared" si="5"/>
        <v>421110</v>
      </c>
      <c r="U78" s="633">
        <v>-301299</v>
      </c>
      <c r="V78" s="633">
        <v>119811</v>
      </c>
      <c r="W78" s="635"/>
      <c r="X78" s="635"/>
      <c r="Y78" s="635"/>
      <c r="Z78" s="635"/>
      <c r="AA78" s="635"/>
      <c r="AB78" s="635"/>
      <c r="AC78" s="635"/>
      <c r="AD78" s="635"/>
      <c r="AE78" s="636"/>
      <c r="AF78" s="636"/>
      <c r="AG78" s="636"/>
      <c r="AH78" s="636"/>
      <c r="AI78" s="636"/>
      <c r="AJ78" s="636"/>
      <c r="AK78" s="636"/>
      <c r="AL78" s="636"/>
    </row>
    <row r="79" spans="1:38" hidden="1" x14ac:dyDescent="0.25">
      <c r="A79" s="634">
        <v>31000</v>
      </c>
      <c r="B79" s="632" t="s">
        <v>1275</v>
      </c>
      <c r="C79" s="656">
        <v>4.1679999999999998E-3</v>
      </c>
      <c r="D79" s="656">
        <v>4.3600000000000002E-3</v>
      </c>
      <c r="E79" s="661">
        <v>4009249</v>
      </c>
      <c r="F79" s="632">
        <v>181307691</v>
      </c>
      <c r="G79" s="633">
        <v>142961627</v>
      </c>
      <c r="H79" s="633">
        <v>0</v>
      </c>
      <c r="I79" s="633">
        <v>0</v>
      </c>
      <c r="J79" s="633">
        <v>0</v>
      </c>
      <c r="K79" s="633">
        <v>6875085</v>
      </c>
      <c r="L79" s="633">
        <f t="shared" si="3"/>
        <v>6875085</v>
      </c>
      <c r="M79" s="633"/>
      <c r="N79" s="633">
        <v>10250612</v>
      </c>
      <c r="O79" s="633">
        <v>53131</v>
      </c>
      <c r="P79" s="633">
        <v>39370979</v>
      </c>
      <c r="Q79" s="633">
        <v>0</v>
      </c>
      <c r="R79" s="633">
        <f t="shared" si="4"/>
        <v>49674722</v>
      </c>
      <c r="S79" s="633"/>
      <c r="T79" s="633">
        <f t="shared" si="5"/>
        <v>7087808</v>
      </c>
      <c r="U79" s="633">
        <v>1375015</v>
      </c>
      <c r="V79" s="633">
        <v>8462823</v>
      </c>
      <c r="W79" s="635"/>
      <c r="X79" s="635"/>
      <c r="Y79" s="635"/>
      <c r="Z79" s="635"/>
      <c r="AA79" s="635"/>
      <c r="AB79" s="635"/>
      <c r="AC79" s="635"/>
      <c r="AD79" s="635"/>
      <c r="AE79" s="636"/>
      <c r="AF79" s="636"/>
      <c r="AG79" s="636"/>
      <c r="AH79" s="636"/>
      <c r="AI79" s="636"/>
      <c r="AJ79" s="636"/>
      <c r="AK79" s="636"/>
      <c r="AL79" s="636"/>
    </row>
    <row r="80" spans="1:38" hidden="1" x14ac:dyDescent="0.25">
      <c r="A80" s="634">
        <v>31005</v>
      </c>
      <c r="B80" s="632" t="s">
        <v>1276</v>
      </c>
      <c r="C80" s="656">
        <v>4.1399999999999998E-4</v>
      </c>
      <c r="D80" s="656">
        <v>3.86E-4</v>
      </c>
      <c r="E80" s="661">
        <v>438899</v>
      </c>
      <c r="F80" s="632">
        <v>18009221</v>
      </c>
      <c r="G80" s="633">
        <v>12665084</v>
      </c>
      <c r="H80" s="633">
        <v>0</v>
      </c>
      <c r="I80" s="633">
        <v>0</v>
      </c>
      <c r="J80" s="633">
        <v>0</v>
      </c>
      <c r="K80" s="633">
        <v>0</v>
      </c>
      <c r="L80" s="633">
        <f t="shared" si="3"/>
        <v>0</v>
      </c>
      <c r="M80" s="633"/>
      <c r="N80" s="633">
        <v>908110</v>
      </c>
      <c r="O80" s="633">
        <v>4707</v>
      </c>
      <c r="P80" s="633">
        <v>3487906</v>
      </c>
      <c r="Q80" s="633">
        <v>943690</v>
      </c>
      <c r="R80" s="633">
        <f t="shared" si="4"/>
        <v>5344413</v>
      </c>
      <c r="S80" s="633"/>
      <c r="T80" s="633">
        <f t="shared" si="5"/>
        <v>627915</v>
      </c>
      <c r="U80" s="633">
        <v>-188740</v>
      </c>
      <c r="V80" s="633">
        <v>439175</v>
      </c>
      <c r="W80" s="635"/>
      <c r="X80" s="635"/>
      <c r="Y80" s="635"/>
      <c r="Z80" s="635"/>
      <c r="AA80" s="635"/>
      <c r="AB80" s="635"/>
      <c r="AC80" s="635"/>
      <c r="AD80" s="635"/>
      <c r="AE80" s="636"/>
      <c r="AF80" s="636"/>
      <c r="AG80" s="636"/>
      <c r="AH80" s="636"/>
      <c r="AI80" s="636"/>
      <c r="AJ80" s="636"/>
      <c r="AK80" s="636"/>
      <c r="AL80" s="636"/>
    </row>
    <row r="81" spans="1:38" hidden="1" x14ac:dyDescent="0.25">
      <c r="A81" s="634">
        <v>31100</v>
      </c>
      <c r="B81" s="632" t="s">
        <v>1277</v>
      </c>
      <c r="C81" s="656">
        <v>8.6999999999999994E-3</v>
      </c>
      <c r="D81" s="656">
        <v>9.0340000000000004E-3</v>
      </c>
      <c r="E81" s="661">
        <v>8024306</v>
      </c>
      <c r="F81" s="632">
        <v>378480708</v>
      </c>
      <c r="G81" s="633">
        <v>296205576</v>
      </c>
      <c r="H81" s="633">
        <v>0</v>
      </c>
      <c r="I81" s="633">
        <v>0</v>
      </c>
      <c r="J81" s="633">
        <v>0</v>
      </c>
      <c r="K81" s="633">
        <v>11655005</v>
      </c>
      <c r="L81" s="633">
        <f t="shared" si="3"/>
        <v>11655005</v>
      </c>
      <c r="M81" s="633"/>
      <c r="N81" s="633">
        <v>21238485</v>
      </c>
      <c r="O81" s="633">
        <v>110083</v>
      </c>
      <c r="P81" s="633">
        <v>81573663</v>
      </c>
      <c r="Q81" s="633">
        <v>0</v>
      </c>
      <c r="R81" s="633">
        <f t="shared" si="4"/>
        <v>102922231</v>
      </c>
      <c r="S81" s="633"/>
      <c r="T81" s="633">
        <f t="shared" si="5"/>
        <v>14685397</v>
      </c>
      <c r="U81" s="633">
        <v>2331002</v>
      </c>
      <c r="V81" s="633">
        <v>17016399</v>
      </c>
      <c r="W81" s="635"/>
      <c r="X81" s="635"/>
      <c r="Y81" s="635"/>
      <c r="Z81" s="635"/>
      <c r="AA81" s="635"/>
      <c r="AB81" s="635"/>
      <c r="AC81" s="635"/>
      <c r="AD81" s="635"/>
      <c r="AE81" s="636"/>
      <c r="AF81" s="636"/>
      <c r="AG81" s="636"/>
      <c r="AH81" s="636"/>
      <c r="AI81" s="636"/>
      <c r="AJ81" s="636"/>
      <c r="AK81" s="636"/>
      <c r="AL81" s="636"/>
    </row>
    <row r="82" spans="1:38" hidden="1" x14ac:dyDescent="0.25">
      <c r="A82" s="634">
        <v>31101</v>
      </c>
      <c r="B82" s="632" t="s">
        <v>1278</v>
      </c>
      <c r="C82" s="656">
        <v>5.8999999999999998E-5</v>
      </c>
      <c r="D82" s="656">
        <v>6.2000000000000003E-5</v>
      </c>
      <c r="E82" s="661">
        <v>49397</v>
      </c>
      <c r="F82" s="632">
        <v>2564632</v>
      </c>
      <c r="G82" s="633">
        <v>2027785</v>
      </c>
      <c r="H82" s="633">
        <v>0</v>
      </c>
      <c r="I82" s="633">
        <v>0</v>
      </c>
      <c r="J82" s="633">
        <v>0</v>
      </c>
      <c r="K82" s="633">
        <v>97175</v>
      </c>
      <c r="L82" s="633">
        <f t="shared" si="3"/>
        <v>97175</v>
      </c>
      <c r="M82" s="633"/>
      <c r="N82" s="633">
        <v>145396</v>
      </c>
      <c r="O82" s="633">
        <v>754</v>
      </c>
      <c r="P82" s="633">
        <v>558443</v>
      </c>
      <c r="Q82" s="633">
        <v>0</v>
      </c>
      <c r="R82" s="633">
        <f t="shared" si="4"/>
        <v>704593</v>
      </c>
      <c r="S82" s="633"/>
      <c r="T82" s="633">
        <f t="shared" si="5"/>
        <v>100534</v>
      </c>
      <c r="U82" s="633">
        <v>19433</v>
      </c>
      <c r="V82" s="633">
        <v>119967</v>
      </c>
      <c r="W82" s="635"/>
      <c r="X82" s="635"/>
      <c r="Y82" s="635"/>
      <c r="Z82" s="635"/>
      <c r="AA82" s="635"/>
      <c r="AB82" s="635"/>
      <c r="AC82" s="635"/>
      <c r="AD82" s="635"/>
      <c r="AE82" s="636"/>
      <c r="AF82" s="636"/>
      <c r="AG82" s="636"/>
      <c r="AH82" s="636"/>
      <c r="AI82" s="636"/>
      <c r="AJ82" s="636"/>
      <c r="AK82" s="636"/>
      <c r="AL82" s="636"/>
    </row>
    <row r="83" spans="1:38" hidden="1" x14ac:dyDescent="0.25">
      <c r="A83" s="634">
        <v>31102</v>
      </c>
      <c r="B83" s="632" t="s">
        <v>1279</v>
      </c>
      <c r="C83" s="656">
        <v>1.46E-4</v>
      </c>
      <c r="D83" s="656">
        <v>1.54E-4</v>
      </c>
      <c r="E83" s="661">
        <v>116037</v>
      </c>
      <c r="F83" s="632">
        <v>6362501</v>
      </c>
      <c r="G83" s="633">
        <v>5057412</v>
      </c>
      <c r="H83" s="633">
        <v>0</v>
      </c>
      <c r="I83" s="633">
        <v>0</v>
      </c>
      <c r="J83" s="633">
        <v>0</v>
      </c>
      <c r="K83" s="633">
        <v>264585</v>
      </c>
      <c r="L83" s="633">
        <f t="shared" si="3"/>
        <v>264585</v>
      </c>
      <c r="M83" s="633"/>
      <c r="N83" s="633">
        <v>362626</v>
      </c>
      <c r="O83" s="633">
        <v>1880</v>
      </c>
      <c r="P83" s="633">
        <v>1392788</v>
      </c>
      <c r="Q83" s="633">
        <v>0</v>
      </c>
      <c r="R83" s="633">
        <f t="shared" si="4"/>
        <v>1757294</v>
      </c>
      <c r="S83" s="633"/>
      <c r="T83" s="633">
        <f t="shared" si="5"/>
        <v>250738</v>
      </c>
      <c r="U83" s="633">
        <v>52918</v>
      </c>
      <c r="V83" s="633">
        <v>303656</v>
      </c>
      <c r="W83" s="635"/>
      <c r="X83" s="635"/>
      <c r="Y83" s="635"/>
      <c r="Z83" s="635"/>
      <c r="AA83" s="635"/>
      <c r="AB83" s="635"/>
      <c r="AC83" s="635"/>
      <c r="AD83" s="635"/>
      <c r="AE83" s="636"/>
      <c r="AF83" s="636"/>
      <c r="AG83" s="636"/>
      <c r="AH83" s="636"/>
      <c r="AI83" s="636"/>
      <c r="AJ83" s="636"/>
      <c r="AK83" s="636"/>
      <c r="AL83" s="636"/>
    </row>
    <row r="84" spans="1:38" hidden="1" x14ac:dyDescent="0.25">
      <c r="A84" s="634">
        <v>31105</v>
      </c>
      <c r="B84" s="632" t="s">
        <v>1280</v>
      </c>
      <c r="C84" s="656">
        <v>1.39E-3</v>
      </c>
      <c r="D84" s="656">
        <v>1.2979999999999999E-3</v>
      </c>
      <c r="E84" s="661">
        <v>1372900</v>
      </c>
      <c r="F84" s="632">
        <v>60475912</v>
      </c>
      <c r="G84" s="633">
        <v>42571274</v>
      </c>
      <c r="H84" s="633">
        <v>0</v>
      </c>
      <c r="I84" s="633">
        <v>0</v>
      </c>
      <c r="J84" s="633">
        <v>0</v>
      </c>
      <c r="K84" s="633">
        <v>0</v>
      </c>
      <c r="L84" s="633">
        <f t="shared" si="3"/>
        <v>0</v>
      </c>
      <c r="M84" s="633"/>
      <c r="N84" s="633">
        <v>3052439</v>
      </c>
      <c r="O84" s="633">
        <v>15821</v>
      </c>
      <c r="P84" s="633">
        <v>11723935</v>
      </c>
      <c r="Q84" s="633">
        <v>3208465</v>
      </c>
      <c r="R84" s="633">
        <f t="shared" si="4"/>
        <v>18000660</v>
      </c>
      <c r="S84" s="633"/>
      <c r="T84" s="633">
        <f t="shared" si="5"/>
        <v>2110615</v>
      </c>
      <c r="U84" s="633">
        <v>-641693</v>
      </c>
      <c r="V84" s="633">
        <v>1468922</v>
      </c>
      <c r="W84" s="635"/>
      <c r="X84" s="635"/>
      <c r="Y84" s="635"/>
      <c r="Z84" s="635"/>
      <c r="AA84" s="635"/>
      <c r="AB84" s="635"/>
      <c r="AC84" s="635"/>
      <c r="AD84" s="635"/>
      <c r="AE84" s="636"/>
      <c r="AF84" s="636"/>
      <c r="AG84" s="636"/>
      <c r="AH84" s="636"/>
      <c r="AI84" s="636"/>
      <c r="AJ84" s="636"/>
      <c r="AK84" s="636"/>
      <c r="AL84" s="636"/>
    </row>
    <row r="85" spans="1:38" hidden="1" x14ac:dyDescent="0.25">
      <c r="A85" s="634">
        <v>31110</v>
      </c>
      <c r="B85" s="632" t="s">
        <v>1281</v>
      </c>
      <c r="C85" s="656">
        <v>2.0200000000000001E-3</v>
      </c>
      <c r="D85" s="656">
        <v>2.078E-3</v>
      </c>
      <c r="E85" s="661">
        <v>1764773</v>
      </c>
      <c r="F85" s="632">
        <v>87866274</v>
      </c>
      <c r="G85" s="633">
        <v>68139813</v>
      </c>
      <c r="H85" s="633">
        <v>0</v>
      </c>
      <c r="I85" s="633">
        <v>0</v>
      </c>
      <c r="J85" s="633">
        <v>0</v>
      </c>
      <c r="K85" s="633">
        <v>1947095</v>
      </c>
      <c r="L85" s="633">
        <f t="shared" si="3"/>
        <v>1947095</v>
      </c>
      <c r="M85" s="633"/>
      <c r="N85" s="633">
        <v>4885750</v>
      </c>
      <c r="O85" s="633">
        <v>25324</v>
      </c>
      <c r="P85" s="633">
        <v>18765393</v>
      </c>
      <c r="Q85" s="633">
        <v>0</v>
      </c>
      <c r="R85" s="633">
        <f t="shared" si="4"/>
        <v>23676467</v>
      </c>
      <c r="S85" s="633"/>
      <c r="T85" s="633">
        <f t="shared" si="5"/>
        <v>3378263</v>
      </c>
      <c r="U85" s="633">
        <v>389420</v>
      </c>
      <c r="V85" s="633">
        <v>3767683</v>
      </c>
      <c r="W85" s="635"/>
      <c r="X85" s="635"/>
      <c r="Y85" s="635"/>
      <c r="Z85" s="635"/>
      <c r="AA85" s="635"/>
      <c r="AB85" s="635"/>
      <c r="AC85" s="635"/>
      <c r="AD85" s="635"/>
      <c r="AE85" s="636"/>
      <c r="AF85" s="636"/>
      <c r="AG85" s="636"/>
      <c r="AH85" s="636"/>
      <c r="AI85" s="636"/>
      <c r="AJ85" s="636"/>
      <c r="AK85" s="636"/>
      <c r="AL85" s="636"/>
    </row>
    <row r="86" spans="1:38" hidden="1" x14ac:dyDescent="0.25">
      <c r="A86" s="634">
        <v>31200</v>
      </c>
      <c r="B86" s="632" t="s">
        <v>1282</v>
      </c>
      <c r="C86" s="656">
        <v>4.1130000000000003E-3</v>
      </c>
      <c r="D86" s="656">
        <v>4.0730000000000002E-3</v>
      </c>
      <c r="E86" s="661">
        <v>3656703</v>
      </c>
      <c r="F86" s="632">
        <v>178924914</v>
      </c>
      <c r="G86" s="633">
        <v>133536097</v>
      </c>
      <c r="H86" s="633">
        <v>0</v>
      </c>
      <c r="I86" s="633">
        <v>0</v>
      </c>
      <c r="J86" s="633">
        <v>0</v>
      </c>
      <c r="K86" s="633">
        <v>0</v>
      </c>
      <c r="L86" s="633">
        <f t="shared" si="3"/>
        <v>0</v>
      </c>
      <c r="M86" s="633"/>
      <c r="N86" s="633">
        <v>9574784</v>
      </c>
      <c r="O86" s="633">
        <v>49628</v>
      </c>
      <c r="P86" s="633">
        <v>36775232</v>
      </c>
      <c r="Q86" s="633">
        <v>1627480</v>
      </c>
      <c r="R86" s="633">
        <f t="shared" si="4"/>
        <v>48027124</v>
      </c>
      <c r="S86" s="633"/>
      <c r="T86" s="633">
        <f t="shared" si="5"/>
        <v>6620505</v>
      </c>
      <c r="U86" s="633">
        <v>-325496</v>
      </c>
      <c r="V86" s="633">
        <v>6295009</v>
      </c>
      <c r="W86" s="635"/>
      <c r="X86" s="635"/>
      <c r="Y86" s="635"/>
      <c r="Z86" s="635"/>
      <c r="AA86" s="635"/>
      <c r="AB86" s="635"/>
      <c r="AC86" s="635"/>
      <c r="AD86" s="635"/>
      <c r="AE86" s="636"/>
      <c r="AF86" s="636"/>
      <c r="AG86" s="636"/>
      <c r="AH86" s="636"/>
      <c r="AI86" s="636"/>
      <c r="AJ86" s="636"/>
      <c r="AK86" s="636"/>
      <c r="AL86" s="636"/>
    </row>
    <row r="87" spans="1:38" hidden="1" x14ac:dyDescent="0.25">
      <c r="A87" s="634">
        <v>31205</v>
      </c>
      <c r="B87" s="632" t="s">
        <v>1283</v>
      </c>
      <c r="C87" s="656">
        <v>5.0600000000000005E-4</v>
      </c>
      <c r="D87" s="656">
        <v>4.5199999999999998E-4</v>
      </c>
      <c r="E87" s="661">
        <v>493548</v>
      </c>
      <c r="F87" s="632">
        <v>21998866</v>
      </c>
      <c r="G87" s="633">
        <v>14820156</v>
      </c>
      <c r="H87" s="633">
        <v>0</v>
      </c>
      <c r="I87" s="633">
        <v>0</v>
      </c>
      <c r="J87" s="633">
        <v>0</v>
      </c>
      <c r="K87" s="633">
        <v>0</v>
      </c>
      <c r="L87" s="633">
        <f t="shared" si="3"/>
        <v>0</v>
      </c>
      <c r="M87" s="633"/>
      <c r="N87" s="633">
        <v>1062632</v>
      </c>
      <c r="O87" s="633">
        <v>5508</v>
      </c>
      <c r="P87" s="633">
        <v>4081403</v>
      </c>
      <c r="Q87" s="633">
        <v>1891985</v>
      </c>
      <c r="R87" s="633">
        <f t="shared" si="4"/>
        <v>7041528</v>
      </c>
      <c r="S87" s="633"/>
      <c r="T87" s="633">
        <f t="shared" si="5"/>
        <v>734760</v>
      </c>
      <c r="U87" s="633">
        <v>-378393</v>
      </c>
      <c r="V87" s="633">
        <v>356367</v>
      </c>
      <c r="W87" s="635"/>
      <c r="X87" s="635"/>
      <c r="Y87" s="635"/>
      <c r="Z87" s="635"/>
      <c r="AA87" s="635"/>
      <c r="AB87" s="635"/>
      <c r="AC87" s="635"/>
      <c r="AD87" s="635"/>
      <c r="AE87" s="636"/>
      <c r="AF87" s="636"/>
      <c r="AG87" s="636"/>
      <c r="AH87" s="636"/>
      <c r="AI87" s="636"/>
      <c r="AJ87" s="636"/>
      <c r="AK87" s="636"/>
      <c r="AL87" s="636"/>
    </row>
    <row r="88" spans="1:38" hidden="1" x14ac:dyDescent="0.25">
      <c r="A88" s="634">
        <v>31300</v>
      </c>
      <c r="B88" s="632" t="s">
        <v>1284</v>
      </c>
      <c r="C88" s="656">
        <v>1.0385E-2</v>
      </c>
      <c r="D88" s="656">
        <v>1.1098999999999999E-2</v>
      </c>
      <c r="E88" s="661">
        <v>9173516</v>
      </c>
      <c r="F88" s="632">
        <v>451779490</v>
      </c>
      <c r="G88" s="633">
        <v>363887093</v>
      </c>
      <c r="H88" s="633">
        <v>0</v>
      </c>
      <c r="I88" s="633">
        <v>0</v>
      </c>
      <c r="J88" s="633">
        <v>0</v>
      </c>
      <c r="K88" s="633">
        <v>24733030</v>
      </c>
      <c r="L88" s="633">
        <f t="shared" si="3"/>
        <v>24733030</v>
      </c>
      <c r="M88" s="633"/>
      <c r="N88" s="633">
        <v>26091374</v>
      </c>
      <c r="O88" s="633">
        <v>135236</v>
      </c>
      <c r="P88" s="633">
        <v>100212844</v>
      </c>
      <c r="Q88" s="633">
        <v>0</v>
      </c>
      <c r="R88" s="633">
        <f t="shared" si="4"/>
        <v>126439454</v>
      </c>
      <c r="S88" s="633"/>
      <c r="T88" s="633">
        <f t="shared" si="5"/>
        <v>18040938</v>
      </c>
      <c r="U88" s="633">
        <v>4946604</v>
      </c>
      <c r="V88" s="633">
        <v>22987542</v>
      </c>
      <c r="W88" s="635"/>
      <c r="X88" s="635"/>
      <c r="Y88" s="635"/>
      <c r="Z88" s="635"/>
      <c r="AA88" s="635"/>
      <c r="AB88" s="635"/>
      <c r="AC88" s="635"/>
      <c r="AD88" s="635"/>
      <c r="AE88" s="636"/>
      <c r="AF88" s="636"/>
      <c r="AG88" s="636"/>
      <c r="AH88" s="636"/>
      <c r="AI88" s="636"/>
      <c r="AJ88" s="636"/>
      <c r="AK88" s="636"/>
      <c r="AL88" s="636"/>
    </row>
    <row r="89" spans="1:38" hidden="1" x14ac:dyDescent="0.25">
      <c r="A89" s="634">
        <v>31301</v>
      </c>
      <c r="B89" s="632" t="s">
        <v>1285</v>
      </c>
      <c r="C89" s="656">
        <v>2.0000000000000001E-4</v>
      </c>
      <c r="D89" s="656">
        <v>2.5500000000000002E-4</v>
      </c>
      <c r="E89" s="661">
        <v>200290</v>
      </c>
      <c r="F89" s="632">
        <v>8704026</v>
      </c>
      <c r="G89" s="633">
        <v>8367700</v>
      </c>
      <c r="H89" s="633">
        <v>0</v>
      </c>
      <c r="I89" s="633">
        <v>0</v>
      </c>
      <c r="J89" s="633">
        <v>0</v>
      </c>
      <c r="K89" s="633">
        <v>1963850</v>
      </c>
      <c r="L89" s="633">
        <f t="shared" si="3"/>
        <v>1963850</v>
      </c>
      <c r="M89" s="633"/>
      <c r="N89" s="633">
        <v>599979</v>
      </c>
      <c r="O89" s="633">
        <v>3110</v>
      </c>
      <c r="P89" s="633">
        <v>2304426</v>
      </c>
      <c r="Q89" s="633">
        <v>0</v>
      </c>
      <c r="R89" s="633">
        <f t="shared" si="4"/>
        <v>2907515</v>
      </c>
      <c r="S89" s="633"/>
      <c r="T89" s="633">
        <f t="shared" si="5"/>
        <v>414857</v>
      </c>
      <c r="U89" s="633">
        <v>392773</v>
      </c>
      <c r="V89" s="633">
        <v>807630</v>
      </c>
      <c r="W89" s="635"/>
      <c r="X89" s="635"/>
      <c r="Y89" s="635"/>
      <c r="Z89" s="635"/>
      <c r="AA89" s="635"/>
      <c r="AB89" s="635"/>
      <c r="AC89" s="635"/>
      <c r="AD89" s="635"/>
      <c r="AE89" s="636"/>
      <c r="AF89" s="636"/>
      <c r="AG89" s="636"/>
      <c r="AH89" s="636"/>
      <c r="AI89" s="636"/>
      <c r="AJ89" s="636"/>
      <c r="AK89" s="636"/>
      <c r="AL89" s="636"/>
    </row>
    <row r="90" spans="1:38" hidden="1" x14ac:dyDescent="0.25">
      <c r="A90" s="634">
        <v>31320</v>
      </c>
      <c r="B90" s="632" t="s">
        <v>1286</v>
      </c>
      <c r="C90" s="656">
        <v>1.946E-3</v>
      </c>
      <c r="D90" s="656">
        <v>1.9940000000000001E-3</v>
      </c>
      <c r="E90" s="661">
        <v>1656947</v>
      </c>
      <c r="F90" s="632">
        <v>84658305</v>
      </c>
      <c r="G90" s="633">
        <v>65390133</v>
      </c>
      <c r="H90" s="633">
        <v>0</v>
      </c>
      <c r="I90" s="633">
        <v>0</v>
      </c>
      <c r="J90" s="633">
        <v>0</v>
      </c>
      <c r="K90" s="633">
        <v>1556565</v>
      </c>
      <c r="L90" s="633">
        <f t="shared" si="3"/>
        <v>1556565</v>
      </c>
      <c r="M90" s="633"/>
      <c r="N90" s="633">
        <v>4688593</v>
      </c>
      <c r="O90" s="633">
        <v>24302</v>
      </c>
      <c r="P90" s="633">
        <v>18008144</v>
      </c>
      <c r="Q90" s="633">
        <v>0</v>
      </c>
      <c r="R90" s="633">
        <f t="shared" si="4"/>
        <v>22721039</v>
      </c>
      <c r="S90" s="633"/>
      <c r="T90" s="633">
        <f t="shared" si="5"/>
        <v>3241938</v>
      </c>
      <c r="U90" s="633">
        <v>311312</v>
      </c>
      <c r="V90" s="633">
        <v>3553250</v>
      </c>
      <c r="W90" s="635"/>
      <c r="X90" s="635"/>
      <c r="Y90" s="635"/>
      <c r="Z90" s="635"/>
      <c r="AA90" s="635"/>
      <c r="AB90" s="635"/>
      <c r="AC90" s="635"/>
      <c r="AD90" s="635"/>
      <c r="AE90" s="636"/>
      <c r="AF90" s="636"/>
      <c r="AG90" s="636"/>
      <c r="AH90" s="636"/>
      <c r="AI90" s="636"/>
      <c r="AJ90" s="636"/>
      <c r="AK90" s="636"/>
      <c r="AL90" s="636"/>
    </row>
    <row r="91" spans="1:38" hidden="1" x14ac:dyDescent="0.25">
      <c r="A91" s="634">
        <v>31400</v>
      </c>
      <c r="B91" s="632" t="s">
        <v>1287</v>
      </c>
      <c r="C91" s="656">
        <v>4.058E-3</v>
      </c>
      <c r="D91" s="656">
        <v>4.189E-3</v>
      </c>
      <c r="E91" s="661">
        <v>3809318</v>
      </c>
      <c r="F91" s="632">
        <v>176513543</v>
      </c>
      <c r="G91" s="633">
        <v>137331100</v>
      </c>
      <c r="H91" s="633">
        <v>0</v>
      </c>
      <c r="I91" s="633">
        <v>0</v>
      </c>
      <c r="J91" s="633">
        <v>0</v>
      </c>
      <c r="K91" s="633">
        <v>4613755</v>
      </c>
      <c r="L91" s="633">
        <f t="shared" si="3"/>
        <v>4613755</v>
      </c>
      <c r="M91" s="633"/>
      <c r="N91" s="633">
        <v>9846892</v>
      </c>
      <c r="O91" s="633">
        <v>51038</v>
      </c>
      <c r="P91" s="633">
        <v>37820358</v>
      </c>
      <c r="Q91" s="633">
        <v>0</v>
      </c>
      <c r="R91" s="633">
        <f t="shared" si="4"/>
        <v>47718288</v>
      </c>
      <c r="S91" s="633"/>
      <c r="T91" s="633">
        <f t="shared" si="5"/>
        <v>6808655</v>
      </c>
      <c r="U91" s="633">
        <v>922753</v>
      </c>
      <c r="V91" s="633">
        <v>7731408</v>
      </c>
      <c r="W91" s="635"/>
      <c r="X91" s="635"/>
      <c r="Y91" s="635"/>
      <c r="Z91" s="635"/>
      <c r="AA91" s="635"/>
      <c r="AB91" s="635"/>
      <c r="AC91" s="635"/>
      <c r="AD91" s="635"/>
      <c r="AE91" s="636"/>
      <c r="AF91" s="636"/>
      <c r="AG91" s="636"/>
      <c r="AH91" s="636"/>
      <c r="AI91" s="636"/>
      <c r="AJ91" s="636"/>
      <c r="AK91" s="636"/>
      <c r="AL91" s="636"/>
    </row>
    <row r="92" spans="1:38" hidden="1" x14ac:dyDescent="0.25">
      <c r="A92" s="634">
        <v>31405</v>
      </c>
      <c r="B92" s="632" t="s">
        <v>1288</v>
      </c>
      <c r="C92" s="656">
        <v>8.1700000000000002E-4</v>
      </c>
      <c r="D92" s="656">
        <v>7.7399999999999995E-4</v>
      </c>
      <c r="E92" s="661">
        <v>869886</v>
      </c>
      <c r="F92" s="632">
        <v>35557944</v>
      </c>
      <c r="G92" s="633">
        <v>25366031</v>
      </c>
      <c r="H92" s="633">
        <v>0</v>
      </c>
      <c r="I92" s="633">
        <v>0</v>
      </c>
      <c r="J92" s="633">
        <v>0</v>
      </c>
      <c r="K92" s="633">
        <v>0</v>
      </c>
      <c r="L92" s="633">
        <f t="shared" si="3"/>
        <v>0</v>
      </c>
      <c r="M92" s="633"/>
      <c r="N92" s="633">
        <v>1818791</v>
      </c>
      <c r="O92" s="633">
        <v>9427</v>
      </c>
      <c r="P92" s="633">
        <v>6985689</v>
      </c>
      <c r="Q92" s="633">
        <v>1471435</v>
      </c>
      <c r="R92" s="633">
        <f t="shared" si="4"/>
        <v>10285342</v>
      </c>
      <c r="S92" s="633"/>
      <c r="T92" s="633">
        <f t="shared" si="5"/>
        <v>1257607</v>
      </c>
      <c r="U92" s="633">
        <v>-294291</v>
      </c>
      <c r="V92" s="633">
        <v>963316</v>
      </c>
      <c r="W92" s="635"/>
      <c r="X92" s="635"/>
      <c r="Y92" s="635"/>
      <c r="Z92" s="635"/>
      <c r="AA92" s="635"/>
      <c r="AB92" s="635"/>
      <c r="AC92" s="635"/>
      <c r="AD92" s="635"/>
      <c r="AE92" s="636"/>
      <c r="AF92" s="636"/>
      <c r="AG92" s="636"/>
      <c r="AH92" s="636"/>
      <c r="AI92" s="636"/>
      <c r="AJ92" s="636"/>
      <c r="AK92" s="636"/>
      <c r="AL92" s="636"/>
    </row>
    <row r="93" spans="1:38" hidden="1" x14ac:dyDescent="0.25">
      <c r="A93" s="634">
        <v>31500</v>
      </c>
      <c r="B93" s="632" t="s">
        <v>1289</v>
      </c>
      <c r="C93" s="656">
        <v>6.2699999999999995E-4</v>
      </c>
      <c r="D93" s="656">
        <v>6.3400000000000001E-4</v>
      </c>
      <c r="E93" s="661">
        <v>608075</v>
      </c>
      <c r="F93" s="632">
        <v>27252978</v>
      </c>
      <c r="G93" s="633">
        <v>20784929</v>
      </c>
      <c r="H93" s="633">
        <v>0</v>
      </c>
      <c r="I93" s="633">
        <v>0</v>
      </c>
      <c r="J93" s="633">
        <v>0</v>
      </c>
      <c r="K93" s="633">
        <v>276380</v>
      </c>
      <c r="L93" s="633">
        <f t="shared" si="3"/>
        <v>276380</v>
      </c>
      <c r="M93" s="633"/>
      <c r="N93" s="633">
        <v>1490318</v>
      </c>
      <c r="O93" s="633">
        <v>7725</v>
      </c>
      <c r="P93" s="633">
        <v>5724075</v>
      </c>
      <c r="Q93" s="633">
        <v>0</v>
      </c>
      <c r="R93" s="633">
        <f t="shared" si="4"/>
        <v>7222118</v>
      </c>
      <c r="S93" s="633"/>
      <c r="T93" s="633">
        <f t="shared" si="5"/>
        <v>1030483</v>
      </c>
      <c r="U93" s="633">
        <v>55280</v>
      </c>
      <c r="V93" s="633">
        <v>1085763</v>
      </c>
      <c r="W93" s="635"/>
      <c r="X93" s="635"/>
      <c r="Y93" s="635"/>
      <c r="Z93" s="635"/>
      <c r="AA93" s="635"/>
      <c r="AB93" s="635"/>
      <c r="AC93" s="635"/>
      <c r="AD93" s="635"/>
      <c r="AE93" s="636"/>
      <c r="AF93" s="636"/>
      <c r="AG93" s="636"/>
      <c r="AH93" s="636"/>
      <c r="AI93" s="636"/>
      <c r="AJ93" s="636"/>
      <c r="AK93" s="636"/>
      <c r="AL93" s="636"/>
    </row>
    <row r="94" spans="1:38" hidden="1" x14ac:dyDescent="0.25">
      <c r="A94" s="634">
        <v>31600</v>
      </c>
      <c r="B94" s="632" t="s">
        <v>1290</v>
      </c>
      <c r="C94" s="656">
        <v>2.8960000000000001E-3</v>
      </c>
      <c r="D94" s="656">
        <v>2.9580000000000001E-3</v>
      </c>
      <c r="E94" s="661">
        <v>2693534</v>
      </c>
      <c r="F94" s="632">
        <v>125968422</v>
      </c>
      <c r="G94" s="633">
        <v>96995534</v>
      </c>
      <c r="H94" s="633">
        <v>0</v>
      </c>
      <c r="I94" s="633">
        <v>0</v>
      </c>
      <c r="J94" s="633">
        <v>0</v>
      </c>
      <c r="K94" s="633">
        <v>2178915</v>
      </c>
      <c r="L94" s="633">
        <f t="shared" si="3"/>
        <v>2178915</v>
      </c>
      <c r="M94" s="633"/>
      <c r="N94" s="633">
        <v>6954758</v>
      </c>
      <c r="O94" s="633">
        <v>36048</v>
      </c>
      <c r="P94" s="633">
        <v>26712127</v>
      </c>
      <c r="Q94" s="633">
        <v>0</v>
      </c>
      <c r="R94" s="633">
        <f t="shared" si="4"/>
        <v>33702933</v>
      </c>
      <c r="S94" s="633"/>
      <c r="T94" s="633">
        <f t="shared" si="5"/>
        <v>4808883</v>
      </c>
      <c r="U94" s="633">
        <v>435781</v>
      </c>
      <c r="V94" s="633">
        <v>5244664</v>
      </c>
      <c r="W94" s="635"/>
      <c r="X94" s="635"/>
      <c r="Y94" s="635"/>
      <c r="Z94" s="635"/>
      <c r="AA94" s="635"/>
      <c r="AB94" s="635"/>
      <c r="AC94" s="635"/>
      <c r="AD94" s="635"/>
      <c r="AE94" s="636"/>
      <c r="AF94" s="636"/>
      <c r="AG94" s="636"/>
      <c r="AH94" s="636"/>
      <c r="AI94" s="636"/>
      <c r="AJ94" s="636"/>
      <c r="AK94" s="636"/>
      <c r="AL94" s="636"/>
    </row>
    <row r="95" spans="1:38" hidden="1" x14ac:dyDescent="0.25">
      <c r="A95" s="634">
        <v>31605</v>
      </c>
      <c r="B95" s="632" t="s">
        <v>1291</v>
      </c>
      <c r="C95" s="656">
        <v>3.9899999999999999E-4</v>
      </c>
      <c r="D95" s="656">
        <v>4.0900000000000002E-4</v>
      </c>
      <c r="E95" s="661">
        <v>441394</v>
      </c>
      <c r="F95" s="632">
        <v>17339407</v>
      </c>
      <c r="G95" s="633">
        <v>13399850</v>
      </c>
      <c r="H95" s="633">
        <v>0</v>
      </c>
      <c r="I95" s="633">
        <v>0</v>
      </c>
      <c r="J95" s="633">
        <v>0</v>
      </c>
      <c r="K95" s="633">
        <v>411275</v>
      </c>
      <c r="L95" s="633">
        <f t="shared" si="3"/>
        <v>411275</v>
      </c>
      <c r="M95" s="633"/>
      <c r="N95" s="633">
        <v>960794</v>
      </c>
      <c r="O95" s="633">
        <v>4980</v>
      </c>
      <c r="P95" s="633">
        <v>3690258</v>
      </c>
      <c r="Q95" s="633">
        <v>0</v>
      </c>
      <c r="R95" s="633">
        <f t="shared" si="4"/>
        <v>4656032</v>
      </c>
      <c r="S95" s="633"/>
      <c r="T95" s="633">
        <f t="shared" si="5"/>
        <v>664343</v>
      </c>
      <c r="U95" s="633">
        <v>82251</v>
      </c>
      <c r="V95" s="633">
        <v>746594</v>
      </c>
      <c r="W95" s="635"/>
      <c r="X95" s="635"/>
      <c r="Y95" s="635"/>
      <c r="Z95" s="635"/>
      <c r="AA95" s="635"/>
      <c r="AB95" s="635"/>
      <c r="AC95" s="635"/>
      <c r="AD95" s="635"/>
      <c r="AE95" s="636"/>
      <c r="AF95" s="636"/>
      <c r="AG95" s="636"/>
      <c r="AH95" s="636"/>
      <c r="AI95" s="636"/>
      <c r="AJ95" s="636"/>
      <c r="AK95" s="636"/>
      <c r="AL95" s="636"/>
    </row>
    <row r="96" spans="1:38" hidden="1" x14ac:dyDescent="0.25">
      <c r="A96" s="634">
        <v>31700</v>
      </c>
      <c r="B96" s="632" t="s">
        <v>1292</v>
      </c>
      <c r="C96" s="656">
        <v>8.4000000000000003E-4</v>
      </c>
      <c r="D96" s="656">
        <v>8.8400000000000002E-4</v>
      </c>
      <c r="E96" s="661">
        <v>859836</v>
      </c>
      <c r="F96" s="632">
        <v>36556086</v>
      </c>
      <c r="G96" s="633">
        <v>28983229</v>
      </c>
      <c r="H96" s="633">
        <v>0</v>
      </c>
      <c r="I96" s="633">
        <v>0</v>
      </c>
      <c r="J96" s="633">
        <v>0</v>
      </c>
      <c r="K96" s="633">
        <v>1600670</v>
      </c>
      <c r="L96" s="633">
        <f t="shared" si="3"/>
        <v>1600670</v>
      </c>
      <c r="M96" s="633"/>
      <c r="N96" s="633">
        <v>2078151</v>
      </c>
      <c r="O96" s="633">
        <v>10771</v>
      </c>
      <c r="P96" s="633">
        <v>7981849</v>
      </c>
      <c r="Q96" s="633">
        <v>0</v>
      </c>
      <c r="R96" s="633">
        <f t="shared" si="4"/>
        <v>10070771</v>
      </c>
      <c r="S96" s="633"/>
      <c r="T96" s="633">
        <f t="shared" si="5"/>
        <v>1436942</v>
      </c>
      <c r="U96" s="633">
        <v>320139</v>
      </c>
      <c r="V96" s="633">
        <v>1757081</v>
      </c>
      <c r="W96" s="635"/>
      <c r="X96" s="635"/>
      <c r="Y96" s="635"/>
      <c r="Z96" s="635"/>
      <c r="AA96" s="635"/>
      <c r="AB96" s="635"/>
      <c r="AC96" s="635"/>
      <c r="AD96" s="635"/>
      <c r="AE96" s="636"/>
      <c r="AF96" s="636"/>
      <c r="AG96" s="636"/>
      <c r="AH96" s="636"/>
      <c r="AI96" s="636"/>
      <c r="AJ96" s="636"/>
      <c r="AK96" s="636"/>
      <c r="AL96" s="636"/>
    </row>
    <row r="97" spans="1:38" hidden="1" x14ac:dyDescent="0.25">
      <c r="A97" s="634">
        <v>31800</v>
      </c>
      <c r="B97" s="632" t="s">
        <v>1293</v>
      </c>
      <c r="C97" s="656">
        <v>5.3270000000000001E-3</v>
      </c>
      <c r="D97" s="656">
        <v>5.3670000000000002E-3</v>
      </c>
      <c r="E97" s="661">
        <v>4870736</v>
      </c>
      <c r="F97" s="632">
        <v>231756779</v>
      </c>
      <c r="G97" s="633">
        <v>175976272</v>
      </c>
      <c r="H97" s="633">
        <v>0</v>
      </c>
      <c r="I97" s="633">
        <v>0</v>
      </c>
      <c r="J97" s="633">
        <v>0</v>
      </c>
      <c r="K97" s="633">
        <v>1259915</v>
      </c>
      <c r="L97" s="633">
        <f t="shared" si="3"/>
        <v>1259915</v>
      </c>
      <c r="M97" s="633"/>
      <c r="N97" s="633">
        <v>12617822</v>
      </c>
      <c r="O97" s="633">
        <v>65400</v>
      </c>
      <c r="P97" s="633">
        <v>48463062</v>
      </c>
      <c r="Q97" s="633">
        <v>0</v>
      </c>
      <c r="R97" s="633">
        <f t="shared" si="4"/>
        <v>61146284</v>
      </c>
      <c r="S97" s="633"/>
      <c r="T97" s="633">
        <f t="shared" si="5"/>
        <v>8724621</v>
      </c>
      <c r="U97" s="633">
        <v>251978</v>
      </c>
      <c r="V97" s="633">
        <v>8976599</v>
      </c>
      <c r="W97" s="635"/>
      <c r="X97" s="635"/>
      <c r="Y97" s="635"/>
      <c r="Z97" s="635"/>
      <c r="AA97" s="635"/>
      <c r="AB97" s="635"/>
      <c r="AC97" s="635"/>
      <c r="AD97" s="635"/>
      <c r="AE97" s="636"/>
      <c r="AF97" s="636"/>
      <c r="AG97" s="636"/>
      <c r="AH97" s="636"/>
      <c r="AI97" s="636"/>
      <c r="AJ97" s="636"/>
      <c r="AK97" s="636"/>
      <c r="AL97" s="636"/>
    </row>
    <row r="98" spans="1:38" hidden="1" x14ac:dyDescent="0.25">
      <c r="A98" s="634">
        <v>31805</v>
      </c>
      <c r="B98" s="632" t="s">
        <v>1294</v>
      </c>
      <c r="C98" s="656">
        <v>9.9099999999999991E-4</v>
      </c>
      <c r="D98" s="656">
        <v>9.7300000000000002E-4</v>
      </c>
      <c r="E98" s="661">
        <v>1038616</v>
      </c>
      <c r="F98" s="632">
        <v>43113012</v>
      </c>
      <c r="G98" s="633">
        <v>31904515</v>
      </c>
      <c r="H98" s="633">
        <v>0</v>
      </c>
      <c r="I98" s="633">
        <v>0</v>
      </c>
      <c r="J98" s="633">
        <v>0</v>
      </c>
      <c r="K98" s="633">
        <v>0</v>
      </c>
      <c r="L98" s="633">
        <f t="shared" si="3"/>
        <v>0</v>
      </c>
      <c r="M98" s="633"/>
      <c r="N98" s="633">
        <v>2287612</v>
      </c>
      <c r="O98" s="633">
        <v>11857</v>
      </c>
      <c r="P98" s="633">
        <v>8786358</v>
      </c>
      <c r="Q98" s="633">
        <v>554860</v>
      </c>
      <c r="R98" s="633">
        <f t="shared" si="4"/>
        <v>11640687</v>
      </c>
      <c r="S98" s="633"/>
      <c r="T98" s="633">
        <f t="shared" si="5"/>
        <v>1581775</v>
      </c>
      <c r="U98" s="633">
        <v>-110969</v>
      </c>
      <c r="V98" s="633">
        <v>1470806</v>
      </c>
      <c r="W98" s="635"/>
      <c r="X98" s="635"/>
      <c r="Y98" s="635"/>
      <c r="Z98" s="635"/>
      <c r="AA98" s="635"/>
      <c r="AB98" s="635"/>
      <c r="AC98" s="635"/>
      <c r="AD98" s="635"/>
      <c r="AE98" s="636"/>
      <c r="AF98" s="636"/>
      <c r="AG98" s="636"/>
      <c r="AH98" s="636"/>
      <c r="AI98" s="636"/>
      <c r="AJ98" s="636"/>
      <c r="AK98" s="636"/>
      <c r="AL98" s="636"/>
    </row>
    <row r="99" spans="1:38" hidden="1" x14ac:dyDescent="0.25">
      <c r="A99" s="634">
        <v>31810</v>
      </c>
      <c r="B99" s="632" t="s">
        <v>1295</v>
      </c>
      <c r="C99" s="656">
        <v>1.3240000000000001E-3</v>
      </c>
      <c r="D99" s="656">
        <v>1.3960000000000001E-3</v>
      </c>
      <c r="E99" s="661">
        <v>1236609</v>
      </c>
      <c r="F99" s="632">
        <v>57585964</v>
      </c>
      <c r="G99" s="633">
        <v>45773929</v>
      </c>
      <c r="H99" s="633">
        <v>0</v>
      </c>
      <c r="I99" s="633">
        <v>0</v>
      </c>
      <c r="J99" s="633">
        <v>0</v>
      </c>
      <c r="K99" s="633">
        <v>2550165</v>
      </c>
      <c r="L99" s="633">
        <f t="shared" si="3"/>
        <v>2550165</v>
      </c>
      <c r="M99" s="633"/>
      <c r="N99" s="633">
        <v>3282075</v>
      </c>
      <c r="O99" s="633">
        <v>17012</v>
      </c>
      <c r="P99" s="633">
        <v>12605931</v>
      </c>
      <c r="Q99" s="633">
        <v>0</v>
      </c>
      <c r="R99" s="633">
        <f t="shared" si="4"/>
        <v>15905018</v>
      </c>
      <c r="S99" s="633"/>
      <c r="T99" s="633">
        <f t="shared" si="5"/>
        <v>2269398</v>
      </c>
      <c r="U99" s="633">
        <v>510029</v>
      </c>
      <c r="V99" s="633">
        <v>2779427</v>
      </c>
      <c r="W99" s="635"/>
      <c r="X99" s="635"/>
      <c r="Y99" s="635"/>
      <c r="Z99" s="635"/>
      <c r="AA99" s="635"/>
      <c r="AB99" s="635"/>
      <c r="AC99" s="635"/>
      <c r="AD99" s="635"/>
      <c r="AE99" s="636"/>
      <c r="AF99" s="636"/>
      <c r="AG99" s="636"/>
      <c r="AH99" s="636"/>
      <c r="AI99" s="636"/>
      <c r="AJ99" s="636"/>
      <c r="AK99" s="636"/>
      <c r="AL99" s="636"/>
    </row>
    <row r="100" spans="1:38" hidden="1" x14ac:dyDescent="0.25">
      <c r="A100" s="634">
        <v>31820</v>
      </c>
      <c r="B100" s="632" t="s">
        <v>1296</v>
      </c>
      <c r="C100" s="656">
        <v>1.181E-3</v>
      </c>
      <c r="D100" s="656">
        <v>1.17E-3</v>
      </c>
      <c r="E100" s="661">
        <v>1016206</v>
      </c>
      <c r="F100" s="632">
        <v>51377674</v>
      </c>
      <c r="G100" s="633">
        <v>38366389</v>
      </c>
      <c r="H100" s="633">
        <v>0</v>
      </c>
      <c r="I100" s="633">
        <v>0</v>
      </c>
      <c r="J100" s="633">
        <v>0</v>
      </c>
      <c r="K100" s="633">
        <v>0</v>
      </c>
      <c r="L100" s="633">
        <f t="shared" si="3"/>
        <v>0</v>
      </c>
      <c r="M100" s="633"/>
      <c r="N100" s="633">
        <v>2750941</v>
      </c>
      <c r="O100" s="633">
        <v>14259</v>
      </c>
      <c r="P100" s="633">
        <v>10565928</v>
      </c>
      <c r="Q100" s="633">
        <v>471750</v>
      </c>
      <c r="R100" s="633">
        <f t="shared" si="4"/>
        <v>13802878</v>
      </c>
      <c r="S100" s="633"/>
      <c r="T100" s="633">
        <f t="shared" si="5"/>
        <v>1902144</v>
      </c>
      <c r="U100" s="633">
        <v>-94345</v>
      </c>
      <c r="V100" s="633">
        <v>1807799</v>
      </c>
      <c r="W100" s="635"/>
      <c r="X100" s="635"/>
      <c r="Y100" s="635"/>
      <c r="Z100" s="635"/>
      <c r="AA100" s="635"/>
      <c r="AB100" s="635"/>
      <c r="AC100" s="635"/>
      <c r="AD100" s="635"/>
      <c r="AE100" s="636"/>
      <c r="AF100" s="636"/>
      <c r="AG100" s="636"/>
      <c r="AH100" s="636"/>
      <c r="AI100" s="636"/>
      <c r="AJ100" s="636"/>
      <c r="AK100" s="636"/>
      <c r="AL100" s="636"/>
    </row>
    <row r="101" spans="1:38" hidden="1" x14ac:dyDescent="0.25">
      <c r="A101" s="634">
        <v>31900</v>
      </c>
      <c r="B101" s="632" t="s">
        <v>1297</v>
      </c>
      <c r="C101" s="656">
        <v>3.1099999999999999E-3</v>
      </c>
      <c r="D101" s="656">
        <v>3.2940000000000001E-3</v>
      </c>
      <c r="E101" s="661">
        <v>2898313</v>
      </c>
      <c r="F101" s="632">
        <v>135306096</v>
      </c>
      <c r="G101" s="633">
        <v>108008700</v>
      </c>
      <c r="H101" s="633">
        <v>0</v>
      </c>
      <c r="I101" s="633">
        <v>0</v>
      </c>
      <c r="J101" s="633">
        <v>0</v>
      </c>
      <c r="K101" s="633">
        <v>6479740</v>
      </c>
      <c r="L101" s="633">
        <f t="shared" si="3"/>
        <v>6479740</v>
      </c>
      <c r="M101" s="633"/>
      <c r="N101" s="633">
        <v>7744422</v>
      </c>
      <c r="O101" s="633">
        <v>40141</v>
      </c>
      <c r="P101" s="633">
        <v>29745103</v>
      </c>
      <c r="Q101" s="633">
        <v>0</v>
      </c>
      <c r="R101" s="633">
        <f t="shared" si="4"/>
        <v>37529666</v>
      </c>
      <c r="S101" s="633"/>
      <c r="T101" s="633">
        <f t="shared" si="5"/>
        <v>5354898</v>
      </c>
      <c r="U101" s="633">
        <v>1295944</v>
      </c>
      <c r="V101" s="633">
        <v>6650842</v>
      </c>
      <c r="W101" s="635"/>
      <c r="X101" s="635"/>
      <c r="Y101" s="635"/>
      <c r="Z101" s="635"/>
      <c r="AA101" s="635"/>
      <c r="AB101" s="635"/>
      <c r="AC101" s="635"/>
      <c r="AD101" s="635"/>
      <c r="AE101" s="636"/>
      <c r="AF101" s="636"/>
      <c r="AG101" s="636"/>
      <c r="AH101" s="636"/>
      <c r="AI101" s="636"/>
      <c r="AJ101" s="636"/>
      <c r="AK101" s="636"/>
      <c r="AL101" s="636"/>
    </row>
    <row r="102" spans="1:38" hidden="1" x14ac:dyDescent="0.25">
      <c r="A102" s="634">
        <v>32000</v>
      </c>
      <c r="B102" s="632" t="s">
        <v>1298</v>
      </c>
      <c r="C102" s="656">
        <v>1.25E-3</v>
      </c>
      <c r="D102" s="656">
        <v>1.3209999999999999E-3</v>
      </c>
      <c r="E102" s="661">
        <v>1191512</v>
      </c>
      <c r="F102" s="632">
        <v>54391589</v>
      </c>
      <c r="G102" s="633">
        <v>43299637</v>
      </c>
      <c r="H102" s="633">
        <v>0</v>
      </c>
      <c r="I102" s="633">
        <v>0</v>
      </c>
      <c r="J102" s="633">
        <v>0</v>
      </c>
      <c r="K102" s="633">
        <v>2498425</v>
      </c>
      <c r="L102" s="633">
        <f t="shared" si="3"/>
        <v>2498425</v>
      </c>
      <c r="M102" s="633"/>
      <c r="N102" s="633">
        <v>3104664</v>
      </c>
      <c r="O102" s="633">
        <v>16092</v>
      </c>
      <c r="P102" s="633">
        <v>11924522</v>
      </c>
      <c r="Q102" s="633">
        <v>0</v>
      </c>
      <c r="R102" s="633">
        <f t="shared" si="4"/>
        <v>15045278</v>
      </c>
      <c r="S102" s="633"/>
      <c r="T102" s="633">
        <f t="shared" si="5"/>
        <v>2146726</v>
      </c>
      <c r="U102" s="633">
        <v>499686</v>
      </c>
      <c r="V102" s="633">
        <v>2646412</v>
      </c>
      <c r="W102" s="635"/>
      <c r="X102" s="635"/>
      <c r="Y102" s="635"/>
      <c r="Z102" s="635"/>
      <c r="AA102" s="635"/>
      <c r="AB102" s="635"/>
      <c r="AC102" s="635"/>
      <c r="AD102" s="635"/>
      <c r="AE102" s="636"/>
      <c r="AF102" s="636"/>
      <c r="AG102" s="636"/>
      <c r="AH102" s="636"/>
      <c r="AI102" s="636"/>
      <c r="AJ102" s="636"/>
      <c r="AK102" s="636"/>
      <c r="AL102" s="636"/>
    </row>
    <row r="103" spans="1:38" hidden="1" x14ac:dyDescent="0.25">
      <c r="A103" s="634">
        <v>32005</v>
      </c>
      <c r="B103" s="632" t="s">
        <v>1299</v>
      </c>
      <c r="C103" s="656">
        <v>2.8200000000000002E-4</v>
      </c>
      <c r="D103" s="656">
        <v>2.72E-4</v>
      </c>
      <c r="E103" s="661">
        <v>296826</v>
      </c>
      <c r="F103" s="632">
        <v>12266312</v>
      </c>
      <c r="G103" s="633">
        <v>8916042</v>
      </c>
      <c r="H103" s="633">
        <v>0</v>
      </c>
      <c r="I103" s="633">
        <v>0</v>
      </c>
      <c r="J103" s="633">
        <v>0</v>
      </c>
      <c r="K103" s="633">
        <v>0</v>
      </c>
      <c r="L103" s="633">
        <f t="shared" si="3"/>
        <v>0</v>
      </c>
      <c r="M103" s="633"/>
      <c r="N103" s="633">
        <v>639297</v>
      </c>
      <c r="O103" s="633">
        <v>3314</v>
      </c>
      <c r="P103" s="633">
        <v>2455437</v>
      </c>
      <c r="Q103" s="633">
        <v>331200</v>
      </c>
      <c r="R103" s="633">
        <f t="shared" si="4"/>
        <v>3429248</v>
      </c>
      <c r="S103" s="633"/>
      <c r="T103" s="633">
        <f t="shared" si="5"/>
        <v>442043</v>
      </c>
      <c r="U103" s="633">
        <v>-66240</v>
      </c>
      <c r="V103" s="633">
        <v>375803</v>
      </c>
      <c r="W103" s="635"/>
      <c r="X103" s="635"/>
      <c r="Y103" s="635"/>
      <c r="Z103" s="635"/>
      <c r="AA103" s="635"/>
      <c r="AB103" s="635"/>
      <c r="AC103" s="635"/>
      <c r="AD103" s="635"/>
      <c r="AE103" s="636"/>
      <c r="AF103" s="636"/>
      <c r="AG103" s="636"/>
      <c r="AH103" s="636"/>
      <c r="AI103" s="636"/>
      <c r="AJ103" s="636"/>
      <c r="AK103" s="636"/>
      <c r="AL103" s="636"/>
    </row>
    <row r="104" spans="1:38" hidden="1" x14ac:dyDescent="0.25">
      <c r="A104" s="634">
        <v>32100</v>
      </c>
      <c r="B104" s="632" t="s">
        <v>1300</v>
      </c>
      <c r="C104" s="656">
        <v>7.7999999999999999E-4</v>
      </c>
      <c r="D104" s="656">
        <v>7.5900000000000002E-4</v>
      </c>
      <c r="E104" s="661">
        <v>725085</v>
      </c>
      <c r="F104" s="632">
        <v>33917452</v>
      </c>
      <c r="G104" s="633">
        <v>24876632</v>
      </c>
      <c r="H104" s="633">
        <v>0</v>
      </c>
      <c r="I104" s="633">
        <v>0</v>
      </c>
      <c r="J104" s="633">
        <v>0</v>
      </c>
      <c r="K104" s="633">
        <v>0</v>
      </c>
      <c r="L104" s="633">
        <f t="shared" si="3"/>
        <v>0</v>
      </c>
      <c r="M104" s="633"/>
      <c r="N104" s="633">
        <v>1783700</v>
      </c>
      <c r="O104" s="633">
        <v>9245</v>
      </c>
      <c r="P104" s="633">
        <v>6850911</v>
      </c>
      <c r="Q104" s="633">
        <v>754350</v>
      </c>
      <c r="R104" s="633">
        <f t="shared" si="4"/>
        <v>9398206</v>
      </c>
      <c r="S104" s="633"/>
      <c r="T104" s="633">
        <f t="shared" si="5"/>
        <v>1233343</v>
      </c>
      <c r="U104" s="633">
        <v>-150872</v>
      </c>
      <c r="V104" s="633">
        <v>1082471</v>
      </c>
      <c r="W104" s="635"/>
      <c r="X104" s="635"/>
      <c r="Y104" s="635"/>
      <c r="Z104" s="635"/>
      <c r="AA104" s="635"/>
      <c r="AB104" s="635"/>
      <c r="AC104" s="635"/>
      <c r="AD104" s="635"/>
      <c r="AE104" s="636"/>
      <c r="AF104" s="636"/>
      <c r="AG104" s="636"/>
      <c r="AH104" s="636"/>
      <c r="AI104" s="636"/>
      <c r="AJ104" s="636"/>
      <c r="AK104" s="636"/>
      <c r="AL104" s="636"/>
    </row>
    <row r="105" spans="1:38" hidden="1" x14ac:dyDescent="0.25">
      <c r="A105" s="634">
        <v>32200</v>
      </c>
      <c r="B105" s="632" t="s">
        <v>1301</v>
      </c>
      <c r="C105" s="656">
        <v>4.8000000000000001E-4</v>
      </c>
      <c r="D105" s="656">
        <v>4.8899999999999996E-4</v>
      </c>
      <c r="E105" s="661">
        <v>464194</v>
      </c>
      <c r="F105" s="632">
        <v>20880154</v>
      </c>
      <c r="G105" s="633">
        <v>16039045</v>
      </c>
      <c r="H105" s="633">
        <v>0</v>
      </c>
      <c r="I105" s="633">
        <v>0</v>
      </c>
      <c r="J105" s="633">
        <v>0</v>
      </c>
      <c r="K105" s="633">
        <v>334140</v>
      </c>
      <c r="L105" s="633">
        <f t="shared" si="3"/>
        <v>334140</v>
      </c>
      <c r="M105" s="633"/>
      <c r="N105" s="633">
        <v>1150029</v>
      </c>
      <c r="O105" s="633">
        <v>5961</v>
      </c>
      <c r="P105" s="633">
        <v>4417080</v>
      </c>
      <c r="Q105" s="633">
        <v>0</v>
      </c>
      <c r="R105" s="633">
        <f t="shared" si="4"/>
        <v>5573070</v>
      </c>
      <c r="S105" s="633"/>
      <c r="T105" s="633">
        <f t="shared" si="5"/>
        <v>795190</v>
      </c>
      <c r="U105" s="633">
        <v>66824</v>
      </c>
      <c r="V105" s="633">
        <v>862014</v>
      </c>
      <c r="W105" s="635"/>
      <c r="X105" s="635"/>
      <c r="Y105" s="635"/>
      <c r="Z105" s="635"/>
      <c r="AA105" s="635"/>
      <c r="AB105" s="635"/>
      <c r="AC105" s="635"/>
      <c r="AD105" s="635"/>
      <c r="AE105" s="636"/>
      <c r="AF105" s="636"/>
      <c r="AG105" s="636"/>
      <c r="AH105" s="636"/>
      <c r="AI105" s="636"/>
      <c r="AJ105" s="636"/>
      <c r="AK105" s="636"/>
      <c r="AL105" s="636"/>
    </row>
    <row r="106" spans="1:38" hidden="1" x14ac:dyDescent="0.25">
      <c r="A106" s="634">
        <v>32300</v>
      </c>
      <c r="B106" s="632" t="s">
        <v>1302</v>
      </c>
      <c r="C106" s="656">
        <v>5.4559999999999999E-3</v>
      </c>
      <c r="D106" s="656">
        <v>5.6290000000000003E-3</v>
      </c>
      <c r="E106" s="661">
        <v>4938539</v>
      </c>
      <c r="F106" s="632">
        <v>237332982</v>
      </c>
      <c r="G106" s="633">
        <v>184560641</v>
      </c>
      <c r="H106" s="633">
        <v>0</v>
      </c>
      <c r="I106" s="633">
        <v>0</v>
      </c>
      <c r="J106" s="633">
        <v>0</v>
      </c>
      <c r="K106" s="633">
        <v>5954220</v>
      </c>
      <c r="L106" s="633">
        <f t="shared" si="3"/>
        <v>5954220</v>
      </c>
      <c r="M106" s="633"/>
      <c r="N106" s="633">
        <v>13233337</v>
      </c>
      <c r="O106" s="633">
        <v>68591</v>
      </c>
      <c r="P106" s="633">
        <v>50827158</v>
      </c>
      <c r="Q106" s="633">
        <v>0</v>
      </c>
      <c r="R106" s="633">
        <f t="shared" si="4"/>
        <v>64129086</v>
      </c>
      <c r="S106" s="633"/>
      <c r="T106" s="633">
        <f t="shared" si="5"/>
        <v>9150220</v>
      </c>
      <c r="U106" s="633">
        <v>1190843</v>
      </c>
      <c r="V106" s="633">
        <v>10341063</v>
      </c>
      <c r="W106" s="635"/>
      <c r="X106" s="635"/>
      <c r="Y106" s="635"/>
      <c r="Z106" s="635"/>
      <c r="AA106" s="635"/>
      <c r="AB106" s="635"/>
      <c r="AC106" s="635"/>
      <c r="AD106" s="635"/>
      <c r="AE106" s="636"/>
      <c r="AF106" s="636"/>
      <c r="AG106" s="636"/>
      <c r="AH106" s="636"/>
      <c r="AI106" s="636"/>
      <c r="AJ106" s="636"/>
      <c r="AK106" s="636"/>
      <c r="AL106" s="636"/>
    </row>
    <row r="107" spans="1:38" hidden="1" x14ac:dyDescent="0.25">
      <c r="A107" s="634">
        <v>32305</v>
      </c>
      <c r="B107" s="632" t="s">
        <v>1303</v>
      </c>
      <c r="C107" s="656">
        <v>5.6099999999999998E-4</v>
      </c>
      <c r="D107" s="656">
        <v>5.5400000000000002E-4</v>
      </c>
      <c r="E107" s="661">
        <v>579445</v>
      </c>
      <c r="F107" s="632">
        <v>24387852</v>
      </c>
      <c r="G107" s="633">
        <v>18149963</v>
      </c>
      <c r="H107" s="633">
        <v>0</v>
      </c>
      <c r="I107" s="633">
        <v>0</v>
      </c>
      <c r="J107" s="633">
        <v>0</v>
      </c>
      <c r="K107" s="633">
        <v>0</v>
      </c>
      <c r="L107" s="633">
        <f t="shared" si="3"/>
        <v>0</v>
      </c>
      <c r="M107" s="633"/>
      <c r="N107" s="633">
        <v>1301386</v>
      </c>
      <c r="O107" s="633">
        <v>6745</v>
      </c>
      <c r="P107" s="633">
        <v>4998417</v>
      </c>
      <c r="Q107" s="633">
        <v>209785</v>
      </c>
      <c r="R107" s="633">
        <f t="shared" si="4"/>
        <v>6516333</v>
      </c>
      <c r="S107" s="633"/>
      <c r="T107" s="633">
        <f t="shared" si="5"/>
        <v>899846</v>
      </c>
      <c r="U107" s="633">
        <v>-41958</v>
      </c>
      <c r="V107" s="633">
        <v>857888</v>
      </c>
      <c r="W107" s="635"/>
      <c r="X107" s="635"/>
      <c r="Y107" s="635"/>
      <c r="Z107" s="635"/>
      <c r="AA107" s="635"/>
      <c r="AB107" s="635"/>
      <c r="AC107" s="635"/>
      <c r="AD107" s="635"/>
      <c r="AE107" s="636"/>
      <c r="AF107" s="636"/>
      <c r="AG107" s="636"/>
      <c r="AH107" s="636"/>
      <c r="AI107" s="636"/>
      <c r="AJ107" s="636"/>
      <c r="AK107" s="636"/>
      <c r="AL107" s="636"/>
    </row>
    <row r="108" spans="1:38" hidden="1" x14ac:dyDescent="0.25">
      <c r="A108" s="634">
        <v>32400</v>
      </c>
      <c r="B108" s="632" t="s">
        <v>1304</v>
      </c>
      <c r="C108" s="656">
        <v>1.9319999999999999E-3</v>
      </c>
      <c r="D108" s="656">
        <v>1.9940000000000001E-3</v>
      </c>
      <c r="E108" s="661">
        <v>1914887</v>
      </c>
      <c r="F108" s="632">
        <v>84064050</v>
      </c>
      <c r="G108" s="633">
        <v>65370641</v>
      </c>
      <c r="H108" s="633">
        <v>0</v>
      </c>
      <c r="I108" s="633">
        <v>0</v>
      </c>
      <c r="J108" s="633">
        <v>0</v>
      </c>
      <c r="K108" s="633">
        <v>2245645</v>
      </c>
      <c r="L108" s="633">
        <f t="shared" si="3"/>
        <v>2245645</v>
      </c>
      <c r="M108" s="633"/>
      <c r="N108" s="633">
        <v>4687195</v>
      </c>
      <c r="O108" s="633">
        <v>24295</v>
      </c>
      <c r="P108" s="633">
        <v>18002776</v>
      </c>
      <c r="Q108" s="633">
        <v>0</v>
      </c>
      <c r="R108" s="633">
        <f t="shared" si="4"/>
        <v>22714266</v>
      </c>
      <c r="S108" s="633"/>
      <c r="T108" s="633">
        <f t="shared" si="5"/>
        <v>3240971</v>
      </c>
      <c r="U108" s="633">
        <v>449128</v>
      </c>
      <c r="V108" s="633">
        <v>3690099</v>
      </c>
      <c r="W108" s="635"/>
      <c r="X108" s="635"/>
      <c r="Y108" s="635"/>
      <c r="Z108" s="635"/>
      <c r="AA108" s="635"/>
      <c r="AB108" s="635"/>
      <c r="AC108" s="635"/>
      <c r="AD108" s="635"/>
      <c r="AE108" s="636"/>
      <c r="AF108" s="636"/>
      <c r="AG108" s="636"/>
      <c r="AH108" s="636"/>
      <c r="AI108" s="636"/>
      <c r="AJ108" s="636"/>
      <c r="AK108" s="636"/>
      <c r="AL108" s="636"/>
    </row>
    <row r="109" spans="1:38" hidden="1" x14ac:dyDescent="0.25">
      <c r="A109" s="634">
        <v>32405</v>
      </c>
      <c r="B109" s="632" t="s">
        <v>1305</v>
      </c>
      <c r="C109" s="656">
        <v>4.8299999999999998E-4</v>
      </c>
      <c r="D109" s="656">
        <v>4.8299999999999998E-4</v>
      </c>
      <c r="E109" s="661">
        <v>518032</v>
      </c>
      <c r="F109" s="632">
        <v>21011016</v>
      </c>
      <c r="G109" s="633">
        <v>15832522</v>
      </c>
      <c r="H109" s="633">
        <v>0</v>
      </c>
      <c r="I109" s="633">
        <v>0</v>
      </c>
      <c r="J109" s="633">
        <v>0</v>
      </c>
      <c r="K109" s="633">
        <v>46580</v>
      </c>
      <c r="L109" s="633">
        <f t="shared" si="3"/>
        <v>46580</v>
      </c>
      <c r="M109" s="633"/>
      <c r="N109" s="633">
        <v>1135221</v>
      </c>
      <c r="O109" s="633">
        <v>5884</v>
      </c>
      <c r="P109" s="633">
        <v>4360204</v>
      </c>
      <c r="Q109" s="633">
        <v>0</v>
      </c>
      <c r="R109" s="633">
        <f t="shared" si="4"/>
        <v>5501309</v>
      </c>
      <c r="S109" s="633"/>
      <c r="T109" s="633">
        <f t="shared" si="5"/>
        <v>784951</v>
      </c>
      <c r="U109" s="633">
        <v>9316</v>
      </c>
      <c r="V109" s="633">
        <v>794267</v>
      </c>
      <c r="W109" s="635"/>
      <c r="X109" s="635"/>
      <c r="Y109" s="635"/>
      <c r="Z109" s="635"/>
      <c r="AA109" s="635"/>
      <c r="AB109" s="635"/>
      <c r="AC109" s="635"/>
      <c r="AD109" s="635"/>
      <c r="AE109" s="636"/>
      <c r="AF109" s="636"/>
      <c r="AG109" s="636"/>
      <c r="AH109" s="636"/>
      <c r="AI109" s="636"/>
      <c r="AJ109" s="636"/>
      <c r="AK109" s="636"/>
      <c r="AL109" s="636"/>
    </row>
    <row r="110" spans="1:38" hidden="1" x14ac:dyDescent="0.25">
      <c r="A110" s="634">
        <v>32410</v>
      </c>
      <c r="B110" s="632" t="s">
        <v>1306</v>
      </c>
      <c r="C110" s="656">
        <v>7.6999999999999996E-4</v>
      </c>
      <c r="D110" s="656">
        <v>7.7300000000000003E-4</v>
      </c>
      <c r="E110" s="661">
        <v>758316</v>
      </c>
      <c r="F110" s="632">
        <v>33480925</v>
      </c>
      <c r="G110" s="633">
        <v>25336229</v>
      </c>
      <c r="H110" s="633">
        <v>0</v>
      </c>
      <c r="I110" s="633">
        <v>0</v>
      </c>
      <c r="J110" s="633">
        <v>0</v>
      </c>
      <c r="K110" s="633">
        <v>134205</v>
      </c>
      <c r="L110" s="633">
        <f t="shared" si="3"/>
        <v>134205</v>
      </c>
      <c r="M110" s="633"/>
      <c r="N110" s="633">
        <v>1816654</v>
      </c>
      <c r="O110" s="633">
        <v>9416</v>
      </c>
      <c r="P110" s="633">
        <v>6977482</v>
      </c>
      <c r="Q110" s="633">
        <v>0</v>
      </c>
      <c r="R110" s="633">
        <f t="shared" si="4"/>
        <v>8803552</v>
      </c>
      <c r="S110" s="633"/>
      <c r="T110" s="633">
        <f t="shared" si="5"/>
        <v>1256130</v>
      </c>
      <c r="U110" s="633">
        <v>26837</v>
      </c>
      <c r="V110" s="633">
        <v>1282967</v>
      </c>
      <c r="W110" s="635"/>
      <c r="X110" s="635"/>
      <c r="Y110" s="635"/>
      <c r="Z110" s="635"/>
      <c r="AA110" s="635"/>
      <c r="AB110" s="635"/>
      <c r="AC110" s="635"/>
      <c r="AD110" s="635"/>
      <c r="AE110" s="636"/>
      <c r="AF110" s="636"/>
      <c r="AG110" s="636"/>
      <c r="AH110" s="636"/>
      <c r="AI110" s="636"/>
      <c r="AJ110" s="636"/>
      <c r="AK110" s="636"/>
      <c r="AL110" s="636"/>
    </row>
    <row r="111" spans="1:38" hidden="1" x14ac:dyDescent="0.25">
      <c r="A111" s="634">
        <v>32500</v>
      </c>
      <c r="B111" s="632" t="s">
        <v>1307</v>
      </c>
      <c r="C111" s="656">
        <v>4.4130000000000003E-3</v>
      </c>
      <c r="D111" s="656">
        <v>4.3759999999999997E-3</v>
      </c>
      <c r="E111" s="661">
        <v>3928750</v>
      </c>
      <c r="F111" s="632">
        <v>191972313</v>
      </c>
      <c r="G111" s="633">
        <v>143473565</v>
      </c>
      <c r="H111" s="633">
        <v>0</v>
      </c>
      <c r="I111" s="633">
        <v>0</v>
      </c>
      <c r="J111" s="633">
        <v>0</v>
      </c>
      <c r="K111" s="633">
        <v>0</v>
      </c>
      <c r="L111" s="633">
        <f t="shared" si="3"/>
        <v>0</v>
      </c>
      <c r="M111" s="633"/>
      <c r="N111" s="633">
        <v>10287319</v>
      </c>
      <c r="O111" s="633">
        <v>53321</v>
      </c>
      <c r="P111" s="633">
        <v>39511965</v>
      </c>
      <c r="Q111" s="633">
        <v>1525485</v>
      </c>
      <c r="R111" s="633">
        <f t="shared" si="4"/>
        <v>51378090</v>
      </c>
      <c r="S111" s="633"/>
      <c r="T111" s="633">
        <f t="shared" si="5"/>
        <v>7113189</v>
      </c>
      <c r="U111" s="633">
        <v>-305098</v>
      </c>
      <c r="V111" s="633">
        <v>6808091</v>
      </c>
      <c r="W111" s="635"/>
      <c r="X111" s="635"/>
      <c r="Y111" s="635"/>
      <c r="Z111" s="635"/>
      <c r="AA111" s="635"/>
      <c r="AB111" s="635"/>
      <c r="AC111" s="635"/>
      <c r="AD111" s="635"/>
      <c r="AE111" s="636"/>
      <c r="AF111" s="636"/>
      <c r="AG111" s="636"/>
      <c r="AH111" s="636"/>
      <c r="AI111" s="636"/>
      <c r="AJ111" s="636"/>
      <c r="AK111" s="636"/>
      <c r="AL111" s="636"/>
    </row>
    <row r="112" spans="1:38" hidden="1" x14ac:dyDescent="0.25">
      <c r="A112" s="634">
        <v>32505</v>
      </c>
      <c r="B112" s="632" t="s">
        <v>1308</v>
      </c>
      <c r="C112" s="656">
        <v>6.4400000000000004E-4</v>
      </c>
      <c r="D112" s="656">
        <v>6.0899999999999995E-4</v>
      </c>
      <c r="E112" s="661">
        <v>644808</v>
      </c>
      <c r="F112" s="632">
        <v>27995425</v>
      </c>
      <c r="G112" s="633">
        <v>19961169</v>
      </c>
      <c r="H112" s="633">
        <v>0</v>
      </c>
      <c r="I112" s="633">
        <v>0</v>
      </c>
      <c r="J112" s="633">
        <v>0</v>
      </c>
      <c r="K112" s="633">
        <v>0</v>
      </c>
      <c r="L112" s="633">
        <f t="shared" si="3"/>
        <v>0</v>
      </c>
      <c r="M112" s="633"/>
      <c r="N112" s="633">
        <v>1431253</v>
      </c>
      <c r="O112" s="633">
        <v>7418</v>
      </c>
      <c r="P112" s="633">
        <v>5497215</v>
      </c>
      <c r="Q112" s="633">
        <v>1202670</v>
      </c>
      <c r="R112" s="633">
        <f t="shared" si="4"/>
        <v>8138556</v>
      </c>
      <c r="S112" s="633"/>
      <c r="T112" s="633">
        <f t="shared" si="5"/>
        <v>989643</v>
      </c>
      <c r="U112" s="633">
        <v>-240535</v>
      </c>
      <c r="V112" s="633">
        <v>749108</v>
      </c>
      <c r="W112" s="635"/>
      <c r="X112" s="635"/>
      <c r="Y112" s="635"/>
      <c r="Z112" s="635"/>
      <c r="AA112" s="635"/>
      <c r="AB112" s="635"/>
      <c r="AC112" s="635"/>
      <c r="AD112" s="635"/>
      <c r="AE112" s="636"/>
      <c r="AF112" s="636"/>
      <c r="AG112" s="636"/>
      <c r="AH112" s="636"/>
      <c r="AI112" s="636"/>
      <c r="AJ112" s="636"/>
      <c r="AK112" s="636"/>
      <c r="AL112" s="636"/>
    </row>
    <row r="113" spans="1:38" hidden="1" x14ac:dyDescent="0.25">
      <c r="A113" s="634">
        <v>32600</v>
      </c>
      <c r="B113" s="632" t="s">
        <v>1309</v>
      </c>
      <c r="C113" s="656">
        <v>1.5847E-2</v>
      </c>
      <c r="D113" s="656">
        <v>1.5807999999999999E-2</v>
      </c>
      <c r="E113" s="661">
        <v>14227355</v>
      </c>
      <c r="F113" s="632">
        <v>689415246</v>
      </c>
      <c r="G113" s="633">
        <v>518296049</v>
      </c>
      <c r="H113" s="633">
        <v>0</v>
      </c>
      <c r="I113" s="633">
        <v>0</v>
      </c>
      <c r="J113" s="633">
        <v>0</v>
      </c>
      <c r="K113" s="633">
        <v>0</v>
      </c>
      <c r="L113" s="633">
        <f t="shared" si="3"/>
        <v>0</v>
      </c>
      <c r="M113" s="633"/>
      <c r="N113" s="633">
        <v>37162780</v>
      </c>
      <c r="O113" s="633">
        <v>192621</v>
      </c>
      <c r="P113" s="633">
        <v>142736366</v>
      </c>
      <c r="Q113" s="633">
        <v>2080300</v>
      </c>
      <c r="R113" s="633">
        <f t="shared" si="4"/>
        <v>182172067</v>
      </c>
      <c r="S113" s="633"/>
      <c r="T113" s="633">
        <f t="shared" si="5"/>
        <v>25696286</v>
      </c>
      <c r="U113" s="633">
        <v>-416061</v>
      </c>
      <c r="V113" s="633">
        <v>25280225</v>
      </c>
      <c r="W113" s="635"/>
      <c r="X113" s="635"/>
      <c r="Y113" s="635"/>
      <c r="Z113" s="635"/>
      <c r="AA113" s="635"/>
      <c r="AB113" s="635"/>
      <c r="AC113" s="635"/>
      <c r="AD113" s="635"/>
      <c r="AE113" s="636"/>
      <c r="AF113" s="636"/>
      <c r="AG113" s="636"/>
      <c r="AH113" s="636"/>
      <c r="AI113" s="636"/>
      <c r="AJ113" s="636"/>
      <c r="AK113" s="636"/>
      <c r="AL113" s="636"/>
    </row>
    <row r="114" spans="1:38" hidden="1" x14ac:dyDescent="0.25">
      <c r="A114" s="634">
        <v>32605</v>
      </c>
      <c r="B114" s="632" t="s">
        <v>1310</v>
      </c>
      <c r="C114" s="656">
        <v>2.2539999999999999E-3</v>
      </c>
      <c r="D114" s="656">
        <v>2.1129999999999999E-3</v>
      </c>
      <c r="E114" s="661">
        <v>2275560</v>
      </c>
      <c r="F114" s="632">
        <v>98040391</v>
      </c>
      <c r="G114" s="633">
        <v>69265469</v>
      </c>
      <c r="H114" s="633">
        <v>0</v>
      </c>
      <c r="I114" s="633">
        <v>0</v>
      </c>
      <c r="J114" s="633">
        <v>0</v>
      </c>
      <c r="K114" s="633">
        <v>0</v>
      </c>
      <c r="L114" s="633">
        <f t="shared" si="3"/>
        <v>0</v>
      </c>
      <c r="M114" s="633"/>
      <c r="N114" s="633">
        <v>4966462</v>
      </c>
      <c r="O114" s="633">
        <v>25742</v>
      </c>
      <c r="P114" s="633">
        <v>19075394</v>
      </c>
      <c r="Q114" s="633">
        <v>4888195</v>
      </c>
      <c r="R114" s="633">
        <f t="shared" si="4"/>
        <v>28955793</v>
      </c>
      <c r="S114" s="633"/>
      <c r="T114" s="633">
        <f t="shared" si="5"/>
        <v>3434071</v>
      </c>
      <c r="U114" s="633">
        <v>-977641</v>
      </c>
      <c r="V114" s="633">
        <v>2456430</v>
      </c>
      <c r="W114" s="635"/>
      <c r="X114" s="635"/>
      <c r="Y114" s="635"/>
      <c r="Z114" s="635"/>
      <c r="AA114" s="635"/>
      <c r="AB114" s="635"/>
      <c r="AC114" s="635"/>
      <c r="AD114" s="635"/>
      <c r="AE114" s="636"/>
      <c r="AF114" s="636"/>
      <c r="AG114" s="636"/>
      <c r="AH114" s="636"/>
      <c r="AI114" s="636"/>
      <c r="AJ114" s="636"/>
      <c r="AK114" s="636"/>
      <c r="AL114" s="636"/>
    </row>
    <row r="115" spans="1:38" hidden="1" x14ac:dyDescent="0.25">
      <c r="A115" s="634">
        <v>32700</v>
      </c>
      <c r="B115" s="632" t="s">
        <v>1311</v>
      </c>
      <c r="C115" s="656">
        <v>1.348E-3</v>
      </c>
      <c r="D115" s="656">
        <v>1.4300000000000001E-3</v>
      </c>
      <c r="E115" s="661">
        <v>1319508</v>
      </c>
      <c r="F115" s="632">
        <v>58639802</v>
      </c>
      <c r="G115" s="633">
        <v>46900827</v>
      </c>
      <c r="H115" s="633">
        <v>0</v>
      </c>
      <c r="I115" s="633">
        <v>0</v>
      </c>
      <c r="J115" s="633">
        <v>0</v>
      </c>
      <c r="K115" s="633">
        <v>2959870</v>
      </c>
      <c r="L115" s="633">
        <f t="shared" si="3"/>
        <v>2959870</v>
      </c>
      <c r="M115" s="633"/>
      <c r="N115" s="633">
        <v>3362876</v>
      </c>
      <c r="O115" s="633">
        <v>17430</v>
      </c>
      <c r="P115" s="633">
        <v>12916274</v>
      </c>
      <c r="Q115" s="633">
        <v>0</v>
      </c>
      <c r="R115" s="633">
        <f t="shared" si="4"/>
        <v>16296580</v>
      </c>
      <c r="S115" s="633"/>
      <c r="T115" s="633">
        <f t="shared" si="5"/>
        <v>2325268</v>
      </c>
      <c r="U115" s="633">
        <v>591975</v>
      </c>
      <c r="V115" s="633">
        <v>2917243</v>
      </c>
      <c r="W115" s="635"/>
      <c r="X115" s="635"/>
      <c r="Y115" s="635"/>
      <c r="Z115" s="635"/>
      <c r="AA115" s="635"/>
      <c r="AB115" s="635"/>
      <c r="AC115" s="635"/>
      <c r="AD115" s="635"/>
      <c r="AE115" s="636"/>
      <c r="AF115" s="636"/>
      <c r="AG115" s="636"/>
      <c r="AH115" s="636"/>
      <c r="AI115" s="636"/>
      <c r="AJ115" s="636"/>
      <c r="AK115" s="636"/>
      <c r="AL115" s="636"/>
    </row>
    <row r="116" spans="1:38" hidden="1" x14ac:dyDescent="0.25">
      <c r="A116" s="634">
        <v>32800</v>
      </c>
      <c r="B116" s="632" t="s">
        <v>1312</v>
      </c>
      <c r="C116" s="656">
        <v>1.807E-3</v>
      </c>
      <c r="D116" s="656">
        <v>1.8890000000000001E-3</v>
      </c>
      <c r="E116" s="661">
        <v>1940996</v>
      </c>
      <c r="F116" s="632">
        <v>78609531</v>
      </c>
      <c r="G116" s="633">
        <v>61923558</v>
      </c>
      <c r="H116" s="633">
        <v>0</v>
      </c>
      <c r="I116" s="633">
        <v>0</v>
      </c>
      <c r="J116" s="633">
        <v>0</v>
      </c>
      <c r="K116" s="633">
        <v>3084555</v>
      </c>
      <c r="L116" s="633">
        <f t="shared" si="3"/>
        <v>3084555</v>
      </c>
      <c r="M116" s="633"/>
      <c r="N116" s="633">
        <v>4440033</v>
      </c>
      <c r="O116" s="633">
        <v>23013</v>
      </c>
      <c r="P116" s="633">
        <v>17053465</v>
      </c>
      <c r="Q116" s="633">
        <v>0</v>
      </c>
      <c r="R116" s="633">
        <f t="shared" si="4"/>
        <v>21516511</v>
      </c>
      <c r="S116" s="633"/>
      <c r="T116" s="633">
        <f t="shared" si="5"/>
        <v>3070071</v>
      </c>
      <c r="U116" s="633">
        <v>616909</v>
      </c>
      <c r="V116" s="633">
        <v>3686980</v>
      </c>
      <c r="W116" s="635"/>
      <c r="X116" s="635"/>
      <c r="Y116" s="635"/>
      <c r="Z116" s="635"/>
      <c r="AA116" s="635"/>
      <c r="AB116" s="635"/>
      <c r="AC116" s="635"/>
      <c r="AD116" s="635"/>
      <c r="AE116" s="636"/>
      <c r="AF116" s="636"/>
      <c r="AG116" s="636"/>
      <c r="AH116" s="636"/>
      <c r="AI116" s="636"/>
      <c r="AJ116" s="636"/>
      <c r="AK116" s="636"/>
      <c r="AL116" s="636"/>
    </row>
    <row r="117" spans="1:38" hidden="1" x14ac:dyDescent="0.25">
      <c r="A117" s="634">
        <v>32900</v>
      </c>
      <c r="B117" s="632" t="s">
        <v>1313</v>
      </c>
      <c r="C117" s="656">
        <v>5.751E-3</v>
      </c>
      <c r="D117" s="656">
        <v>6.0000000000000001E-3</v>
      </c>
      <c r="E117" s="661">
        <v>5308245</v>
      </c>
      <c r="F117" s="632">
        <v>250186179</v>
      </c>
      <c r="G117" s="633">
        <v>196722370</v>
      </c>
      <c r="H117" s="633">
        <v>0</v>
      </c>
      <c r="I117" s="633">
        <v>0</v>
      </c>
      <c r="J117" s="633">
        <v>0</v>
      </c>
      <c r="K117" s="633">
        <v>8705140</v>
      </c>
      <c r="L117" s="633">
        <f t="shared" si="3"/>
        <v>8705140</v>
      </c>
      <c r="M117" s="633"/>
      <c r="N117" s="633">
        <v>14105356</v>
      </c>
      <c r="O117" s="633">
        <v>73111</v>
      </c>
      <c r="P117" s="633">
        <v>54176443</v>
      </c>
      <c r="Q117" s="633">
        <v>0</v>
      </c>
      <c r="R117" s="633">
        <f t="shared" si="4"/>
        <v>68354910</v>
      </c>
      <c r="S117" s="633"/>
      <c r="T117" s="633">
        <f t="shared" si="5"/>
        <v>9753179</v>
      </c>
      <c r="U117" s="633">
        <v>1741026</v>
      </c>
      <c r="V117" s="633">
        <v>11494205</v>
      </c>
      <c r="W117" s="635"/>
      <c r="X117" s="635"/>
      <c r="Y117" s="635"/>
      <c r="Z117" s="635"/>
      <c r="AA117" s="635"/>
      <c r="AB117" s="635"/>
      <c r="AC117" s="635"/>
      <c r="AD117" s="635"/>
      <c r="AE117" s="636"/>
      <c r="AF117" s="636"/>
      <c r="AG117" s="636"/>
      <c r="AH117" s="636"/>
      <c r="AI117" s="636"/>
      <c r="AJ117" s="636"/>
      <c r="AK117" s="636"/>
      <c r="AL117" s="636"/>
    </row>
    <row r="118" spans="1:38" hidden="1" x14ac:dyDescent="0.25">
      <c r="A118" s="634">
        <v>32901</v>
      </c>
      <c r="B118" s="632" t="s">
        <v>1314</v>
      </c>
      <c r="C118" s="656">
        <v>1.9799999999999999E-4</v>
      </c>
      <c r="D118" s="656">
        <v>1.5699999999999999E-4</v>
      </c>
      <c r="E118" s="661">
        <v>113778</v>
      </c>
      <c r="F118" s="632">
        <v>8597823</v>
      </c>
      <c r="G118" s="633">
        <v>5159836</v>
      </c>
      <c r="H118" s="633">
        <v>0</v>
      </c>
      <c r="I118" s="633">
        <v>0</v>
      </c>
      <c r="J118" s="633">
        <v>0</v>
      </c>
      <c r="K118" s="633">
        <v>0</v>
      </c>
      <c r="L118" s="633">
        <f t="shared" si="3"/>
        <v>0</v>
      </c>
      <c r="M118" s="633"/>
      <c r="N118" s="633">
        <v>369970</v>
      </c>
      <c r="O118" s="633">
        <v>1918</v>
      </c>
      <c r="P118" s="633">
        <v>1420995</v>
      </c>
      <c r="Q118" s="633">
        <v>1489290</v>
      </c>
      <c r="R118" s="633">
        <f t="shared" si="4"/>
        <v>3282173</v>
      </c>
      <c r="S118" s="633"/>
      <c r="T118" s="633">
        <f t="shared" si="5"/>
        <v>255816</v>
      </c>
      <c r="U118" s="633">
        <v>-297853</v>
      </c>
      <c r="V118" s="633">
        <v>-42037</v>
      </c>
      <c r="W118" s="635"/>
      <c r="X118" s="635"/>
      <c r="Y118" s="635"/>
      <c r="Z118" s="635"/>
      <c r="AA118" s="635"/>
      <c r="AB118" s="635"/>
      <c r="AC118" s="635"/>
      <c r="AD118" s="635"/>
      <c r="AE118" s="636"/>
      <c r="AF118" s="636"/>
      <c r="AG118" s="636"/>
      <c r="AH118" s="636"/>
      <c r="AI118" s="636"/>
      <c r="AJ118" s="636"/>
      <c r="AK118" s="636"/>
      <c r="AL118" s="636"/>
    </row>
    <row r="119" spans="1:38" hidden="1" x14ac:dyDescent="0.25">
      <c r="A119" s="634">
        <v>32905</v>
      </c>
      <c r="B119" s="632" t="s">
        <v>1315</v>
      </c>
      <c r="C119" s="656">
        <v>8.3100000000000003E-4</v>
      </c>
      <c r="D119" s="656">
        <v>7.8899999999999999E-4</v>
      </c>
      <c r="E119" s="661">
        <v>846743</v>
      </c>
      <c r="F119" s="632">
        <v>36155044</v>
      </c>
      <c r="G119" s="633">
        <v>25876396</v>
      </c>
      <c r="H119" s="633">
        <v>0</v>
      </c>
      <c r="I119" s="633">
        <v>0</v>
      </c>
      <c r="J119" s="633">
        <v>0</v>
      </c>
      <c r="K119" s="633">
        <v>0</v>
      </c>
      <c r="L119" s="633">
        <f t="shared" si="3"/>
        <v>0</v>
      </c>
      <c r="M119" s="633"/>
      <c r="N119" s="633">
        <v>1855385</v>
      </c>
      <c r="O119" s="633">
        <v>9617</v>
      </c>
      <c r="P119" s="633">
        <v>7126241</v>
      </c>
      <c r="Q119" s="633">
        <v>1436310</v>
      </c>
      <c r="R119" s="633">
        <f t="shared" si="4"/>
        <v>10427553</v>
      </c>
      <c r="S119" s="633"/>
      <c r="T119" s="633">
        <f t="shared" si="5"/>
        <v>1282910</v>
      </c>
      <c r="U119" s="633">
        <v>-287262</v>
      </c>
      <c r="V119" s="633">
        <v>995648</v>
      </c>
      <c r="W119" s="635"/>
      <c r="X119" s="635"/>
      <c r="Y119" s="635"/>
      <c r="Z119" s="635"/>
      <c r="AA119" s="635"/>
      <c r="AB119" s="635"/>
      <c r="AC119" s="635"/>
      <c r="AD119" s="635"/>
      <c r="AE119" s="636"/>
      <c r="AF119" s="636"/>
      <c r="AG119" s="636"/>
      <c r="AH119" s="636"/>
      <c r="AI119" s="636"/>
      <c r="AJ119" s="636"/>
      <c r="AK119" s="636"/>
      <c r="AL119" s="636"/>
    </row>
    <row r="120" spans="1:38" hidden="1" x14ac:dyDescent="0.25">
      <c r="A120" s="634">
        <v>32910</v>
      </c>
      <c r="B120" s="632" t="s">
        <v>1316</v>
      </c>
      <c r="C120" s="656">
        <v>1.047E-3</v>
      </c>
      <c r="D120" s="656">
        <v>1.1019999999999999E-3</v>
      </c>
      <c r="E120" s="661">
        <v>1035320</v>
      </c>
      <c r="F120" s="632">
        <v>45536024</v>
      </c>
      <c r="G120" s="633">
        <v>36132586</v>
      </c>
      <c r="H120" s="633">
        <v>0</v>
      </c>
      <c r="I120" s="633">
        <v>0</v>
      </c>
      <c r="J120" s="633">
        <v>0</v>
      </c>
      <c r="K120" s="633">
        <v>1996200</v>
      </c>
      <c r="L120" s="633">
        <f t="shared" si="3"/>
        <v>1996200</v>
      </c>
      <c r="M120" s="633"/>
      <c r="N120" s="633">
        <v>2590773</v>
      </c>
      <c r="O120" s="633">
        <v>13428</v>
      </c>
      <c r="P120" s="633">
        <v>9950749</v>
      </c>
      <c r="Q120" s="633">
        <v>0</v>
      </c>
      <c r="R120" s="633">
        <f t="shared" si="4"/>
        <v>12554950</v>
      </c>
      <c r="S120" s="633"/>
      <c r="T120" s="633">
        <f t="shared" si="5"/>
        <v>1791396</v>
      </c>
      <c r="U120" s="633">
        <v>399236</v>
      </c>
      <c r="V120" s="633">
        <v>2190632</v>
      </c>
      <c r="W120" s="635"/>
      <c r="X120" s="635"/>
      <c r="Y120" s="635"/>
      <c r="Z120" s="635"/>
      <c r="AA120" s="635"/>
      <c r="AB120" s="635"/>
      <c r="AC120" s="635"/>
      <c r="AD120" s="635"/>
      <c r="AE120" s="636"/>
      <c r="AF120" s="636"/>
      <c r="AG120" s="636"/>
      <c r="AH120" s="636"/>
      <c r="AI120" s="636"/>
      <c r="AJ120" s="636"/>
      <c r="AK120" s="636"/>
      <c r="AL120" s="636"/>
    </row>
    <row r="121" spans="1:38" hidden="1" x14ac:dyDescent="0.25">
      <c r="A121" s="634">
        <v>32920</v>
      </c>
      <c r="B121" s="632" t="s">
        <v>1317</v>
      </c>
      <c r="C121" s="656">
        <v>8.5899999999999995E-4</v>
      </c>
      <c r="D121" s="656">
        <v>9.2299999999999999E-4</v>
      </c>
      <c r="E121" s="661">
        <v>817991</v>
      </c>
      <c r="F121" s="632">
        <v>37359877</v>
      </c>
      <c r="G121" s="633">
        <v>30270973</v>
      </c>
      <c r="H121" s="633">
        <v>0</v>
      </c>
      <c r="I121" s="633">
        <v>0</v>
      </c>
      <c r="J121" s="633">
        <v>0</v>
      </c>
      <c r="K121" s="633">
        <v>2288770</v>
      </c>
      <c r="L121" s="633">
        <f t="shared" si="3"/>
        <v>2288770</v>
      </c>
      <c r="M121" s="633"/>
      <c r="N121" s="633">
        <v>2170484</v>
      </c>
      <c r="O121" s="633">
        <v>11250</v>
      </c>
      <c r="P121" s="633">
        <v>8336488</v>
      </c>
      <c r="Q121" s="633">
        <v>0</v>
      </c>
      <c r="R121" s="633">
        <f t="shared" si="4"/>
        <v>10518222</v>
      </c>
      <c r="S121" s="633"/>
      <c r="T121" s="633">
        <f t="shared" si="5"/>
        <v>1500786</v>
      </c>
      <c r="U121" s="633">
        <v>457753</v>
      </c>
      <c r="V121" s="633">
        <v>1958539</v>
      </c>
      <c r="W121" s="635"/>
      <c r="X121" s="635"/>
      <c r="Y121" s="635"/>
      <c r="Z121" s="635"/>
      <c r="AA121" s="635"/>
      <c r="AB121" s="635"/>
      <c r="AC121" s="635"/>
      <c r="AD121" s="635"/>
      <c r="AE121" s="636"/>
      <c r="AF121" s="636"/>
      <c r="AG121" s="636"/>
      <c r="AH121" s="636"/>
      <c r="AI121" s="636"/>
      <c r="AJ121" s="636"/>
      <c r="AK121" s="636"/>
      <c r="AL121" s="636"/>
    </row>
    <row r="122" spans="1:38" hidden="1" x14ac:dyDescent="0.25">
      <c r="A122" s="634">
        <v>33000</v>
      </c>
      <c r="B122" s="632" t="s">
        <v>1318</v>
      </c>
      <c r="C122" s="656">
        <v>2.2209999999999999E-3</v>
      </c>
      <c r="D122" s="656">
        <v>2.261E-3</v>
      </c>
      <c r="E122" s="661">
        <v>1951984</v>
      </c>
      <c r="F122" s="632">
        <v>96638459</v>
      </c>
      <c r="G122" s="633">
        <v>74143671</v>
      </c>
      <c r="H122" s="633">
        <v>0</v>
      </c>
      <c r="I122" s="633">
        <v>0</v>
      </c>
      <c r="J122" s="633">
        <v>0</v>
      </c>
      <c r="K122" s="633">
        <v>1286575</v>
      </c>
      <c r="L122" s="633">
        <f t="shared" si="3"/>
        <v>1286575</v>
      </c>
      <c r="M122" s="633"/>
      <c r="N122" s="633">
        <v>5316238</v>
      </c>
      <c r="O122" s="633">
        <v>27555</v>
      </c>
      <c r="P122" s="633">
        <v>20418828</v>
      </c>
      <c r="Q122" s="633">
        <v>0</v>
      </c>
      <c r="R122" s="633">
        <f t="shared" si="4"/>
        <v>25762621</v>
      </c>
      <c r="S122" s="633"/>
      <c r="T122" s="633">
        <f t="shared" si="5"/>
        <v>3675924</v>
      </c>
      <c r="U122" s="633">
        <v>257317</v>
      </c>
      <c r="V122" s="633">
        <v>3933241</v>
      </c>
      <c r="W122" s="635"/>
      <c r="X122" s="635"/>
      <c r="Y122" s="635"/>
      <c r="Z122" s="635"/>
      <c r="AA122" s="635"/>
      <c r="AB122" s="635"/>
      <c r="AC122" s="635"/>
      <c r="AD122" s="635"/>
      <c r="AE122" s="636"/>
      <c r="AF122" s="636"/>
      <c r="AG122" s="636"/>
      <c r="AH122" s="636"/>
      <c r="AI122" s="636"/>
      <c r="AJ122" s="636"/>
      <c r="AK122" s="636"/>
      <c r="AL122" s="636"/>
    </row>
    <row r="123" spans="1:38" hidden="1" x14ac:dyDescent="0.25">
      <c r="A123" s="634">
        <v>33001</v>
      </c>
      <c r="B123" s="632" t="s">
        <v>1319</v>
      </c>
      <c r="C123" s="656">
        <v>5.8999999999999998E-5</v>
      </c>
      <c r="D123" s="656">
        <v>6.4999999999999994E-5</v>
      </c>
      <c r="E123" s="661">
        <v>58316</v>
      </c>
      <c r="F123" s="632">
        <v>2571662</v>
      </c>
      <c r="G123" s="633">
        <v>2135878</v>
      </c>
      <c r="H123" s="633">
        <v>0</v>
      </c>
      <c r="I123" s="633">
        <v>0</v>
      </c>
      <c r="J123" s="633">
        <v>0</v>
      </c>
      <c r="K123" s="633">
        <v>215660</v>
      </c>
      <c r="L123" s="633">
        <f t="shared" si="3"/>
        <v>215660</v>
      </c>
      <c r="M123" s="633"/>
      <c r="N123" s="633">
        <v>153146</v>
      </c>
      <c r="O123" s="633">
        <v>794</v>
      </c>
      <c r="P123" s="633">
        <v>588211</v>
      </c>
      <c r="Q123" s="633">
        <v>0</v>
      </c>
      <c r="R123" s="633">
        <f t="shared" si="4"/>
        <v>742151</v>
      </c>
      <c r="S123" s="633"/>
      <c r="T123" s="633">
        <f t="shared" si="5"/>
        <v>105893</v>
      </c>
      <c r="U123" s="633">
        <v>43131</v>
      </c>
      <c r="V123" s="633">
        <v>149024</v>
      </c>
      <c r="W123" s="635"/>
      <c r="X123" s="635"/>
      <c r="Y123" s="635"/>
      <c r="Z123" s="635"/>
      <c r="AA123" s="635"/>
      <c r="AB123" s="635"/>
      <c r="AC123" s="635"/>
      <c r="AD123" s="635"/>
      <c r="AE123" s="636"/>
      <c r="AF123" s="636"/>
      <c r="AG123" s="636"/>
      <c r="AH123" s="636"/>
      <c r="AI123" s="636"/>
      <c r="AJ123" s="636"/>
      <c r="AK123" s="636"/>
      <c r="AL123" s="636"/>
    </row>
    <row r="124" spans="1:38" hidden="1" x14ac:dyDescent="0.25">
      <c r="A124" s="634">
        <v>33027</v>
      </c>
      <c r="B124" s="632" t="s">
        <v>1320</v>
      </c>
      <c r="C124" s="656">
        <v>2.2800000000000001E-4</v>
      </c>
      <c r="D124" s="656">
        <v>2.6400000000000002E-4</v>
      </c>
      <c r="E124" s="661">
        <v>187623</v>
      </c>
      <c r="F124" s="632">
        <v>9938112</v>
      </c>
      <c r="G124" s="633">
        <v>8646125</v>
      </c>
      <c r="H124" s="633">
        <v>0</v>
      </c>
      <c r="I124" s="633">
        <v>0</v>
      </c>
      <c r="J124" s="633">
        <v>0</v>
      </c>
      <c r="K124" s="633">
        <v>1226030</v>
      </c>
      <c r="L124" s="633">
        <f t="shared" si="3"/>
        <v>1226030</v>
      </c>
      <c r="M124" s="633"/>
      <c r="N124" s="633">
        <v>619943</v>
      </c>
      <c r="O124" s="633">
        <v>3213</v>
      </c>
      <c r="P124" s="633">
        <v>2381103</v>
      </c>
      <c r="Q124" s="633">
        <v>0</v>
      </c>
      <c r="R124" s="633">
        <f t="shared" si="4"/>
        <v>3004259</v>
      </c>
      <c r="S124" s="633"/>
      <c r="T124" s="633">
        <f t="shared" si="5"/>
        <v>428661</v>
      </c>
      <c r="U124" s="633">
        <v>245205</v>
      </c>
      <c r="V124" s="633">
        <v>673866</v>
      </c>
      <c r="W124" s="635"/>
      <c r="X124" s="635"/>
      <c r="Y124" s="635"/>
      <c r="Z124" s="635"/>
      <c r="AA124" s="635"/>
      <c r="AB124" s="635"/>
      <c r="AC124" s="635"/>
      <c r="AD124" s="635"/>
      <c r="AE124" s="636"/>
      <c r="AF124" s="636"/>
      <c r="AG124" s="636"/>
      <c r="AH124" s="636"/>
      <c r="AI124" s="636"/>
      <c r="AJ124" s="636"/>
      <c r="AK124" s="636"/>
      <c r="AL124" s="636"/>
    </row>
    <row r="125" spans="1:38" hidden="1" x14ac:dyDescent="0.25">
      <c r="A125" s="634">
        <v>33100</v>
      </c>
      <c r="B125" s="632" t="s">
        <v>1321</v>
      </c>
      <c r="C125" s="656">
        <v>3.176E-3</v>
      </c>
      <c r="D125" s="656">
        <v>3.2260000000000001E-3</v>
      </c>
      <c r="E125" s="661">
        <v>2913985</v>
      </c>
      <c r="F125" s="632">
        <v>138163312</v>
      </c>
      <c r="G125" s="633">
        <v>105778285</v>
      </c>
      <c r="H125" s="633">
        <v>0</v>
      </c>
      <c r="I125" s="633">
        <v>0</v>
      </c>
      <c r="J125" s="633">
        <v>0</v>
      </c>
      <c r="K125" s="633">
        <v>1699420</v>
      </c>
      <c r="L125" s="633">
        <f t="shared" si="3"/>
        <v>1699420</v>
      </c>
      <c r="M125" s="633"/>
      <c r="N125" s="633">
        <v>7584498</v>
      </c>
      <c r="O125" s="633">
        <v>39312</v>
      </c>
      <c r="P125" s="633">
        <v>29130857</v>
      </c>
      <c r="Q125" s="633">
        <v>0</v>
      </c>
      <c r="R125" s="633">
        <f t="shared" si="4"/>
        <v>36754667</v>
      </c>
      <c r="S125" s="633"/>
      <c r="T125" s="633">
        <f t="shared" si="5"/>
        <v>5244318</v>
      </c>
      <c r="U125" s="633">
        <v>339887</v>
      </c>
      <c r="V125" s="633">
        <v>5584205</v>
      </c>
      <c r="W125" s="635"/>
      <c r="X125" s="635"/>
      <c r="Y125" s="635"/>
      <c r="Z125" s="635"/>
      <c r="AA125" s="635"/>
      <c r="AB125" s="635"/>
      <c r="AC125" s="635"/>
      <c r="AD125" s="635"/>
      <c r="AE125" s="636"/>
      <c r="AF125" s="636"/>
      <c r="AG125" s="636"/>
      <c r="AH125" s="636"/>
      <c r="AI125" s="636"/>
      <c r="AJ125" s="636"/>
      <c r="AK125" s="636"/>
      <c r="AL125" s="636"/>
    </row>
    <row r="126" spans="1:38" hidden="1" x14ac:dyDescent="0.25">
      <c r="A126" s="634">
        <v>33105</v>
      </c>
      <c r="B126" s="632" t="s">
        <v>1322</v>
      </c>
      <c r="C126" s="656">
        <v>3.57E-4</v>
      </c>
      <c r="D126" s="656">
        <v>3.4299999999999999E-4</v>
      </c>
      <c r="E126" s="661">
        <v>349470</v>
      </c>
      <c r="F126" s="632">
        <v>15531174</v>
      </c>
      <c r="G126" s="633">
        <v>11246954</v>
      </c>
      <c r="H126" s="633">
        <v>0</v>
      </c>
      <c r="I126" s="633">
        <v>0</v>
      </c>
      <c r="J126" s="633">
        <v>0</v>
      </c>
      <c r="K126" s="633">
        <v>0</v>
      </c>
      <c r="L126" s="633">
        <f t="shared" si="3"/>
        <v>0</v>
      </c>
      <c r="M126" s="633"/>
      <c r="N126" s="633">
        <v>806427</v>
      </c>
      <c r="O126" s="633">
        <v>4180</v>
      </c>
      <c r="P126" s="633">
        <v>3097360</v>
      </c>
      <c r="Q126" s="633">
        <v>486990</v>
      </c>
      <c r="R126" s="633">
        <f t="shared" si="4"/>
        <v>4394957</v>
      </c>
      <c r="S126" s="633"/>
      <c r="T126" s="633">
        <f t="shared" si="5"/>
        <v>557606</v>
      </c>
      <c r="U126" s="633">
        <v>-97400</v>
      </c>
      <c r="V126" s="633">
        <v>460206</v>
      </c>
      <c r="W126" s="635"/>
      <c r="X126" s="635"/>
      <c r="Y126" s="635"/>
      <c r="Z126" s="635"/>
      <c r="AA126" s="635"/>
      <c r="AB126" s="635"/>
      <c r="AC126" s="635"/>
      <c r="AD126" s="635"/>
      <c r="AE126" s="636"/>
      <c r="AF126" s="636"/>
      <c r="AG126" s="636"/>
      <c r="AH126" s="636"/>
      <c r="AI126" s="636"/>
      <c r="AJ126" s="636"/>
      <c r="AK126" s="636"/>
      <c r="AL126" s="636"/>
    </row>
    <row r="127" spans="1:38" hidden="1" x14ac:dyDescent="0.25">
      <c r="A127" s="634">
        <v>33200</v>
      </c>
      <c r="B127" s="632" t="s">
        <v>1323</v>
      </c>
      <c r="C127" s="656">
        <v>1.3861E-2</v>
      </c>
      <c r="D127" s="656">
        <v>1.4274999999999999E-2</v>
      </c>
      <c r="E127" s="661">
        <v>12147277</v>
      </c>
      <c r="F127" s="632">
        <v>603001942</v>
      </c>
      <c r="G127" s="633">
        <v>468027345</v>
      </c>
      <c r="H127" s="633">
        <v>0</v>
      </c>
      <c r="I127" s="633">
        <v>0</v>
      </c>
      <c r="J127" s="633">
        <v>0</v>
      </c>
      <c r="K127" s="633">
        <v>13827995</v>
      </c>
      <c r="L127" s="633">
        <f t="shared" si="3"/>
        <v>13827995</v>
      </c>
      <c r="M127" s="633"/>
      <c r="N127" s="633">
        <v>33558422</v>
      </c>
      <c r="O127" s="633">
        <v>173939</v>
      </c>
      <c r="P127" s="633">
        <v>128892594</v>
      </c>
      <c r="Q127" s="633">
        <v>0</v>
      </c>
      <c r="R127" s="633">
        <f t="shared" si="4"/>
        <v>162624955</v>
      </c>
      <c r="S127" s="633"/>
      <c r="T127" s="633">
        <f t="shared" si="5"/>
        <v>23204045</v>
      </c>
      <c r="U127" s="633">
        <v>2765595</v>
      </c>
      <c r="V127" s="633">
        <v>25969640</v>
      </c>
      <c r="W127" s="635"/>
      <c r="X127" s="635"/>
      <c r="Y127" s="635"/>
      <c r="Z127" s="635"/>
      <c r="AA127" s="635"/>
      <c r="AB127" s="635"/>
      <c r="AC127" s="635"/>
      <c r="AD127" s="635"/>
      <c r="AE127" s="636"/>
      <c r="AF127" s="636"/>
      <c r="AG127" s="636"/>
      <c r="AH127" s="636"/>
      <c r="AI127" s="636"/>
      <c r="AJ127" s="636"/>
      <c r="AK127" s="636"/>
      <c r="AL127" s="636"/>
    </row>
    <row r="128" spans="1:38" hidden="1" x14ac:dyDescent="0.25">
      <c r="A128" s="634">
        <v>33202</v>
      </c>
      <c r="B128" s="632" t="s">
        <v>1324</v>
      </c>
      <c r="C128" s="656">
        <v>1.66E-4</v>
      </c>
      <c r="D128" s="656">
        <v>2.12E-4</v>
      </c>
      <c r="E128" s="661">
        <v>158030</v>
      </c>
      <c r="F128" s="632">
        <v>7214591</v>
      </c>
      <c r="G128" s="633">
        <v>6941474</v>
      </c>
      <c r="H128" s="633">
        <v>0</v>
      </c>
      <c r="I128" s="633">
        <v>0</v>
      </c>
      <c r="J128" s="633">
        <v>0</v>
      </c>
      <c r="K128" s="633">
        <v>1627260</v>
      </c>
      <c r="L128" s="633">
        <f t="shared" si="3"/>
        <v>1627260</v>
      </c>
      <c r="M128" s="633"/>
      <c r="N128" s="633">
        <v>497716</v>
      </c>
      <c r="O128" s="633">
        <v>2580</v>
      </c>
      <c r="P128" s="633">
        <v>1911650</v>
      </c>
      <c r="Q128" s="633">
        <v>0</v>
      </c>
      <c r="R128" s="633">
        <f t="shared" si="4"/>
        <v>2411946</v>
      </c>
      <c r="S128" s="633"/>
      <c r="T128" s="633">
        <f t="shared" si="5"/>
        <v>344147</v>
      </c>
      <c r="U128" s="633">
        <v>325452</v>
      </c>
      <c r="V128" s="633">
        <v>669599</v>
      </c>
      <c r="W128" s="635"/>
      <c r="X128" s="635"/>
      <c r="Y128" s="635"/>
      <c r="Z128" s="635"/>
      <c r="AA128" s="635"/>
      <c r="AB128" s="635"/>
      <c r="AC128" s="635"/>
      <c r="AD128" s="635"/>
      <c r="AE128" s="636"/>
      <c r="AF128" s="636"/>
      <c r="AG128" s="636"/>
      <c r="AH128" s="636"/>
      <c r="AI128" s="636"/>
      <c r="AJ128" s="636"/>
      <c r="AK128" s="636"/>
      <c r="AL128" s="636"/>
    </row>
    <row r="129" spans="1:38" hidden="1" x14ac:dyDescent="0.25">
      <c r="A129" s="634">
        <v>33203</v>
      </c>
      <c r="B129" s="632" t="s">
        <v>1325</v>
      </c>
      <c r="C129" s="656">
        <v>1.15E-4</v>
      </c>
      <c r="D129" s="656">
        <v>1.22E-4</v>
      </c>
      <c r="E129" s="661">
        <v>91892</v>
      </c>
      <c r="F129" s="632">
        <v>4992073</v>
      </c>
      <c r="G129" s="633">
        <v>4006932</v>
      </c>
      <c r="H129" s="633">
        <v>0</v>
      </c>
      <c r="I129" s="633">
        <v>0</v>
      </c>
      <c r="J129" s="633">
        <v>0</v>
      </c>
      <c r="K129" s="633">
        <v>250315</v>
      </c>
      <c r="L129" s="633">
        <f t="shared" si="3"/>
        <v>250315</v>
      </c>
      <c r="M129" s="633"/>
      <c r="N129" s="633">
        <v>287304</v>
      </c>
      <c r="O129" s="633">
        <v>1489</v>
      </c>
      <c r="P129" s="633">
        <v>1103491</v>
      </c>
      <c r="Q129" s="633">
        <v>0</v>
      </c>
      <c r="R129" s="633">
        <f t="shared" si="4"/>
        <v>1392284</v>
      </c>
      <c r="S129" s="633"/>
      <c r="T129" s="633">
        <f t="shared" si="5"/>
        <v>198657</v>
      </c>
      <c r="U129" s="633">
        <v>50063</v>
      </c>
      <c r="V129" s="633">
        <v>248720</v>
      </c>
      <c r="W129" s="635"/>
      <c r="X129" s="635"/>
      <c r="Y129" s="635"/>
      <c r="Z129" s="635"/>
      <c r="AA129" s="635"/>
      <c r="AB129" s="635"/>
      <c r="AC129" s="635"/>
      <c r="AD129" s="635"/>
      <c r="AE129" s="636"/>
      <c r="AF129" s="636"/>
      <c r="AG129" s="636"/>
      <c r="AH129" s="636"/>
      <c r="AI129" s="636"/>
      <c r="AJ129" s="636"/>
      <c r="AK129" s="636"/>
      <c r="AL129" s="636"/>
    </row>
    <row r="130" spans="1:38" hidden="1" x14ac:dyDescent="0.25">
      <c r="A130" s="634">
        <v>33204</v>
      </c>
      <c r="B130" s="632" t="s">
        <v>1326</v>
      </c>
      <c r="C130" s="656">
        <v>4.0499999999999998E-4</v>
      </c>
      <c r="D130" s="656">
        <v>4.4099999999999999E-4</v>
      </c>
      <c r="E130" s="661">
        <v>312411</v>
      </c>
      <c r="F130" s="632">
        <v>17614820</v>
      </c>
      <c r="G130" s="633">
        <v>14468414</v>
      </c>
      <c r="H130" s="633">
        <v>0</v>
      </c>
      <c r="I130" s="633">
        <v>0</v>
      </c>
      <c r="J130" s="633">
        <v>0</v>
      </c>
      <c r="K130" s="633">
        <v>1230005</v>
      </c>
      <c r="L130" s="633">
        <f t="shared" si="3"/>
        <v>1230005</v>
      </c>
      <c r="M130" s="633"/>
      <c r="N130" s="633">
        <v>1037412</v>
      </c>
      <c r="O130" s="633">
        <v>5377</v>
      </c>
      <c r="P130" s="633">
        <v>3984535</v>
      </c>
      <c r="Q130" s="633">
        <v>0</v>
      </c>
      <c r="R130" s="633">
        <f t="shared" si="4"/>
        <v>5027324</v>
      </c>
      <c r="S130" s="633"/>
      <c r="T130" s="633">
        <f t="shared" si="5"/>
        <v>717321</v>
      </c>
      <c r="U130" s="633">
        <v>246004</v>
      </c>
      <c r="V130" s="633">
        <v>963325</v>
      </c>
      <c r="W130" s="635"/>
      <c r="X130" s="635"/>
      <c r="Y130" s="635"/>
      <c r="Z130" s="635"/>
      <c r="AA130" s="635"/>
      <c r="AB130" s="635"/>
      <c r="AC130" s="635"/>
      <c r="AD130" s="635"/>
      <c r="AE130" s="636"/>
      <c r="AF130" s="636"/>
      <c r="AG130" s="636"/>
      <c r="AH130" s="636"/>
      <c r="AI130" s="636"/>
      <c r="AJ130" s="636"/>
      <c r="AK130" s="636"/>
      <c r="AL130" s="636"/>
    </row>
    <row r="131" spans="1:38" hidden="1" x14ac:dyDescent="0.25">
      <c r="A131" s="634">
        <v>33205</v>
      </c>
      <c r="B131" s="632" t="s">
        <v>1327</v>
      </c>
      <c r="C131" s="656">
        <v>1.1180000000000001E-3</v>
      </c>
      <c r="D131" s="656">
        <v>1.078E-3</v>
      </c>
      <c r="E131" s="661">
        <v>1128783</v>
      </c>
      <c r="F131" s="632">
        <v>48649784</v>
      </c>
      <c r="G131" s="633">
        <v>35343440</v>
      </c>
      <c r="H131" s="633">
        <v>0</v>
      </c>
      <c r="I131" s="633">
        <v>0</v>
      </c>
      <c r="J131" s="633">
        <v>0</v>
      </c>
      <c r="K131" s="633">
        <v>0</v>
      </c>
      <c r="L131" s="633">
        <f t="shared" si="3"/>
        <v>0</v>
      </c>
      <c r="M131" s="633"/>
      <c r="N131" s="633">
        <v>2534190</v>
      </c>
      <c r="O131" s="633">
        <v>13135</v>
      </c>
      <c r="P131" s="633">
        <v>9733422</v>
      </c>
      <c r="Q131" s="633">
        <v>1374235</v>
      </c>
      <c r="R131" s="633">
        <f t="shared" si="4"/>
        <v>13654982</v>
      </c>
      <c r="S131" s="633"/>
      <c r="T131" s="633">
        <f t="shared" si="5"/>
        <v>1752271</v>
      </c>
      <c r="U131" s="633">
        <v>-274850</v>
      </c>
      <c r="V131" s="633">
        <v>1477421</v>
      </c>
      <c r="W131" s="635"/>
      <c r="X131" s="635"/>
      <c r="Y131" s="635"/>
      <c r="Z131" s="635"/>
      <c r="AA131" s="635"/>
      <c r="AB131" s="635"/>
      <c r="AC131" s="635"/>
      <c r="AD131" s="635"/>
      <c r="AE131" s="636"/>
      <c r="AF131" s="636"/>
      <c r="AG131" s="636"/>
      <c r="AH131" s="636"/>
      <c r="AI131" s="636"/>
      <c r="AJ131" s="636"/>
      <c r="AK131" s="636"/>
      <c r="AL131" s="636"/>
    </row>
    <row r="132" spans="1:38" hidden="1" x14ac:dyDescent="0.25">
      <c r="A132" s="634">
        <v>33206</v>
      </c>
      <c r="B132" s="632" t="s">
        <v>1328</v>
      </c>
      <c r="C132" s="656">
        <v>9.1000000000000003E-5</v>
      </c>
      <c r="D132" s="656">
        <v>1.01E-4</v>
      </c>
      <c r="E132" s="661">
        <v>90603</v>
      </c>
      <c r="F132" s="632">
        <v>3975469</v>
      </c>
      <c r="G132" s="633">
        <v>3308308</v>
      </c>
      <c r="H132" s="633">
        <v>0</v>
      </c>
      <c r="I132" s="633">
        <v>0</v>
      </c>
      <c r="J132" s="633">
        <v>0</v>
      </c>
      <c r="K132" s="633">
        <v>340795</v>
      </c>
      <c r="L132" s="633">
        <f t="shared" si="3"/>
        <v>340795</v>
      </c>
      <c r="M132" s="633"/>
      <c r="N132" s="633">
        <v>237212</v>
      </c>
      <c r="O132" s="633">
        <v>1230</v>
      </c>
      <c r="P132" s="633">
        <v>911093</v>
      </c>
      <c r="Q132" s="633">
        <v>0</v>
      </c>
      <c r="R132" s="633">
        <f t="shared" si="4"/>
        <v>1149535</v>
      </c>
      <c r="S132" s="633"/>
      <c r="T132" s="633">
        <f t="shared" si="5"/>
        <v>164021</v>
      </c>
      <c r="U132" s="633">
        <v>68160</v>
      </c>
      <c r="V132" s="633">
        <v>232181</v>
      </c>
      <c r="W132" s="635"/>
      <c r="X132" s="635"/>
      <c r="Y132" s="635"/>
      <c r="Z132" s="635"/>
      <c r="AA132" s="635"/>
      <c r="AB132" s="635"/>
      <c r="AC132" s="635"/>
      <c r="AD132" s="635"/>
      <c r="AE132" s="636"/>
      <c r="AF132" s="636"/>
      <c r="AG132" s="636"/>
      <c r="AH132" s="636"/>
      <c r="AI132" s="636"/>
      <c r="AJ132" s="636"/>
      <c r="AK132" s="636"/>
      <c r="AL132" s="636"/>
    </row>
    <row r="133" spans="1:38" hidden="1" x14ac:dyDescent="0.25">
      <c r="A133" s="634">
        <v>33207</v>
      </c>
      <c r="B133" s="632" t="s">
        <v>1329</v>
      </c>
      <c r="C133" s="656">
        <v>1.8799999999999999E-4</v>
      </c>
      <c r="D133" s="656">
        <v>2.8899999999999998E-4</v>
      </c>
      <c r="E133" s="661">
        <v>180973</v>
      </c>
      <c r="F133" s="632">
        <v>8157012</v>
      </c>
      <c r="G133" s="633">
        <v>9486827</v>
      </c>
      <c r="H133" s="633">
        <v>0</v>
      </c>
      <c r="I133" s="633">
        <v>0</v>
      </c>
      <c r="J133" s="633">
        <v>0</v>
      </c>
      <c r="K133" s="633">
        <v>3614020</v>
      </c>
      <c r="L133" s="633">
        <f t="shared" si="3"/>
        <v>3614020</v>
      </c>
      <c r="M133" s="633"/>
      <c r="N133" s="633">
        <v>680223</v>
      </c>
      <c r="O133" s="633">
        <v>3526</v>
      </c>
      <c r="P133" s="633">
        <v>2612629</v>
      </c>
      <c r="Q133" s="633">
        <v>0</v>
      </c>
      <c r="R133" s="633">
        <f t="shared" si="4"/>
        <v>3296378</v>
      </c>
      <c r="S133" s="633"/>
      <c r="T133" s="633">
        <f t="shared" si="5"/>
        <v>470342</v>
      </c>
      <c r="U133" s="633">
        <v>722804</v>
      </c>
      <c r="V133" s="633">
        <v>1193146</v>
      </c>
      <c r="W133" s="635"/>
      <c r="X133" s="635"/>
      <c r="Y133" s="635"/>
      <c r="Z133" s="635"/>
      <c r="AA133" s="635"/>
      <c r="AB133" s="635"/>
      <c r="AC133" s="635"/>
      <c r="AD133" s="635"/>
      <c r="AE133" s="636"/>
      <c r="AF133" s="636"/>
      <c r="AG133" s="636"/>
      <c r="AH133" s="636"/>
      <c r="AI133" s="636"/>
      <c r="AJ133" s="636"/>
      <c r="AK133" s="636"/>
      <c r="AL133" s="636"/>
    </row>
    <row r="134" spans="1:38" hidden="1" x14ac:dyDescent="0.25">
      <c r="A134" s="634">
        <v>33208</v>
      </c>
      <c r="B134" s="632" t="s">
        <v>1330</v>
      </c>
      <c r="C134" s="656">
        <v>3.0000000000000001E-5</v>
      </c>
      <c r="D134" s="656">
        <v>2.6999999999999999E-5</v>
      </c>
      <c r="E134" s="661">
        <v>6304</v>
      </c>
      <c r="F134" s="632">
        <v>1303837</v>
      </c>
      <c r="G134" s="633">
        <v>895903</v>
      </c>
      <c r="H134" s="633">
        <v>0</v>
      </c>
      <c r="I134" s="633">
        <v>0</v>
      </c>
      <c r="J134" s="633">
        <v>0</v>
      </c>
      <c r="K134" s="633">
        <v>0</v>
      </c>
      <c r="L134" s="633">
        <f t="shared" si="3"/>
        <v>0</v>
      </c>
      <c r="M134" s="633"/>
      <c r="N134" s="633">
        <v>64238</v>
      </c>
      <c r="O134" s="633">
        <v>333</v>
      </c>
      <c r="P134" s="633">
        <v>246728</v>
      </c>
      <c r="Q134" s="633">
        <v>112295</v>
      </c>
      <c r="R134" s="633">
        <f t="shared" si="4"/>
        <v>423594</v>
      </c>
      <c r="S134" s="633"/>
      <c r="T134" s="633">
        <f t="shared" si="5"/>
        <v>44417</v>
      </c>
      <c r="U134" s="633">
        <v>-22454</v>
      </c>
      <c r="V134" s="633">
        <v>21963</v>
      </c>
      <c r="W134" s="635"/>
      <c r="X134" s="635"/>
      <c r="Y134" s="635"/>
      <c r="Z134" s="635"/>
      <c r="AA134" s="635"/>
      <c r="AB134" s="635"/>
      <c r="AC134" s="635"/>
      <c r="AD134" s="635"/>
      <c r="AE134" s="636"/>
      <c r="AF134" s="636"/>
      <c r="AG134" s="636"/>
      <c r="AH134" s="636"/>
      <c r="AI134" s="636"/>
      <c r="AJ134" s="636"/>
      <c r="AK134" s="636"/>
      <c r="AL134" s="636"/>
    </row>
    <row r="135" spans="1:38" hidden="1" x14ac:dyDescent="0.25">
      <c r="A135" s="634">
        <v>33209</v>
      </c>
      <c r="B135" s="632" t="s">
        <v>1331</v>
      </c>
      <c r="C135" s="656">
        <v>6.8999999999999997E-5</v>
      </c>
      <c r="D135" s="656">
        <v>7.4999999999999993E-5</v>
      </c>
      <c r="E135" s="661">
        <v>56671</v>
      </c>
      <c r="F135" s="632">
        <v>3006485</v>
      </c>
      <c r="G135" s="633">
        <v>2453128</v>
      </c>
      <c r="H135" s="633">
        <v>0</v>
      </c>
      <c r="I135" s="633">
        <v>0</v>
      </c>
      <c r="J135" s="633">
        <v>0</v>
      </c>
      <c r="K135" s="633">
        <v>195065</v>
      </c>
      <c r="L135" s="633">
        <f t="shared" si="3"/>
        <v>195065</v>
      </c>
      <c r="M135" s="633"/>
      <c r="N135" s="633">
        <v>175894</v>
      </c>
      <c r="O135" s="633">
        <v>912</v>
      </c>
      <c r="P135" s="633">
        <v>675580</v>
      </c>
      <c r="Q135" s="633">
        <v>0</v>
      </c>
      <c r="R135" s="633">
        <f t="shared" si="4"/>
        <v>852386</v>
      </c>
      <c r="S135" s="633"/>
      <c r="T135" s="633">
        <f t="shared" si="5"/>
        <v>121622</v>
      </c>
      <c r="U135" s="633">
        <v>39013</v>
      </c>
      <c r="V135" s="633">
        <v>160635</v>
      </c>
      <c r="W135" s="635"/>
      <c r="X135" s="635"/>
      <c r="Y135" s="635"/>
      <c r="Z135" s="635"/>
      <c r="AA135" s="635"/>
      <c r="AB135" s="635"/>
      <c r="AC135" s="635"/>
      <c r="AD135" s="635"/>
      <c r="AE135" s="636"/>
      <c r="AF135" s="636"/>
      <c r="AG135" s="636"/>
      <c r="AH135" s="636"/>
      <c r="AI135" s="636"/>
      <c r="AJ135" s="636"/>
      <c r="AK135" s="636"/>
      <c r="AL135" s="636"/>
    </row>
    <row r="136" spans="1:38" hidden="1" x14ac:dyDescent="0.25">
      <c r="A136" s="634">
        <v>33300</v>
      </c>
      <c r="B136" s="632" t="s">
        <v>1332</v>
      </c>
      <c r="C136" s="656">
        <v>1.9980000000000002E-3</v>
      </c>
      <c r="D136" s="656">
        <v>2.0630000000000002E-3</v>
      </c>
      <c r="E136" s="661">
        <v>1895180</v>
      </c>
      <c r="F136" s="632">
        <v>86919463</v>
      </c>
      <c r="G136" s="633">
        <v>67632801</v>
      </c>
      <c r="H136" s="633">
        <v>0</v>
      </c>
      <c r="I136" s="633">
        <v>0</v>
      </c>
      <c r="J136" s="633">
        <v>0</v>
      </c>
      <c r="K136" s="633">
        <v>2296410</v>
      </c>
      <c r="L136" s="633">
        <f t="shared" ref="L136:L199" si="6">SUM(H136:K136)</f>
        <v>2296410</v>
      </c>
      <c r="M136" s="633"/>
      <c r="N136" s="633">
        <v>4849396</v>
      </c>
      <c r="O136" s="633">
        <v>25135</v>
      </c>
      <c r="P136" s="633">
        <v>18625765</v>
      </c>
      <c r="Q136" s="633">
        <v>0</v>
      </c>
      <c r="R136" s="633">
        <f t="shared" ref="R136:R199" si="7">SUM(N136:Q136)</f>
        <v>23500296</v>
      </c>
      <c r="S136" s="633"/>
      <c r="T136" s="633">
        <f t="shared" ref="T136:T199" si="8">V136-U136</f>
        <v>3353126</v>
      </c>
      <c r="U136" s="633">
        <v>459278</v>
      </c>
      <c r="V136" s="633">
        <v>3812404</v>
      </c>
      <c r="W136" s="635"/>
      <c r="X136" s="635"/>
      <c r="Y136" s="635"/>
      <c r="Z136" s="635"/>
      <c r="AA136" s="635"/>
      <c r="AB136" s="635"/>
      <c r="AC136" s="635"/>
      <c r="AD136" s="635"/>
      <c r="AE136" s="636"/>
      <c r="AF136" s="636"/>
      <c r="AG136" s="636"/>
      <c r="AH136" s="636"/>
      <c r="AI136" s="636"/>
      <c r="AJ136" s="636"/>
      <c r="AK136" s="636"/>
      <c r="AL136" s="636"/>
    </row>
    <row r="137" spans="1:38" hidden="1" x14ac:dyDescent="0.25">
      <c r="A137" s="634">
        <v>33305</v>
      </c>
      <c r="B137" s="632" t="s">
        <v>1333</v>
      </c>
      <c r="C137" s="656">
        <v>5.1000000000000004E-4</v>
      </c>
      <c r="D137" s="656">
        <v>4.9299999999999995E-4</v>
      </c>
      <c r="E137" s="661">
        <v>556456</v>
      </c>
      <c r="F137" s="632">
        <v>22163784</v>
      </c>
      <c r="G137" s="633">
        <v>16162132</v>
      </c>
      <c r="H137" s="633">
        <v>0</v>
      </c>
      <c r="I137" s="633">
        <v>0</v>
      </c>
      <c r="J137" s="633">
        <v>0</v>
      </c>
      <c r="K137" s="633">
        <v>0</v>
      </c>
      <c r="L137" s="633">
        <f t="shared" si="6"/>
        <v>0</v>
      </c>
      <c r="M137" s="633"/>
      <c r="N137" s="633">
        <v>1158855</v>
      </c>
      <c r="O137" s="633">
        <v>6007</v>
      </c>
      <c r="P137" s="633">
        <v>4450977</v>
      </c>
      <c r="Q137" s="633">
        <v>525545</v>
      </c>
      <c r="R137" s="633">
        <f t="shared" si="7"/>
        <v>6141384</v>
      </c>
      <c r="S137" s="633"/>
      <c r="T137" s="633">
        <f t="shared" si="8"/>
        <v>801293</v>
      </c>
      <c r="U137" s="633">
        <v>-105105</v>
      </c>
      <c r="V137" s="633">
        <v>696188</v>
      </c>
      <c r="W137" s="635"/>
      <c r="X137" s="635"/>
      <c r="Y137" s="635"/>
      <c r="Z137" s="635"/>
      <c r="AA137" s="635"/>
      <c r="AB137" s="635"/>
      <c r="AC137" s="635"/>
      <c r="AD137" s="635"/>
      <c r="AE137" s="636"/>
      <c r="AF137" s="636"/>
      <c r="AG137" s="636"/>
      <c r="AH137" s="636"/>
      <c r="AI137" s="636"/>
      <c r="AJ137" s="636"/>
      <c r="AK137" s="636"/>
      <c r="AL137" s="636"/>
    </row>
    <row r="138" spans="1:38" hidden="1" x14ac:dyDescent="0.25">
      <c r="A138" s="634">
        <v>33400</v>
      </c>
      <c r="B138" s="632" t="s">
        <v>1334</v>
      </c>
      <c r="C138" s="656">
        <v>1.7769E-2</v>
      </c>
      <c r="D138" s="656">
        <v>1.8637000000000001E-2</v>
      </c>
      <c r="E138" s="661">
        <v>16946432</v>
      </c>
      <c r="F138" s="632">
        <v>773027436</v>
      </c>
      <c r="G138" s="633">
        <v>611031994</v>
      </c>
      <c r="H138" s="633">
        <v>0</v>
      </c>
      <c r="I138" s="633">
        <v>0</v>
      </c>
      <c r="J138" s="633">
        <v>0</v>
      </c>
      <c r="K138" s="633">
        <v>30809690</v>
      </c>
      <c r="L138" s="633">
        <f t="shared" si="6"/>
        <v>30809690</v>
      </c>
      <c r="M138" s="633"/>
      <c r="N138" s="633">
        <v>43812118</v>
      </c>
      <c r="O138" s="633">
        <v>227086</v>
      </c>
      <c r="P138" s="633">
        <v>168275421</v>
      </c>
      <c r="Q138" s="633">
        <v>0</v>
      </c>
      <c r="R138" s="633">
        <f t="shared" si="7"/>
        <v>212314625</v>
      </c>
      <c r="S138" s="633"/>
      <c r="T138" s="633">
        <f t="shared" si="8"/>
        <v>30293985</v>
      </c>
      <c r="U138" s="633">
        <v>6161940</v>
      </c>
      <c r="V138" s="633">
        <v>36455925</v>
      </c>
      <c r="W138" s="635"/>
      <c r="X138" s="635"/>
      <c r="Y138" s="635"/>
      <c r="Z138" s="635"/>
      <c r="AA138" s="635"/>
      <c r="AB138" s="635"/>
      <c r="AC138" s="635"/>
      <c r="AD138" s="635"/>
      <c r="AE138" s="636"/>
      <c r="AF138" s="636"/>
      <c r="AG138" s="636"/>
      <c r="AH138" s="636"/>
      <c r="AI138" s="636"/>
      <c r="AJ138" s="636"/>
      <c r="AK138" s="636"/>
      <c r="AL138" s="636"/>
    </row>
    <row r="139" spans="1:38" hidden="1" x14ac:dyDescent="0.25">
      <c r="A139" s="634">
        <v>33402</v>
      </c>
      <c r="B139" s="632" t="s">
        <v>1335</v>
      </c>
      <c r="C139" s="656">
        <v>1.4100000000000001E-4</v>
      </c>
      <c r="D139" s="656">
        <v>1.5100000000000001E-4</v>
      </c>
      <c r="E139" s="661">
        <v>121377</v>
      </c>
      <c r="F139" s="632">
        <v>6115074</v>
      </c>
      <c r="G139" s="633">
        <v>4960057</v>
      </c>
      <c r="H139" s="633">
        <v>0</v>
      </c>
      <c r="I139" s="633">
        <v>0</v>
      </c>
      <c r="J139" s="633">
        <v>0</v>
      </c>
      <c r="K139" s="633">
        <v>369930</v>
      </c>
      <c r="L139" s="633">
        <f t="shared" si="6"/>
        <v>369930</v>
      </c>
      <c r="M139" s="633"/>
      <c r="N139" s="633">
        <v>355645</v>
      </c>
      <c r="O139" s="633">
        <v>1843</v>
      </c>
      <c r="P139" s="633">
        <v>1365977</v>
      </c>
      <c r="Q139" s="633">
        <v>0</v>
      </c>
      <c r="R139" s="633">
        <f t="shared" si="7"/>
        <v>1723465</v>
      </c>
      <c r="S139" s="633"/>
      <c r="T139" s="633">
        <f t="shared" si="8"/>
        <v>245912</v>
      </c>
      <c r="U139" s="633">
        <v>73985</v>
      </c>
      <c r="V139" s="633">
        <v>319897</v>
      </c>
      <c r="W139" s="635"/>
      <c r="X139" s="635"/>
      <c r="Y139" s="635"/>
      <c r="Z139" s="635"/>
      <c r="AA139" s="635"/>
      <c r="AB139" s="635"/>
      <c r="AC139" s="635"/>
      <c r="AD139" s="635"/>
      <c r="AE139" s="636"/>
      <c r="AF139" s="636"/>
      <c r="AG139" s="636"/>
      <c r="AH139" s="636"/>
      <c r="AI139" s="636"/>
      <c r="AJ139" s="636"/>
      <c r="AK139" s="636"/>
      <c r="AL139" s="636"/>
    </row>
    <row r="140" spans="1:38" hidden="1" x14ac:dyDescent="0.25">
      <c r="A140" s="634">
        <v>33405</v>
      </c>
      <c r="B140" s="632" t="s">
        <v>1336</v>
      </c>
      <c r="C140" s="656">
        <v>1.786E-3</v>
      </c>
      <c r="D140" s="656">
        <v>1.663E-3</v>
      </c>
      <c r="E140" s="661">
        <v>1764451</v>
      </c>
      <c r="F140" s="632">
        <v>77698256</v>
      </c>
      <c r="G140" s="633">
        <v>54530162</v>
      </c>
      <c r="H140" s="633">
        <v>0</v>
      </c>
      <c r="I140" s="633">
        <v>0</v>
      </c>
      <c r="J140" s="633">
        <v>0</v>
      </c>
      <c r="K140" s="633">
        <v>0</v>
      </c>
      <c r="L140" s="633">
        <f t="shared" si="6"/>
        <v>0</v>
      </c>
      <c r="M140" s="633"/>
      <c r="N140" s="633">
        <v>3909913</v>
      </c>
      <c r="O140" s="633">
        <v>20266</v>
      </c>
      <c r="P140" s="633">
        <v>15017358</v>
      </c>
      <c r="Q140" s="633">
        <v>4299685</v>
      </c>
      <c r="R140" s="633">
        <f t="shared" si="7"/>
        <v>23247222</v>
      </c>
      <c r="S140" s="633"/>
      <c r="T140" s="633">
        <f t="shared" si="8"/>
        <v>2703518</v>
      </c>
      <c r="U140" s="633">
        <v>-859940</v>
      </c>
      <c r="V140" s="633">
        <v>1843578</v>
      </c>
      <c r="W140" s="635"/>
      <c r="X140" s="635"/>
      <c r="Y140" s="635"/>
      <c r="Z140" s="635"/>
      <c r="AA140" s="635"/>
      <c r="AB140" s="635"/>
      <c r="AC140" s="635"/>
      <c r="AD140" s="635"/>
      <c r="AE140" s="636"/>
      <c r="AF140" s="636"/>
      <c r="AG140" s="636"/>
      <c r="AH140" s="636"/>
      <c r="AI140" s="636"/>
      <c r="AJ140" s="636"/>
      <c r="AK140" s="636"/>
      <c r="AL140" s="636"/>
    </row>
    <row r="141" spans="1:38" hidden="1" x14ac:dyDescent="0.25">
      <c r="A141" s="634">
        <v>33500</v>
      </c>
      <c r="B141" s="632" t="s">
        <v>1337</v>
      </c>
      <c r="C141" s="656">
        <v>2.9710000000000001E-3</v>
      </c>
      <c r="D141" s="656">
        <v>2.9740000000000001E-3</v>
      </c>
      <c r="E141" s="661">
        <v>2527287</v>
      </c>
      <c r="F141" s="632">
        <v>129225268</v>
      </c>
      <c r="G141" s="633">
        <v>97501426</v>
      </c>
      <c r="H141" s="633">
        <v>0</v>
      </c>
      <c r="I141" s="633">
        <v>0</v>
      </c>
      <c r="J141" s="633">
        <v>0</v>
      </c>
      <c r="K141" s="633">
        <v>0</v>
      </c>
      <c r="L141" s="633">
        <f t="shared" si="6"/>
        <v>0</v>
      </c>
      <c r="M141" s="633"/>
      <c r="N141" s="633">
        <v>6991032</v>
      </c>
      <c r="O141" s="633">
        <v>36236</v>
      </c>
      <c r="P141" s="633">
        <v>26851448</v>
      </c>
      <c r="Q141" s="633">
        <v>126505</v>
      </c>
      <c r="R141" s="633">
        <f t="shared" si="7"/>
        <v>34005221</v>
      </c>
      <c r="S141" s="633"/>
      <c r="T141" s="633">
        <f t="shared" si="8"/>
        <v>4833964</v>
      </c>
      <c r="U141" s="633">
        <v>-25299</v>
      </c>
      <c r="V141" s="633">
        <v>4808665</v>
      </c>
      <c r="W141" s="635"/>
      <c r="X141" s="635"/>
      <c r="Y141" s="635"/>
      <c r="Z141" s="635"/>
      <c r="AA141" s="635"/>
      <c r="AB141" s="635"/>
      <c r="AC141" s="635"/>
      <c r="AD141" s="635"/>
      <c r="AE141" s="636"/>
      <c r="AF141" s="636"/>
      <c r="AG141" s="636"/>
      <c r="AH141" s="636"/>
      <c r="AI141" s="636"/>
      <c r="AJ141" s="636"/>
      <c r="AK141" s="636"/>
      <c r="AL141" s="636"/>
    </row>
    <row r="142" spans="1:38" hidden="1" x14ac:dyDescent="0.25">
      <c r="A142" s="634">
        <v>33501</v>
      </c>
      <c r="B142" s="632" t="s">
        <v>1338</v>
      </c>
      <c r="C142" s="656">
        <v>6.2000000000000003E-5</v>
      </c>
      <c r="D142" s="656">
        <v>7.2000000000000002E-5</v>
      </c>
      <c r="E142" s="661">
        <v>55955</v>
      </c>
      <c r="F142" s="632">
        <v>2683493</v>
      </c>
      <c r="G142" s="633">
        <v>2363943</v>
      </c>
      <c r="H142" s="633">
        <v>0</v>
      </c>
      <c r="I142" s="633">
        <v>0</v>
      </c>
      <c r="J142" s="633">
        <v>0</v>
      </c>
      <c r="K142" s="633">
        <v>367165</v>
      </c>
      <c r="L142" s="633">
        <f t="shared" si="6"/>
        <v>367165</v>
      </c>
      <c r="M142" s="633"/>
      <c r="N142" s="633">
        <v>169499</v>
      </c>
      <c r="O142" s="633">
        <v>879</v>
      </c>
      <c r="P142" s="633">
        <v>651019</v>
      </c>
      <c r="Q142" s="633">
        <v>0</v>
      </c>
      <c r="R142" s="633">
        <f t="shared" si="7"/>
        <v>821397</v>
      </c>
      <c r="S142" s="633"/>
      <c r="T142" s="633">
        <f t="shared" si="8"/>
        <v>117201</v>
      </c>
      <c r="U142" s="633">
        <v>73437</v>
      </c>
      <c r="V142" s="633">
        <v>190638</v>
      </c>
      <c r="W142" s="635"/>
      <c r="X142" s="635"/>
      <c r="Y142" s="635"/>
      <c r="Z142" s="635"/>
      <c r="AA142" s="635"/>
      <c r="AB142" s="635"/>
      <c r="AC142" s="635"/>
      <c r="AD142" s="635"/>
      <c r="AE142" s="636"/>
      <c r="AF142" s="636"/>
      <c r="AG142" s="636"/>
      <c r="AH142" s="636"/>
      <c r="AI142" s="636"/>
      <c r="AJ142" s="636"/>
      <c r="AK142" s="636"/>
      <c r="AL142" s="636"/>
    </row>
    <row r="143" spans="1:38" hidden="1" x14ac:dyDescent="0.25">
      <c r="A143" s="634">
        <v>33600</v>
      </c>
      <c r="B143" s="632" t="s">
        <v>1339</v>
      </c>
      <c r="C143" s="656">
        <v>9.4149999999999998E-3</v>
      </c>
      <c r="D143" s="656">
        <v>9.9699999999999997E-3</v>
      </c>
      <c r="E143" s="661">
        <v>8723375</v>
      </c>
      <c r="F143" s="632">
        <v>409571482</v>
      </c>
      <c r="G143" s="633">
        <v>326892034</v>
      </c>
      <c r="H143" s="633">
        <v>0</v>
      </c>
      <c r="I143" s="633">
        <v>0</v>
      </c>
      <c r="J143" s="633">
        <v>0</v>
      </c>
      <c r="K143" s="633">
        <v>19518310</v>
      </c>
      <c r="L143" s="633">
        <f t="shared" si="6"/>
        <v>19518310</v>
      </c>
      <c r="M143" s="633"/>
      <c r="N143" s="633">
        <v>23438760</v>
      </c>
      <c r="O143" s="633">
        <v>121487</v>
      </c>
      <c r="P143" s="633">
        <v>90024574</v>
      </c>
      <c r="Q143" s="633">
        <v>0</v>
      </c>
      <c r="R143" s="633">
        <f t="shared" si="7"/>
        <v>113584821</v>
      </c>
      <c r="S143" s="633"/>
      <c r="T143" s="633">
        <f t="shared" si="8"/>
        <v>16206782</v>
      </c>
      <c r="U143" s="633">
        <v>3903656</v>
      </c>
      <c r="V143" s="633">
        <v>20110438</v>
      </c>
      <c r="W143" s="635"/>
      <c r="X143" s="635"/>
      <c r="Y143" s="635"/>
      <c r="Z143" s="635"/>
      <c r="AA143" s="635"/>
      <c r="AB143" s="635"/>
      <c r="AC143" s="635"/>
      <c r="AD143" s="635"/>
      <c r="AE143" s="636"/>
      <c r="AF143" s="636"/>
      <c r="AG143" s="636"/>
      <c r="AH143" s="636"/>
      <c r="AI143" s="636"/>
      <c r="AJ143" s="636"/>
      <c r="AK143" s="636"/>
      <c r="AL143" s="636"/>
    </row>
    <row r="144" spans="1:38" hidden="1" x14ac:dyDescent="0.25">
      <c r="A144" s="634">
        <v>33605</v>
      </c>
      <c r="B144" s="632" t="s">
        <v>1340</v>
      </c>
      <c r="C144" s="656">
        <v>1.253E-3</v>
      </c>
      <c r="D144" s="656">
        <v>1.2149999999999999E-3</v>
      </c>
      <c r="E144" s="661">
        <v>1339219</v>
      </c>
      <c r="F144" s="632">
        <v>54527233</v>
      </c>
      <c r="G144" s="633">
        <v>39838354</v>
      </c>
      <c r="H144" s="633">
        <v>0</v>
      </c>
      <c r="I144" s="633">
        <v>0</v>
      </c>
      <c r="J144" s="633">
        <v>0</v>
      </c>
      <c r="K144" s="633">
        <v>0</v>
      </c>
      <c r="L144" s="633">
        <f t="shared" si="6"/>
        <v>0</v>
      </c>
      <c r="M144" s="633"/>
      <c r="N144" s="633">
        <v>2856483</v>
      </c>
      <c r="O144" s="633">
        <v>14806</v>
      </c>
      <c r="P144" s="633">
        <v>10971301</v>
      </c>
      <c r="Q144" s="633">
        <v>1235160</v>
      </c>
      <c r="R144" s="633">
        <f t="shared" si="7"/>
        <v>15077750</v>
      </c>
      <c r="S144" s="633"/>
      <c r="T144" s="633">
        <f t="shared" si="8"/>
        <v>1975122</v>
      </c>
      <c r="U144" s="633">
        <v>-247032</v>
      </c>
      <c r="V144" s="633">
        <v>1728090</v>
      </c>
      <c r="W144" s="635"/>
      <c r="X144" s="635"/>
      <c r="Y144" s="635"/>
      <c r="Z144" s="635"/>
      <c r="AA144" s="635"/>
      <c r="AB144" s="635"/>
      <c r="AC144" s="635"/>
      <c r="AD144" s="635"/>
      <c r="AE144" s="636"/>
      <c r="AF144" s="636"/>
      <c r="AG144" s="636"/>
      <c r="AH144" s="636"/>
      <c r="AI144" s="636"/>
      <c r="AJ144" s="636"/>
      <c r="AK144" s="636"/>
      <c r="AL144" s="636"/>
    </row>
    <row r="145" spans="1:38" hidden="1" x14ac:dyDescent="0.25">
      <c r="A145" s="634">
        <v>33700</v>
      </c>
      <c r="B145" s="632" t="s">
        <v>1341</v>
      </c>
      <c r="C145" s="656">
        <v>6.6799999999999997E-4</v>
      </c>
      <c r="D145" s="656">
        <v>6.7199999999999996E-4</v>
      </c>
      <c r="E145" s="661">
        <v>630168</v>
      </c>
      <c r="F145" s="632">
        <v>29058318</v>
      </c>
      <c r="G145" s="633">
        <v>22044368</v>
      </c>
      <c r="H145" s="633">
        <v>0</v>
      </c>
      <c r="I145" s="633">
        <v>0</v>
      </c>
      <c r="J145" s="633">
        <v>0</v>
      </c>
      <c r="K145" s="633">
        <v>152525</v>
      </c>
      <c r="L145" s="633">
        <f t="shared" si="6"/>
        <v>152525</v>
      </c>
      <c r="M145" s="633"/>
      <c r="N145" s="633">
        <v>1580622</v>
      </c>
      <c r="O145" s="633">
        <v>8193</v>
      </c>
      <c r="P145" s="633">
        <v>6070918</v>
      </c>
      <c r="Q145" s="633">
        <v>0</v>
      </c>
      <c r="R145" s="633">
        <f t="shared" si="7"/>
        <v>7659733</v>
      </c>
      <c r="S145" s="633"/>
      <c r="T145" s="633">
        <f t="shared" si="8"/>
        <v>1092924</v>
      </c>
      <c r="U145" s="633">
        <v>30502</v>
      </c>
      <c r="V145" s="633">
        <v>1123426</v>
      </c>
      <c r="W145" s="635"/>
      <c r="X145" s="635"/>
      <c r="Y145" s="635"/>
      <c r="Z145" s="635"/>
      <c r="AA145" s="635"/>
      <c r="AB145" s="635"/>
      <c r="AC145" s="635"/>
      <c r="AD145" s="635"/>
      <c r="AE145" s="636"/>
      <c r="AF145" s="636"/>
      <c r="AG145" s="636"/>
      <c r="AH145" s="636"/>
      <c r="AI145" s="636"/>
      <c r="AJ145" s="636"/>
      <c r="AK145" s="636"/>
      <c r="AL145" s="636"/>
    </row>
    <row r="146" spans="1:38" hidden="1" x14ac:dyDescent="0.25">
      <c r="A146" s="634">
        <v>33800</v>
      </c>
      <c r="B146" s="632" t="s">
        <v>1342</v>
      </c>
      <c r="C146" s="656">
        <v>5.0500000000000002E-4</v>
      </c>
      <c r="D146" s="656">
        <v>5.2599999999999999E-4</v>
      </c>
      <c r="E146" s="661">
        <v>476289</v>
      </c>
      <c r="F146" s="632">
        <v>21971080</v>
      </c>
      <c r="G146" s="633">
        <v>17257472</v>
      </c>
      <c r="H146" s="633">
        <v>0</v>
      </c>
      <c r="I146" s="633">
        <v>0</v>
      </c>
      <c r="J146" s="633">
        <v>0</v>
      </c>
      <c r="K146" s="633">
        <v>752930</v>
      </c>
      <c r="L146" s="633">
        <f t="shared" si="6"/>
        <v>752930</v>
      </c>
      <c r="M146" s="633"/>
      <c r="N146" s="633">
        <v>1237392</v>
      </c>
      <c r="O146" s="633">
        <v>6414</v>
      </c>
      <c r="P146" s="633">
        <v>4752629</v>
      </c>
      <c r="Q146" s="633">
        <v>0</v>
      </c>
      <c r="R146" s="633">
        <f t="shared" si="7"/>
        <v>5996435</v>
      </c>
      <c r="S146" s="633"/>
      <c r="T146" s="633">
        <f t="shared" si="8"/>
        <v>855598</v>
      </c>
      <c r="U146" s="633">
        <v>150588</v>
      </c>
      <c r="V146" s="633">
        <v>1006186</v>
      </c>
      <c r="W146" s="635"/>
      <c r="X146" s="635"/>
      <c r="Y146" s="635"/>
      <c r="Z146" s="635"/>
      <c r="AA146" s="635"/>
      <c r="AB146" s="635"/>
      <c r="AC146" s="635"/>
      <c r="AD146" s="635"/>
      <c r="AE146" s="636"/>
      <c r="AF146" s="636"/>
      <c r="AG146" s="636"/>
      <c r="AH146" s="636"/>
      <c r="AI146" s="636"/>
      <c r="AJ146" s="636"/>
      <c r="AK146" s="636"/>
      <c r="AL146" s="636"/>
    </row>
    <row r="147" spans="1:38" hidden="1" x14ac:dyDescent="0.25">
      <c r="A147" s="634">
        <v>33900</v>
      </c>
      <c r="B147" s="632" t="s">
        <v>1343</v>
      </c>
      <c r="C147" s="656">
        <v>2.6350000000000002E-3</v>
      </c>
      <c r="D147" s="656">
        <v>2.6440000000000001E-3</v>
      </c>
      <c r="E147" s="661">
        <v>2458409</v>
      </c>
      <c r="F147" s="632">
        <v>114626821</v>
      </c>
      <c r="G147" s="633">
        <v>86700782</v>
      </c>
      <c r="H147" s="633">
        <v>0</v>
      </c>
      <c r="I147" s="633">
        <v>0</v>
      </c>
      <c r="J147" s="633">
        <v>0</v>
      </c>
      <c r="K147" s="633">
        <v>299760</v>
      </c>
      <c r="L147" s="633">
        <f t="shared" si="6"/>
        <v>299760</v>
      </c>
      <c r="M147" s="633"/>
      <c r="N147" s="633">
        <v>6216606</v>
      </c>
      <c r="O147" s="633">
        <v>32222</v>
      </c>
      <c r="P147" s="633">
        <v>23877000</v>
      </c>
      <c r="Q147" s="633">
        <v>0</v>
      </c>
      <c r="R147" s="633">
        <f t="shared" si="7"/>
        <v>30125828</v>
      </c>
      <c r="S147" s="633"/>
      <c r="T147" s="633">
        <f t="shared" si="8"/>
        <v>4298486</v>
      </c>
      <c r="U147" s="633">
        <v>59951</v>
      </c>
      <c r="V147" s="633">
        <v>4358437</v>
      </c>
      <c r="W147" s="635"/>
      <c r="X147" s="635"/>
      <c r="Y147" s="635"/>
      <c r="Z147" s="635"/>
      <c r="AA147" s="635"/>
      <c r="AB147" s="635"/>
      <c r="AC147" s="635"/>
      <c r="AD147" s="635"/>
      <c r="AE147" s="636"/>
      <c r="AF147" s="636"/>
      <c r="AG147" s="636"/>
      <c r="AH147" s="636"/>
      <c r="AI147" s="636"/>
      <c r="AJ147" s="636"/>
      <c r="AK147" s="636"/>
      <c r="AL147" s="636"/>
    </row>
    <row r="148" spans="1:38" hidden="1" x14ac:dyDescent="0.25">
      <c r="A148" s="634">
        <v>34000</v>
      </c>
      <c r="B148" s="632" t="s">
        <v>1344</v>
      </c>
      <c r="C148" s="656">
        <v>1.1490000000000001E-3</v>
      </c>
      <c r="D148" s="656">
        <v>1.1969999999999999E-3</v>
      </c>
      <c r="E148" s="661">
        <v>1035624</v>
      </c>
      <c r="F148" s="632">
        <v>50003563</v>
      </c>
      <c r="G148" s="633">
        <v>39260073</v>
      </c>
      <c r="H148" s="633">
        <v>0</v>
      </c>
      <c r="I148" s="633">
        <v>0</v>
      </c>
      <c r="J148" s="633">
        <v>0</v>
      </c>
      <c r="K148" s="633">
        <v>1656115</v>
      </c>
      <c r="L148" s="633">
        <f t="shared" si="6"/>
        <v>1656115</v>
      </c>
      <c r="M148" s="633"/>
      <c r="N148" s="633">
        <v>2815019</v>
      </c>
      <c r="O148" s="633">
        <v>14591</v>
      </c>
      <c r="P148" s="633">
        <v>10812045</v>
      </c>
      <c r="Q148" s="633">
        <v>0</v>
      </c>
      <c r="R148" s="633">
        <f t="shared" si="7"/>
        <v>13641655</v>
      </c>
      <c r="S148" s="633"/>
      <c r="T148" s="633">
        <f t="shared" si="8"/>
        <v>1946451</v>
      </c>
      <c r="U148" s="633">
        <v>331223</v>
      </c>
      <c r="V148" s="633">
        <v>2277674</v>
      </c>
      <c r="W148" s="635"/>
      <c r="X148" s="635"/>
      <c r="Y148" s="635"/>
      <c r="Z148" s="635"/>
      <c r="AA148" s="635"/>
      <c r="AB148" s="635"/>
      <c r="AC148" s="635"/>
      <c r="AD148" s="635"/>
      <c r="AE148" s="636"/>
      <c r="AF148" s="636"/>
      <c r="AG148" s="636"/>
      <c r="AH148" s="636"/>
      <c r="AI148" s="636"/>
      <c r="AJ148" s="636"/>
      <c r="AK148" s="636"/>
      <c r="AL148" s="636"/>
    </row>
    <row r="149" spans="1:38" hidden="1" x14ac:dyDescent="0.25">
      <c r="A149" s="634">
        <v>34100</v>
      </c>
      <c r="B149" s="632" t="s">
        <v>1345</v>
      </c>
      <c r="C149" s="656">
        <v>2.6079000000000001E-2</v>
      </c>
      <c r="D149" s="656">
        <v>2.6720000000000001E-2</v>
      </c>
      <c r="E149" s="661">
        <v>23151311</v>
      </c>
      <c r="F149" s="632">
        <v>1134540199</v>
      </c>
      <c r="G149" s="633">
        <v>876058743</v>
      </c>
      <c r="H149" s="633">
        <v>0</v>
      </c>
      <c r="I149" s="633">
        <v>0</v>
      </c>
      <c r="J149" s="633">
        <v>0</v>
      </c>
      <c r="K149" s="633">
        <v>21366210</v>
      </c>
      <c r="L149" s="633">
        <f t="shared" si="6"/>
        <v>21366210</v>
      </c>
      <c r="M149" s="633"/>
      <c r="N149" s="633">
        <v>62815023</v>
      </c>
      <c r="O149" s="633">
        <v>325581</v>
      </c>
      <c r="P149" s="633">
        <v>241262578</v>
      </c>
      <c r="Q149" s="633">
        <v>0</v>
      </c>
      <c r="R149" s="633">
        <f t="shared" si="7"/>
        <v>304403182</v>
      </c>
      <c r="S149" s="633"/>
      <c r="T149" s="633">
        <f t="shared" si="8"/>
        <v>43433586</v>
      </c>
      <c r="U149" s="633">
        <v>4273242</v>
      </c>
      <c r="V149" s="633">
        <v>47706828</v>
      </c>
      <c r="W149" s="635"/>
      <c r="X149" s="635"/>
      <c r="Y149" s="635"/>
      <c r="Z149" s="635"/>
      <c r="AA149" s="635"/>
      <c r="AB149" s="635"/>
      <c r="AC149" s="635"/>
      <c r="AD149" s="635"/>
      <c r="AE149" s="636"/>
      <c r="AF149" s="636"/>
      <c r="AG149" s="636"/>
      <c r="AH149" s="636"/>
      <c r="AI149" s="636"/>
      <c r="AJ149" s="636"/>
      <c r="AK149" s="636"/>
      <c r="AL149" s="636"/>
    </row>
    <row r="150" spans="1:38" hidden="1" x14ac:dyDescent="0.25">
      <c r="A150" s="634">
        <v>34105</v>
      </c>
      <c r="B150" s="632" t="s">
        <v>1346</v>
      </c>
      <c r="C150" s="656">
        <v>2.1879999999999998E-3</v>
      </c>
      <c r="D150" s="656">
        <v>2.1159999999999998E-3</v>
      </c>
      <c r="E150" s="661">
        <v>2246887</v>
      </c>
      <c r="F150" s="632">
        <v>95182394</v>
      </c>
      <c r="G150" s="633">
        <v>69371212</v>
      </c>
      <c r="H150" s="633">
        <v>0</v>
      </c>
      <c r="I150" s="633">
        <v>0</v>
      </c>
      <c r="J150" s="633">
        <v>0</v>
      </c>
      <c r="K150" s="633">
        <v>0</v>
      </c>
      <c r="L150" s="633">
        <f t="shared" si="6"/>
        <v>0</v>
      </c>
      <c r="M150" s="633"/>
      <c r="N150" s="633">
        <v>4974044</v>
      </c>
      <c r="O150" s="633">
        <v>25781</v>
      </c>
      <c r="P150" s="633">
        <v>19104515</v>
      </c>
      <c r="Q150" s="633">
        <v>2416060</v>
      </c>
      <c r="R150" s="633">
        <f t="shared" si="7"/>
        <v>26520400</v>
      </c>
      <c r="S150" s="633"/>
      <c r="T150" s="633">
        <f t="shared" si="8"/>
        <v>3439313</v>
      </c>
      <c r="U150" s="633">
        <v>-483209</v>
      </c>
      <c r="V150" s="633">
        <v>2956104</v>
      </c>
      <c r="W150" s="635"/>
      <c r="X150" s="635"/>
      <c r="Y150" s="635"/>
      <c r="Z150" s="635"/>
      <c r="AA150" s="635"/>
      <c r="AB150" s="635"/>
      <c r="AC150" s="635"/>
      <c r="AD150" s="635"/>
      <c r="AE150" s="636"/>
      <c r="AF150" s="636"/>
      <c r="AG150" s="636"/>
      <c r="AH150" s="636"/>
      <c r="AI150" s="636"/>
      <c r="AJ150" s="636"/>
      <c r="AK150" s="636"/>
      <c r="AL150" s="636"/>
    </row>
    <row r="151" spans="1:38" hidden="1" x14ac:dyDescent="0.25">
      <c r="A151" s="634">
        <v>34200</v>
      </c>
      <c r="B151" s="632" t="s">
        <v>1347</v>
      </c>
      <c r="C151" s="656">
        <v>1.0020000000000001E-3</v>
      </c>
      <c r="D151" s="656">
        <v>8.7600000000000004E-4</v>
      </c>
      <c r="E151" s="661">
        <v>863918</v>
      </c>
      <c r="F151" s="632">
        <v>43578570</v>
      </c>
      <c r="G151" s="633">
        <v>28706578</v>
      </c>
      <c r="H151" s="633">
        <v>0</v>
      </c>
      <c r="I151" s="633">
        <v>0</v>
      </c>
      <c r="J151" s="633">
        <v>0</v>
      </c>
      <c r="K151" s="633">
        <v>0</v>
      </c>
      <c r="L151" s="633">
        <f t="shared" si="6"/>
        <v>0</v>
      </c>
      <c r="M151" s="633"/>
      <c r="N151" s="633">
        <v>2058314</v>
      </c>
      <c r="O151" s="633">
        <v>10669</v>
      </c>
      <c r="P151" s="633">
        <v>7905661</v>
      </c>
      <c r="Q151" s="633">
        <v>4547215</v>
      </c>
      <c r="R151" s="633">
        <f t="shared" si="7"/>
        <v>14521859</v>
      </c>
      <c r="S151" s="633"/>
      <c r="T151" s="633">
        <f t="shared" si="8"/>
        <v>1423226</v>
      </c>
      <c r="U151" s="633">
        <v>-909442</v>
      </c>
      <c r="V151" s="633">
        <v>513784</v>
      </c>
      <c r="W151" s="635"/>
      <c r="X151" s="635"/>
      <c r="Y151" s="635"/>
      <c r="Z151" s="635"/>
      <c r="AA151" s="635"/>
      <c r="AB151" s="635"/>
      <c r="AC151" s="635"/>
      <c r="AD151" s="635"/>
      <c r="AE151" s="636"/>
      <c r="AF151" s="636"/>
      <c r="AG151" s="636"/>
      <c r="AH151" s="636"/>
      <c r="AI151" s="636"/>
      <c r="AJ151" s="636"/>
      <c r="AK151" s="636"/>
      <c r="AL151" s="636"/>
    </row>
    <row r="152" spans="1:38" hidden="1" x14ac:dyDescent="0.25">
      <c r="A152" s="634">
        <v>34205</v>
      </c>
      <c r="B152" s="632" t="s">
        <v>1348</v>
      </c>
      <c r="C152" s="656">
        <v>4.0900000000000002E-4</v>
      </c>
      <c r="D152" s="656">
        <v>3.79E-4</v>
      </c>
      <c r="E152" s="661">
        <v>424109</v>
      </c>
      <c r="F152" s="632">
        <v>17780134</v>
      </c>
      <c r="G152" s="633">
        <v>12437938</v>
      </c>
      <c r="H152" s="633">
        <v>0</v>
      </c>
      <c r="I152" s="633">
        <v>0</v>
      </c>
      <c r="J152" s="633">
        <v>0</v>
      </c>
      <c r="K152" s="633">
        <v>0</v>
      </c>
      <c r="L152" s="633">
        <f t="shared" si="6"/>
        <v>0</v>
      </c>
      <c r="M152" s="633"/>
      <c r="N152" s="633">
        <v>891823</v>
      </c>
      <c r="O152" s="633">
        <v>4622</v>
      </c>
      <c r="P152" s="633">
        <v>3425351</v>
      </c>
      <c r="Q152" s="633">
        <v>1010785</v>
      </c>
      <c r="R152" s="633">
        <f t="shared" si="7"/>
        <v>5332581</v>
      </c>
      <c r="S152" s="633"/>
      <c r="T152" s="633">
        <f t="shared" si="8"/>
        <v>616653</v>
      </c>
      <c r="U152" s="633">
        <v>-202158</v>
      </c>
      <c r="V152" s="633">
        <v>414495</v>
      </c>
      <c r="W152" s="635"/>
      <c r="X152" s="635"/>
      <c r="Y152" s="635"/>
      <c r="Z152" s="635"/>
      <c r="AA152" s="635"/>
      <c r="AB152" s="635"/>
      <c r="AC152" s="635"/>
      <c r="AD152" s="635"/>
      <c r="AE152" s="636"/>
      <c r="AF152" s="636"/>
      <c r="AG152" s="636"/>
      <c r="AH152" s="636"/>
      <c r="AI152" s="636"/>
      <c r="AJ152" s="636"/>
      <c r="AK152" s="636"/>
      <c r="AL152" s="636"/>
    </row>
    <row r="153" spans="1:38" hidden="1" x14ac:dyDescent="0.25">
      <c r="A153" s="634">
        <v>34220</v>
      </c>
      <c r="B153" s="632" t="s">
        <v>1349</v>
      </c>
      <c r="C153" s="656">
        <v>9.1100000000000003E-4</v>
      </c>
      <c r="D153" s="656">
        <v>9.8700000000000003E-4</v>
      </c>
      <c r="E153" s="661">
        <v>942468</v>
      </c>
      <c r="F153" s="632">
        <v>39649767</v>
      </c>
      <c r="G153" s="633">
        <v>32355349</v>
      </c>
      <c r="H153" s="633">
        <v>0</v>
      </c>
      <c r="I153" s="633">
        <v>0</v>
      </c>
      <c r="J153" s="633">
        <v>0</v>
      </c>
      <c r="K153" s="633">
        <v>2738670</v>
      </c>
      <c r="L153" s="633">
        <f t="shared" si="6"/>
        <v>2738670</v>
      </c>
      <c r="M153" s="633"/>
      <c r="N153" s="633">
        <v>2319938</v>
      </c>
      <c r="O153" s="633">
        <v>12025</v>
      </c>
      <c r="P153" s="633">
        <v>8910515</v>
      </c>
      <c r="Q153" s="633">
        <v>0</v>
      </c>
      <c r="R153" s="633">
        <f t="shared" si="7"/>
        <v>11242478</v>
      </c>
      <c r="S153" s="633"/>
      <c r="T153" s="633">
        <f t="shared" si="8"/>
        <v>1604126</v>
      </c>
      <c r="U153" s="633">
        <v>547732</v>
      </c>
      <c r="V153" s="633">
        <v>2151858</v>
      </c>
      <c r="W153" s="635"/>
      <c r="X153" s="635"/>
      <c r="Y153" s="635"/>
      <c r="Z153" s="635"/>
      <c r="AA153" s="635"/>
      <c r="AB153" s="635"/>
      <c r="AC153" s="635"/>
      <c r="AD153" s="635"/>
      <c r="AE153" s="636"/>
      <c r="AF153" s="636"/>
      <c r="AG153" s="636"/>
      <c r="AH153" s="636"/>
      <c r="AI153" s="636"/>
      <c r="AJ153" s="636"/>
      <c r="AK153" s="636"/>
      <c r="AL153" s="636"/>
    </row>
    <row r="154" spans="1:38" hidden="1" x14ac:dyDescent="0.25">
      <c r="A154" s="634">
        <v>34230</v>
      </c>
      <c r="B154" s="632" t="s">
        <v>1350</v>
      </c>
      <c r="C154" s="656">
        <v>4.2900000000000002E-4</v>
      </c>
      <c r="D154" s="656">
        <v>4.1399999999999998E-4</v>
      </c>
      <c r="E154" s="661">
        <v>367062</v>
      </c>
      <c r="F154" s="632">
        <v>18668457</v>
      </c>
      <c r="G154" s="633">
        <v>13559150</v>
      </c>
      <c r="H154" s="633">
        <v>0</v>
      </c>
      <c r="I154" s="633">
        <v>0</v>
      </c>
      <c r="J154" s="633">
        <v>0</v>
      </c>
      <c r="K154" s="633">
        <v>0</v>
      </c>
      <c r="L154" s="633">
        <f t="shared" si="6"/>
        <v>0</v>
      </c>
      <c r="M154" s="633"/>
      <c r="N154" s="633">
        <v>972216</v>
      </c>
      <c r="O154" s="633">
        <v>5039</v>
      </c>
      <c r="P154" s="633">
        <v>3734128</v>
      </c>
      <c r="Q154" s="633">
        <v>585915</v>
      </c>
      <c r="R154" s="633">
        <f t="shared" si="7"/>
        <v>5297298</v>
      </c>
      <c r="S154" s="633"/>
      <c r="T154" s="633">
        <f t="shared" si="8"/>
        <v>672241</v>
      </c>
      <c r="U154" s="633">
        <v>-117188</v>
      </c>
      <c r="V154" s="633">
        <v>555053</v>
      </c>
      <c r="W154" s="635"/>
      <c r="X154" s="635"/>
      <c r="Y154" s="635"/>
      <c r="Z154" s="635"/>
      <c r="AA154" s="635"/>
      <c r="AB154" s="635"/>
      <c r="AC154" s="635"/>
      <c r="AD154" s="635"/>
      <c r="AE154" s="636"/>
      <c r="AF154" s="636"/>
      <c r="AG154" s="636"/>
      <c r="AH154" s="636"/>
      <c r="AI154" s="636"/>
      <c r="AJ154" s="636"/>
      <c r="AK154" s="636"/>
      <c r="AL154" s="636"/>
    </row>
    <row r="155" spans="1:38" hidden="1" x14ac:dyDescent="0.25">
      <c r="A155" s="634">
        <v>34300</v>
      </c>
      <c r="B155" s="632" t="s">
        <v>1351</v>
      </c>
      <c r="C155" s="656">
        <v>6.1609999999999998E-3</v>
      </c>
      <c r="D155" s="656">
        <v>6.4949999999999999E-3</v>
      </c>
      <c r="E155" s="661">
        <v>5565956</v>
      </c>
      <c r="F155" s="632">
        <v>268000753</v>
      </c>
      <c r="G155" s="633">
        <v>212961815</v>
      </c>
      <c r="H155" s="633">
        <v>0</v>
      </c>
      <c r="I155" s="633">
        <v>0</v>
      </c>
      <c r="J155" s="633">
        <v>0</v>
      </c>
      <c r="K155" s="633">
        <v>11638600</v>
      </c>
      <c r="L155" s="633">
        <f t="shared" si="6"/>
        <v>11638600</v>
      </c>
      <c r="M155" s="633"/>
      <c r="N155" s="633">
        <v>15269754</v>
      </c>
      <c r="O155" s="633">
        <v>79146</v>
      </c>
      <c r="P155" s="633">
        <v>58648712</v>
      </c>
      <c r="Q155" s="633">
        <v>0</v>
      </c>
      <c r="R155" s="633">
        <f t="shared" si="7"/>
        <v>73997612</v>
      </c>
      <c r="S155" s="633"/>
      <c r="T155" s="633">
        <f t="shared" si="8"/>
        <v>10558305</v>
      </c>
      <c r="U155" s="633">
        <v>2327724</v>
      </c>
      <c r="V155" s="633">
        <v>12886029</v>
      </c>
      <c r="W155" s="635"/>
      <c r="X155" s="635"/>
      <c r="Y155" s="635"/>
      <c r="Z155" s="635"/>
      <c r="AA155" s="635"/>
      <c r="AB155" s="635"/>
      <c r="AC155" s="635"/>
      <c r="AD155" s="635"/>
      <c r="AE155" s="636"/>
      <c r="AF155" s="636"/>
      <c r="AG155" s="636"/>
      <c r="AH155" s="636"/>
      <c r="AI155" s="636"/>
      <c r="AJ155" s="636"/>
      <c r="AK155" s="636"/>
      <c r="AL155" s="636"/>
    </row>
    <row r="156" spans="1:38" hidden="1" x14ac:dyDescent="0.25">
      <c r="A156" s="634">
        <v>34400</v>
      </c>
      <c r="B156" s="632" t="s">
        <v>1352</v>
      </c>
      <c r="C156" s="656">
        <v>2.6150000000000001E-3</v>
      </c>
      <c r="D156" s="656">
        <v>2.5990000000000002E-3</v>
      </c>
      <c r="E156" s="661">
        <v>2256446</v>
      </c>
      <c r="F156" s="632">
        <v>113763955</v>
      </c>
      <c r="G156" s="633">
        <v>85206053</v>
      </c>
      <c r="H156" s="633">
        <v>0</v>
      </c>
      <c r="I156" s="633">
        <v>0</v>
      </c>
      <c r="J156" s="633">
        <v>0</v>
      </c>
      <c r="K156" s="633">
        <v>0</v>
      </c>
      <c r="L156" s="633">
        <f t="shared" si="6"/>
        <v>0</v>
      </c>
      <c r="M156" s="633"/>
      <c r="N156" s="633">
        <v>6109431</v>
      </c>
      <c r="O156" s="633">
        <v>31666</v>
      </c>
      <c r="P156" s="633">
        <v>23465358</v>
      </c>
      <c r="Q156" s="633">
        <v>766155</v>
      </c>
      <c r="R156" s="633">
        <f t="shared" si="7"/>
        <v>30372610</v>
      </c>
      <c r="S156" s="633"/>
      <c r="T156" s="633">
        <f t="shared" si="8"/>
        <v>4224379</v>
      </c>
      <c r="U156" s="633">
        <v>-153226</v>
      </c>
      <c r="V156" s="633">
        <v>4071153</v>
      </c>
      <c r="W156" s="635"/>
      <c r="X156" s="635"/>
      <c r="Y156" s="635"/>
      <c r="Z156" s="635"/>
      <c r="AA156" s="635"/>
      <c r="AB156" s="635"/>
      <c r="AC156" s="635"/>
      <c r="AD156" s="635"/>
      <c r="AE156" s="636"/>
      <c r="AF156" s="636"/>
      <c r="AG156" s="636"/>
      <c r="AH156" s="636"/>
      <c r="AI156" s="636"/>
      <c r="AJ156" s="636"/>
      <c r="AK156" s="636"/>
      <c r="AL156" s="636"/>
    </row>
    <row r="157" spans="1:38" hidden="1" x14ac:dyDescent="0.25">
      <c r="A157" s="634">
        <v>34405</v>
      </c>
      <c r="B157" s="632" t="s">
        <v>1353</v>
      </c>
      <c r="C157" s="656">
        <v>5.4799999999999998E-4</v>
      </c>
      <c r="D157" s="656">
        <v>4.9299999999999995E-4</v>
      </c>
      <c r="E157" s="661">
        <v>478050</v>
      </c>
      <c r="F157" s="632">
        <v>23837773</v>
      </c>
      <c r="G157" s="633">
        <v>16164449</v>
      </c>
      <c r="H157" s="633">
        <v>0</v>
      </c>
      <c r="I157" s="633">
        <v>0</v>
      </c>
      <c r="J157" s="633">
        <v>0</v>
      </c>
      <c r="K157" s="633">
        <v>0</v>
      </c>
      <c r="L157" s="633">
        <f t="shared" si="6"/>
        <v>0</v>
      </c>
      <c r="M157" s="633"/>
      <c r="N157" s="633">
        <v>1159021</v>
      </c>
      <c r="O157" s="633">
        <v>6007</v>
      </c>
      <c r="P157" s="633">
        <v>4451615</v>
      </c>
      <c r="Q157" s="633">
        <v>1983365</v>
      </c>
      <c r="R157" s="633">
        <f t="shared" si="7"/>
        <v>7600008</v>
      </c>
      <c r="S157" s="633"/>
      <c r="T157" s="633">
        <f t="shared" si="8"/>
        <v>801407</v>
      </c>
      <c r="U157" s="633">
        <v>-396673</v>
      </c>
      <c r="V157" s="633">
        <v>404734</v>
      </c>
      <c r="W157" s="635"/>
      <c r="X157" s="635"/>
      <c r="Y157" s="635"/>
      <c r="Z157" s="635"/>
      <c r="AA157" s="635"/>
      <c r="AB157" s="635"/>
      <c r="AC157" s="635"/>
      <c r="AD157" s="635"/>
      <c r="AE157" s="636"/>
      <c r="AF157" s="636"/>
      <c r="AG157" s="636"/>
      <c r="AH157" s="636"/>
      <c r="AI157" s="636"/>
      <c r="AJ157" s="636"/>
      <c r="AK157" s="636"/>
      <c r="AL157" s="636"/>
    </row>
    <row r="158" spans="1:38" hidden="1" x14ac:dyDescent="0.25">
      <c r="A158" s="634">
        <v>34500</v>
      </c>
      <c r="B158" s="632" t="s">
        <v>1354</v>
      </c>
      <c r="C158" s="656">
        <v>4.4939999999999997E-3</v>
      </c>
      <c r="D158" s="656">
        <v>4.5880000000000001E-3</v>
      </c>
      <c r="E158" s="661">
        <v>4080408</v>
      </c>
      <c r="F158" s="632">
        <v>195497193</v>
      </c>
      <c r="G158" s="633">
        <v>150412119</v>
      </c>
      <c r="H158" s="633">
        <v>0</v>
      </c>
      <c r="I158" s="633">
        <v>0</v>
      </c>
      <c r="J158" s="633">
        <v>0</v>
      </c>
      <c r="K158" s="633">
        <v>3168065</v>
      </c>
      <c r="L158" s="633">
        <f t="shared" si="6"/>
        <v>3168065</v>
      </c>
      <c r="M158" s="633"/>
      <c r="N158" s="633">
        <v>10784826</v>
      </c>
      <c r="O158" s="633">
        <v>55900</v>
      </c>
      <c r="P158" s="633">
        <v>41422811</v>
      </c>
      <c r="Q158" s="633">
        <v>0</v>
      </c>
      <c r="R158" s="633">
        <f t="shared" si="7"/>
        <v>52263537</v>
      </c>
      <c r="S158" s="633"/>
      <c r="T158" s="633">
        <f t="shared" si="8"/>
        <v>7457191</v>
      </c>
      <c r="U158" s="633">
        <v>633614</v>
      </c>
      <c r="V158" s="633">
        <v>8090805</v>
      </c>
      <c r="W158" s="635"/>
      <c r="X158" s="635"/>
      <c r="Y158" s="635"/>
      <c r="Z158" s="635"/>
      <c r="AA158" s="635"/>
      <c r="AB158" s="635"/>
      <c r="AC158" s="635"/>
      <c r="AD158" s="635"/>
      <c r="AE158" s="636"/>
      <c r="AF158" s="636"/>
      <c r="AG158" s="636"/>
      <c r="AH158" s="636"/>
      <c r="AI158" s="636"/>
      <c r="AJ158" s="636"/>
      <c r="AK158" s="636"/>
      <c r="AL158" s="636"/>
    </row>
    <row r="159" spans="1:38" hidden="1" x14ac:dyDescent="0.25">
      <c r="A159" s="634">
        <v>34501</v>
      </c>
      <c r="B159" s="632" t="s">
        <v>1355</v>
      </c>
      <c r="C159" s="656">
        <v>5.1999999999999997E-5</v>
      </c>
      <c r="D159" s="656">
        <v>5.5999999999999999E-5</v>
      </c>
      <c r="E159" s="661">
        <v>46810</v>
      </c>
      <c r="F159" s="632">
        <v>2244297</v>
      </c>
      <c r="G159" s="633">
        <v>1850632</v>
      </c>
      <c r="H159" s="633">
        <v>0</v>
      </c>
      <c r="I159" s="633">
        <v>0</v>
      </c>
      <c r="J159" s="633">
        <v>0</v>
      </c>
      <c r="K159" s="633">
        <v>170360</v>
      </c>
      <c r="L159" s="633">
        <f t="shared" si="6"/>
        <v>170360</v>
      </c>
      <c r="M159" s="633"/>
      <c r="N159" s="633">
        <v>132694</v>
      </c>
      <c r="O159" s="633">
        <v>688</v>
      </c>
      <c r="P159" s="633">
        <v>509656</v>
      </c>
      <c r="Q159" s="633">
        <v>0</v>
      </c>
      <c r="R159" s="633">
        <f t="shared" si="7"/>
        <v>643038</v>
      </c>
      <c r="S159" s="633"/>
      <c r="T159" s="633">
        <f t="shared" si="8"/>
        <v>91751</v>
      </c>
      <c r="U159" s="633">
        <v>34070</v>
      </c>
      <c r="V159" s="633">
        <v>125821</v>
      </c>
      <c r="W159" s="635"/>
      <c r="X159" s="635"/>
      <c r="Y159" s="635"/>
      <c r="Z159" s="635"/>
      <c r="AA159" s="635"/>
      <c r="AB159" s="635"/>
      <c r="AC159" s="635"/>
      <c r="AD159" s="635"/>
      <c r="AE159" s="636"/>
      <c r="AF159" s="636"/>
      <c r="AG159" s="636"/>
      <c r="AH159" s="636"/>
      <c r="AI159" s="636"/>
      <c r="AJ159" s="636"/>
      <c r="AK159" s="636"/>
      <c r="AL159" s="636"/>
    </row>
    <row r="160" spans="1:38" hidden="1" x14ac:dyDescent="0.25">
      <c r="A160" s="634">
        <v>34505</v>
      </c>
      <c r="B160" s="632" t="s">
        <v>1356</v>
      </c>
      <c r="C160" s="656">
        <v>5.5599999999999996E-4</v>
      </c>
      <c r="D160" s="656">
        <v>5.2599999999999999E-4</v>
      </c>
      <c r="E160" s="661">
        <v>601287</v>
      </c>
      <c r="F160" s="632">
        <v>24164245</v>
      </c>
      <c r="G160" s="633">
        <v>17236632</v>
      </c>
      <c r="H160" s="633">
        <v>0</v>
      </c>
      <c r="I160" s="633">
        <v>0</v>
      </c>
      <c r="J160" s="633">
        <v>0</v>
      </c>
      <c r="K160" s="633">
        <v>0</v>
      </c>
      <c r="L160" s="633">
        <f t="shared" si="6"/>
        <v>0</v>
      </c>
      <c r="M160" s="633"/>
      <c r="N160" s="633">
        <v>1235898</v>
      </c>
      <c r="O160" s="633">
        <v>6406</v>
      </c>
      <c r="P160" s="633">
        <v>4746890</v>
      </c>
      <c r="Q160" s="633">
        <v>993080</v>
      </c>
      <c r="R160" s="633">
        <f t="shared" si="7"/>
        <v>6982274</v>
      </c>
      <c r="S160" s="633"/>
      <c r="T160" s="633">
        <f t="shared" si="8"/>
        <v>854565</v>
      </c>
      <c r="U160" s="633">
        <v>-198617</v>
      </c>
      <c r="V160" s="633">
        <v>655948</v>
      </c>
      <c r="W160" s="635"/>
      <c r="X160" s="635"/>
      <c r="Y160" s="635"/>
      <c r="Z160" s="635"/>
      <c r="AA160" s="635"/>
      <c r="AB160" s="635"/>
      <c r="AC160" s="635"/>
      <c r="AD160" s="635"/>
      <c r="AE160" s="636"/>
      <c r="AF160" s="636"/>
      <c r="AG160" s="636"/>
      <c r="AH160" s="636"/>
      <c r="AI160" s="636"/>
      <c r="AJ160" s="636"/>
      <c r="AK160" s="636"/>
      <c r="AL160" s="636"/>
    </row>
    <row r="161" spans="1:38" hidden="1" x14ac:dyDescent="0.25">
      <c r="A161" s="634">
        <v>34600</v>
      </c>
      <c r="B161" s="632" t="s">
        <v>1357</v>
      </c>
      <c r="C161" s="656">
        <v>1.0579999999999999E-3</v>
      </c>
      <c r="D161" s="656">
        <v>1.0640000000000001E-3</v>
      </c>
      <c r="E161" s="661">
        <v>1038647</v>
      </c>
      <c r="F161" s="632">
        <v>46045142</v>
      </c>
      <c r="G161" s="633">
        <v>34897842</v>
      </c>
      <c r="H161" s="633">
        <v>0</v>
      </c>
      <c r="I161" s="633">
        <v>0</v>
      </c>
      <c r="J161" s="633">
        <v>0</v>
      </c>
      <c r="K161" s="633">
        <v>239235</v>
      </c>
      <c r="L161" s="633">
        <f t="shared" si="6"/>
        <v>239235</v>
      </c>
      <c r="M161" s="633"/>
      <c r="N161" s="633">
        <v>2502239</v>
      </c>
      <c r="O161" s="633">
        <v>12970</v>
      </c>
      <c r="P161" s="633">
        <v>9610706</v>
      </c>
      <c r="Q161" s="633">
        <v>0</v>
      </c>
      <c r="R161" s="633">
        <f t="shared" si="7"/>
        <v>12125915</v>
      </c>
      <c r="S161" s="633"/>
      <c r="T161" s="633">
        <f t="shared" si="8"/>
        <v>1730179</v>
      </c>
      <c r="U161" s="633">
        <v>47848</v>
      </c>
      <c r="V161" s="633">
        <v>1778027</v>
      </c>
      <c r="W161" s="635"/>
      <c r="X161" s="635"/>
      <c r="Y161" s="635"/>
      <c r="Z161" s="635"/>
      <c r="AA161" s="635"/>
      <c r="AB161" s="635"/>
      <c r="AC161" s="635"/>
      <c r="AD161" s="635"/>
      <c r="AE161" s="636"/>
      <c r="AF161" s="636"/>
      <c r="AG161" s="636"/>
      <c r="AH161" s="636"/>
      <c r="AI161" s="636"/>
      <c r="AJ161" s="636"/>
      <c r="AK161" s="636"/>
      <c r="AL161" s="636"/>
    </row>
    <row r="162" spans="1:38" hidden="1" x14ac:dyDescent="0.25">
      <c r="A162" s="634">
        <v>34605</v>
      </c>
      <c r="B162" s="632" t="s">
        <v>1358</v>
      </c>
      <c r="C162" s="656">
        <v>2.4800000000000001E-4</v>
      </c>
      <c r="D162" s="656">
        <v>2.2699999999999999E-4</v>
      </c>
      <c r="E162" s="661">
        <v>222915</v>
      </c>
      <c r="F162" s="632">
        <v>10773365</v>
      </c>
      <c r="G162" s="633">
        <v>7453292</v>
      </c>
      <c r="H162" s="633">
        <v>0</v>
      </c>
      <c r="I162" s="633">
        <v>0</v>
      </c>
      <c r="J162" s="633">
        <v>0</v>
      </c>
      <c r="K162" s="633">
        <v>0</v>
      </c>
      <c r="L162" s="633">
        <f t="shared" si="6"/>
        <v>0</v>
      </c>
      <c r="M162" s="633"/>
      <c r="N162" s="633">
        <v>534415</v>
      </c>
      <c r="O162" s="633">
        <v>2770</v>
      </c>
      <c r="P162" s="633">
        <v>2052603</v>
      </c>
      <c r="Q162" s="633">
        <v>730745</v>
      </c>
      <c r="R162" s="633">
        <f t="shared" si="7"/>
        <v>3320533</v>
      </c>
      <c r="S162" s="633"/>
      <c r="T162" s="633">
        <f t="shared" si="8"/>
        <v>369522</v>
      </c>
      <c r="U162" s="633">
        <v>-146148</v>
      </c>
      <c r="V162" s="633">
        <v>223374</v>
      </c>
      <c r="W162" s="635"/>
      <c r="X162" s="635"/>
      <c r="Y162" s="635"/>
      <c r="Z162" s="635"/>
      <c r="AA162" s="635"/>
      <c r="AB162" s="635"/>
      <c r="AC162" s="635"/>
      <c r="AD162" s="635"/>
      <c r="AE162" s="636"/>
      <c r="AF162" s="636"/>
      <c r="AG162" s="636"/>
      <c r="AH162" s="636"/>
      <c r="AI162" s="636"/>
      <c r="AJ162" s="636"/>
      <c r="AK162" s="636"/>
      <c r="AL162" s="636"/>
    </row>
    <row r="163" spans="1:38" hidden="1" x14ac:dyDescent="0.25">
      <c r="A163" s="634">
        <v>34700</v>
      </c>
      <c r="B163" s="632" t="s">
        <v>1359</v>
      </c>
      <c r="C163" s="656">
        <v>2.9499999999999999E-3</v>
      </c>
      <c r="D163" s="656">
        <v>2.9970000000000001E-3</v>
      </c>
      <c r="E163" s="661">
        <v>2472898</v>
      </c>
      <c r="F163" s="632">
        <v>128331914</v>
      </c>
      <c r="G163" s="633">
        <v>98246008</v>
      </c>
      <c r="H163" s="633">
        <v>0</v>
      </c>
      <c r="I163" s="633">
        <v>0</v>
      </c>
      <c r="J163" s="633">
        <v>0</v>
      </c>
      <c r="K163" s="633">
        <v>1377960</v>
      </c>
      <c r="L163" s="633">
        <f t="shared" si="6"/>
        <v>1377960</v>
      </c>
      <c r="M163" s="633"/>
      <c r="N163" s="633">
        <v>7044420</v>
      </c>
      <c r="O163" s="633">
        <v>36512</v>
      </c>
      <c r="P163" s="633">
        <v>27056502</v>
      </c>
      <c r="Q163" s="633">
        <v>0</v>
      </c>
      <c r="R163" s="633">
        <f t="shared" si="7"/>
        <v>34137434</v>
      </c>
      <c r="S163" s="633"/>
      <c r="T163" s="633">
        <f t="shared" si="8"/>
        <v>4870879</v>
      </c>
      <c r="U163" s="633">
        <v>275588</v>
      </c>
      <c r="V163" s="633">
        <v>5146467</v>
      </c>
      <c r="W163" s="635"/>
      <c r="X163" s="635"/>
      <c r="Y163" s="635"/>
      <c r="Z163" s="635"/>
      <c r="AA163" s="635"/>
      <c r="AB163" s="635"/>
      <c r="AC163" s="635"/>
      <c r="AD163" s="635"/>
      <c r="AE163" s="636"/>
      <c r="AF163" s="636"/>
      <c r="AG163" s="636"/>
      <c r="AH163" s="636"/>
      <c r="AI163" s="636"/>
      <c r="AJ163" s="636"/>
      <c r="AK163" s="636"/>
      <c r="AL163" s="636"/>
    </row>
    <row r="164" spans="1:38" hidden="1" x14ac:dyDescent="0.25">
      <c r="A164" s="634">
        <v>34800</v>
      </c>
      <c r="B164" s="632" t="s">
        <v>1360</v>
      </c>
      <c r="C164" s="656">
        <v>3.0200000000000002E-4</v>
      </c>
      <c r="D164" s="656">
        <v>3.3300000000000002E-4</v>
      </c>
      <c r="E164" s="661">
        <v>334142</v>
      </c>
      <c r="F164" s="632">
        <v>13136765</v>
      </c>
      <c r="G164" s="633">
        <v>10908167</v>
      </c>
      <c r="H164" s="633">
        <v>0</v>
      </c>
      <c r="I164" s="633">
        <v>0</v>
      </c>
      <c r="J164" s="633">
        <v>0</v>
      </c>
      <c r="K164" s="633">
        <v>1129150</v>
      </c>
      <c r="L164" s="633">
        <f t="shared" si="6"/>
        <v>1129150</v>
      </c>
      <c r="M164" s="633"/>
      <c r="N164" s="633">
        <v>782136</v>
      </c>
      <c r="O164" s="633">
        <v>4054</v>
      </c>
      <c r="P164" s="633">
        <v>3004059</v>
      </c>
      <c r="Q164" s="633">
        <v>0</v>
      </c>
      <c r="R164" s="633">
        <f t="shared" si="7"/>
        <v>3790249</v>
      </c>
      <c r="S164" s="633"/>
      <c r="T164" s="633">
        <f t="shared" si="8"/>
        <v>540809</v>
      </c>
      <c r="U164" s="633">
        <v>225833</v>
      </c>
      <c r="V164" s="633">
        <v>766642</v>
      </c>
      <c r="W164" s="635"/>
      <c r="X164" s="635"/>
      <c r="Y164" s="635"/>
      <c r="Z164" s="635"/>
      <c r="AA164" s="635"/>
      <c r="AB164" s="635"/>
      <c r="AC164" s="635"/>
      <c r="AD164" s="635"/>
      <c r="AE164" s="636"/>
      <c r="AF164" s="636"/>
      <c r="AG164" s="636"/>
      <c r="AH164" s="636"/>
      <c r="AI164" s="636"/>
      <c r="AJ164" s="636"/>
      <c r="AK164" s="636"/>
      <c r="AL164" s="636"/>
    </row>
    <row r="165" spans="1:38" hidden="1" x14ac:dyDescent="0.25">
      <c r="A165" s="634">
        <v>34900</v>
      </c>
      <c r="B165" s="632" t="s">
        <v>1361</v>
      </c>
      <c r="C165" s="656">
        <v>6.4270000000000004E-3</v>
      </c>
      <c r="D165" s="656">
        <v>6.6309999999999997E-3</v>
      </c>
      <c r="E165" s="661">
        <v>5966256</v>
      </c>
      <c r="F165" s="632">
        <v>279591436</v>
      </c>
      <c r="G165" s="633">
        <v>217402149</v>
      </c>
      <c r="H165" s="633">
        <v>0</v>
      </c>
      <c r="I165" s="633">
        <v>0</v>
      </c>
      <c r="J165" s="633">
        <v>0</v>
      </c>
      <c r="K165" s="633">
        <v>7115840</v>
      </c>
      <c r="L165" s="633">
        <f t="shared" si="6"/>
        <v>7115840</v>
      </c>
      <c r="M165" s="633"/>
      <c r="N165" s="633">
        <v>15588134</v>
      </c>
      <c r="O165" s="633">
        <v>80796</v>
      </c>
      <c r="P165" s="633">
        <v>59871559</v>
      </c>
      <c r="Q165" s="633">
        <v>0</v>
      </c>
      <c r="R165" s="633">
        <f t="shared" si="7"/>
        <v>75540489</v>
      </c>
      <c r="S165" s="633"/>
      <c r="T165" s="633">
        <f t="shared" si="8"/>
        <v>10778450</v>
      </c>
      <c r="U165" s="633">
        <v>1423169</v>
      </c>
      <c r="V165" s="633">
        <v>12201619</v>
      </c>
      <c r="W165" s="635"/>
      <c r="X165" s="635"/>
      <c r="Y165" s="635"/>
      <c r="Z165" s="635"/>
      <c r="AA165" s="635"/>
      <c r="AB165" s="635"/>
      <c r="AC165" s="635"/>
      <c r="AD165" s="635"/>
      <c r="AE165" s="636"/>
      <c r="AF165" s="636"/>
      <c r="AG165" s="636"/>
      <c r="AH165" s="636"/>
      <c r="AI165" s="636"/>
      <c r="AJ165" s="636"/>
      <c r="AK165" s="636"/>
      <c r="AL165" s="636"/>
    </row>
    <row r="166" spans="1:38" hidden="1" x14ac:dyDescent="0.25">
      <c r="A166" s="634">
        <v>34901</v>
      </c>
      <c r="B166" s="632" t="s">
        <v>1362</v>
      </c>
      <c r="C166" s="656">
        <v>1.64E-4</v>
      </c>
      <c r="D166" s="656">
        <v>1.74E-4</v>
      </c>
      <c r="E166" s="661">
        <v>127599</v>
      </c>
      <c r="F166" s="632">
        <v>7129812</v>
      </c>
      <c r="G166" s="633">
        <v>5693757</v>
      </c>
      <c r="H166" s="633">
        <v>0</v>
      </c>
      <c r="I166" s="633">
        <v>0</v>
      </c>
      <c r="J166" s="633">
        <v>0</v>
      </c>
      <c r="K166" s="633">
        <v>323055</v>
      </c>
      <c r="L166" s="633">
        <f t="shared" si="6"/>
        <v>323055</v>
      </c>
      <c r="M166" s="633"/>
      <c r="N166" s="633">
        <v>408253</v>
      </c>
      <c r="O166" s="633">
        <v>2116</v>
      </c>
      <c r="P166" s="633">
        <v>1568035</v>
      </c>
      <c r="Q166" s="633">
        <v>0</v>
      </c>
      <c r="R166" s="633">
        <f t="shared" si="7"/>
        <v>1978404</v>
      </c>
      <c r="S166" s="633"/>
      <c r="T166" s="633">
        <f t="shared" si="8"/>
        <v>282287</v>
      </c>
      <c r="U166" s="633">
        <v>64606</v>
      </c>
      <c r="V166" s="633">
        <v>346893</v>
      </c>
      <c r="W166" s="635"/>
      <c r="X166" s="635"/>
      <c r="Y166" s="635"/>
      <c r="Z166" s="635"/>
      <c r="AA166" s="635"/>
      <c r="AB166" s="635"/>
      <c r="AC166" s="635"/>
      <c r="AD166" s="635"/>
      <c r="AE166" s="636"/>
      <c r="AF166" s="636"/>
      <c r="AG166" s="636"/>
      <c r="AH166" s="636"/>
      <c r="AI166" s="636"/>
      <c r="AJ166" s="636"/>
      <c r="AK166" s="636"/>
      <c r="AL166" s="636"/>
    </row>
    <row r="167" spans="1:38" hidden="1" x14ac:dyDescent="0.25">
      <c r="A167" s="634">
        <v>34903</v>
      </c>
      <c r="B167" s="632" t="s">
        <v>1363</v>
      </c>
      <c r="C167" s="656">
        <v>1.0000000000000001E-5</v>
      </c>
      <c r="D167" s="656">
        <v>1.0000000000000001E-5</v>
      </c>
      <c r="E167" s="661">
        <v>15019</v>
      </c>
      <c r="F167" s="632">
        <v>447119</v>
      </c>
      <c r="G167" s="633">
        <v>343966</v>
      </c>
      <c r="H167" s="633">
        <v>0</v>
      </c>
      <c r="I167" s="633">
        <v>0</v>
      </c>
      <c r="J167" s="633">
        <v>0</v>
      </c>
      <c r="K167" s="633">
        <v>11940</v>
      </c>
      <c r="L167" s="633">
        <f t="shared" si="6"/>
        <v>11940</v>
      </c>
      <c r="M167" s="633"/>
      <c r="N167" s="633">
        <v>24663</v>
      </c>
      <c r="O167" s="633">
        <v>128</v>
      </c>
      <c r="P167" s="633">
        <v>94727</v>
      </c>
      <c r="Q167" s="633">
        <v>0</v>
      </c>
      <c r="R167" s="633">
        <f t="shared" si="7"/>
        <v>119518</v>
      </c>
      <c r="S167" s="633"/>
      <c r="T167" s="633">
        <f t="shared" si="8"/>
        <v>17053</v>
      </c>
      <c r="U167" s="633">
        <v>2391</v>
      </c>
      <c r="V167" s="633">
        <v>19444</v>
      </c>
      <c r="W167" s="635"/>
      <c r="X167" s="635"/>
      <c r="Y167" s="635"/>
      <c r="Z167" s="635"/>
      <c r="AA167" s="635"/>
      <c r="AB167" s="635"/>
      <c r="AC167" s="635"/>
      <c r="AD167" s="635"/>
      <c r="AE167" s="636"/>
      <c r="AF167" s="636"/>
      <c r="AG167" s="636"/>
      <c r="AH167" s="636"/>
      <c r="AI167" s="636"/>
      <c r="AJ167" s="636"/>
      <c r="AK167" s="636"/>
      <c r="AL167" s="636"/>
    </row>
    <row r="168" spans="1:38" hidden="1" x14ac:dyDescent="0.25">
      <c r="A168" s="634">
        <v>34905</v>
      </c>
      <c r="B168" s="632" t="s">
        <v>1364</v>
      </c>
      <c r="C168" s="656">
        <v>6.4700000000000001E-4</v>
      </c>
      <c r="D168" s="656">
        <v>5.9299999999999999E-4</v>
      </c>
      <c r="E168" s="661">
        <v>606345</v>
      </c>
      <c r="F168" s="632">
        <v>28138198</v>
      </c>
      <c r="G168" s="633">
        <v>19446808</v>
      </c>
      <c r="H168" s="633">
        <v>0</v>
      </c>
      <c r="I168" s="633">
        <v>0</v>
      </c>
      <c r="J168" s="633">
        <v>0</v>
      </c>
      <c r="K168" s="633">
        <v>0</v>
      </c>
      <c r="L168" s="633">
        <f t="shared" si="6"/>
        <v>0</v>
      </c>
      <c r="M168" s="633"/>
      <c r="N168" s="633">
        <v>1394372</v>
      </c>
      <c r="O168" s="633">
        <v>7227</v>
      </c>
      <c r="P168" s="633">
        <v>5355562</v>
      </c>
      <c r="Q168" s="633">
        <v>1910020</v>
      </c>
      <c r="R168" s="633">
        <f t="shared" si="7"/>
        <v>8667181</v>
      </c>
      <c r="S168" s="633"/>
      <c r="T168" s="633">
        <f t="shared" si="8"/>
        <v>964142</v>
      </c>
      <c r="U168" s="633">
        <v>-382005</v>
      </c>
      <c r="V168" s="633">
        <v>582137</v>
      </c>
      <c r="W168" s="635"/>
      <c r="X168" s="635"/>
      <c r="Y168" s="635"/>
      <c r="Z168" s="635"/>
      <c r="AA168" s="635"/>
      <c r="AB168" s="635"/>
      <c r="AC168" s="635"/>
      <c r="AD168" s="635"/>
      <c r="AE168" s="636"/>
      <c r="AF168" s="636"/>
      <c r="AG168" s="636"/>
      <c r="AH168" s="636"/>
      <c r="AI168" s="636"/>
      <c r="AJ168" s="636"/>
      <c r="AK168" s="636"/>
      <c r="AL168" s="636"/>
    </row>
    <row r="169" spans="1:38" hidden="1" x14ac:dyDescent="0.25">
      <c r="A169" s="634">
        <v>34910</v>
      </c>
      <c r="B169" s="632" t="s">
        <v>1365</v>
      </c>
      <c r="C169" s="656">
        <v>2.0249999999999999E-3</v>
      </c>
      <c r="D169" s="656">
        <v>2.0699999999999998E-3</v>
      </c>
      <c r="E169" s="661">
        <v>1758368</v>
      </c>
      <c r="F169" s="632">
        <v>88090955</v>
      </c>
      <c r="G169" s="633">
        <v>67882513</v>
      </c>
      <c r="H169" s="633">
        <v>0</v>
      </c>
      <c r="I169" s="633">
        <v>0</v>
      </c>
      <c r="J169" s="633">
        <v>0</v>
      </c>
      <c r="K169" s="633">
        <v>1476235</v>
      </c>
      <c r="L169" s="633">
        <f t="shared" si="6"/>
        <v>1476235</v>
      </c>
      <c r="M169" s="633"/>
      <c r="N169" s="633">
        <v>4867301</v>
      </c>
      <c r="O169" s="633">
        <v>25228</v>
      </c>
      <c r="P169" s="633">
        <v>18694534</v>
      </c>
      <c r="Q169" s="633">
        <v>0</v>
      </c>
      <c r="R169" s="633">
        <f t="shared" si="7"/>
        <v>23587063</v>
      </c>
      <c r="S169" s="633"/>
      <c r="T169" s="633">
        <f t="shared" si="8"/>
        <v>3365506</v>
      </c>
      <c r="U169" s="633">
        <v>295248</v>
      </c>
      <c r="V169" s="633">
        <v>3660754</v>
      </c>
      <c r="W169" s="635"/>
      <c r="X169" s="635"/>
      <c r="Y169" s="635"/>
      <c r="Z169" s="635"/>
      <c r="AA169" s="635"/>
      <c r="AB169" s="635"/>
      <c r="AC169" s="635"/>
      <c r="AD169" s="635"/>
      <c r="AE169" s="636"/>
      <c r="AF169" s="636"/>
      <c r="AG169" s="636"/>
      <c r="AH169" s="636"/>
      <c r="AI169" s="636"/>
      <c r="AJ169" s="636"/>
      <c r="AK169" s="636"/>
      <c r="AL169" s="636"/>
    </row>
    <row r="170" spans="1:38" hidden="1" x14ac:dyDescent="0.25">
      <c r="A170" s="634">
        <v>35000</v>
      </c>
      <c r="B170" s="632" t="s">
        <v>1366</v>
      </c>
      <c r="C170" s="656">
        <v>1.3010000000000001E-3</v>
      </c>
      <c r="D170" s="656">
        <v>1.361E-3</v>
      </c>
      <c r="E170" s="661">
        <v>1191995</v>
      </c>
      <c r="F170" s="632">
        <v>56612103</v>
      </c>
      <c r="G170" s="633">
        <v>44635464</v>
      </c>
      <c r="H170" s="633">
        <v>0</v>
      </c>
      <c r="I170" s="633">
        <v>0</v>
      </c>
      <c r="J170" s="633">
        <v>0</v>
      </c>
      <c r="K170" s="633">
        <v>2093195</v>
      </c>
      <c r="L170" s="633">
        <f t="shared" si="6"/>
        <v>2093195</v>
      </c>
      <c r="M170" s="633"/>
      <c r="N170" s="633">
        <v>3200445</v>
      </c>
      <c r="O170" s="633">
        <v>16588</v>
      </c>
      <c r="P170" s="633">
        <v>12292403</v>
      </c>
      <c r="Q170" s="633">
        <v>0</v>
      </c>
      <c r="R170" s="633">
        <f t="shared" si="7"/>
        <v>15509436</v>
      </c>
      <c r="S170" s="633"/>
      <c r="T170" s="633">
        <f t="shared" si="8"/>
        <v>2212955</v>
      </c>
      <c r="U170" s="633">
        <v>418642</v>
      </c>
      <c r="V170" s="633">
        <v>2631597</v>
      </c>
      <c r="W170" s="635"/>
      <c r="X170" s="635"/>
      <c r="Y170" s="635"/>
      <c r="Z170" s="635"/>
      <c r="AA170" s="635"/>
      <c r="AB170" s="635"/>
      <c r="AC170" s="635"/>
      <c r="AD170" s="635"/>
      <c r="AE170" s="636"/>
      <c r="AF170" s="636"/>
      <c r="AG170" s="636"/>
      <c r="AH170" s="636"/>
      <c r="AI170" s="636"/>
      <c r="AJ170" s="636"/>
      <c r="AK170" s="636"/>
      <c r="AL170" s="636"/>
    </row>
    <row r="171" spans="1:38" hidden="1" x14ac:dyDescent="0.25">
      <c r="A171" s="634">
        <v>35005</v>
      </c>
      <c r="B171" s="632" t="s">
        <v>1367</v>
      </c>
      <c r="C171" s="656">
        <v>6.1300000000000005E-4</v>
      </c>
      <c r="D171" s="656">
        <v>5.8500000000000002E-4</v>
      </c>
      <c r="E171" s="661">
        <v>600536</v>
      </c>
      <c r="F171" s="632">
        <v>26682465</v>
      </c>
      <c r="G171" s="633">
        <v>19180331</v>
      </c>
      <c r="H171" s="633">
        <v>0</v>
      </c>
      <c r="I171" s="633">
        <v>0</v>
      </c>
      <c r="J171" s="633">
        <v>0</v>
      </c>
      <c r="K171" s="633">
        <v>0</v>
      </c>
      <c r="L171" s="633">
        <f t="shared" si="6"/>
        <v>0</v>
      </c>
      <c r="M171" s="633"/>
      <c r="N171" s="633">
        <v>1375265</v>
      </c>
      <c r="O171" s="633">
        <v>7128</v>
      </c>
      <c r="P171" s="633">
        <v>5282176</v>
      </c>
      <c r="Q171" s="633">
        <v>989965</v>
      </c>
      <c r="R171" s="633">
        <f t="shared" si="7"/>
        <v>7654534</v>
      </c>
      <c r="S171" s="633"/>
      <c r="T171" s="633">
        <f t="shared" si="8"/>
        <v>950930</v>
      </c>
      <c r="U171" s="633">
        <v>-197994</v>
      </c>
      <c r="V171" s="633">
        <v>752936</v>
      </c>
      <c r="W171" s="635"/>
      <c r="X171" s="635"/>
      <c r="Y171" s="635"/>
      <c r="Z171" s="635"/>
      <c r="AA171" s="635"/>
      <c r="AB171" s="635"/>
      <c r="AC171" s="635"/>
      <c r="AD171" s="635"/>
      <c r="AE171" s="636"/>
      <c r="AF171" s="636"/>
      <c r="AG171" s="636"/>
      <c r="AH171" s="636"/>
      <c r="AI171" s="636"/>
      <c r="AJ171" s="636"/>
      <c r="AK171" s="636"/>
      <c r="AL171" s="636"/>
    </row>
    <row r="172" spans="1:38" hidden="1" x14ac:dyDescent="0.25">
      <c r="A172" s="634">
        <v>35100</v>
      </c>
      <c r="B172" s="632" t="s">
        <v>1368</v>
      </c>
      <c r="C172" s="656">
        <v>1.1413E-2</v>
      </c>
      <c r="D172" s="656">
        <v>1.2086E-2</v>
      </c>
      <c r="E172" s="661">
        <v>10152274</v>
      </c>
      <c r="F172" s="632">
        <v>496523474</v>
      </c>
      <c r="G172" s="633">
        <v>396255480</v>
      </c>
      <c r="H172" s="633">
        <v>0</v>
      </c>
      <c r="I172" s="633">
        <v>0</v>
      </c>
      <c r="J172" s="633">
        <v>0</v>
      </c>
      <c r="K172" s="633">
        <v>23270860</v>
      </c>
      <c r="L172" s="633">
        <f t="shared" si="6"/>
        <v>23270860</v>
      </c>
      <c r="M172" s="633"/>
      <c r="N172" s="633">
        <v>28412247</v>
      </c>
      <c r="O172" s="633">
        <v>147266</v>
      </c>
      <c r="P172" s="633">
        <v>109126950</v>
      </c>
      <c r="Q172" s="633">
        <v>0</v>
      </c>
      <c r="R172" s="633">
        <f t="shared" si="7"/>
        <v>137686463</v>
      </c>
      <c r="S172" s="633"/>
      <c r="T172" s="633">
        <f t="shared" si="8"/>
        <v>19645711</v>
      </c>
      <c r="U172" s="633">
        <v>4654171</v>
      </c>
      <c r="V172" s="633">
        <v>24299882</v>
      </c>
      <c r="W172" s="635"/>
      <c r="X172" s="635"/>
      <c r="Y172" s="635"/>
      <c r="Z172" s="635"/>
      <c r="AA172" s="635"/>
      <c r="AB172" s="635"/>
      <c r="AC172" s="635"/>
      <c r="AD172" s="635"/>
      <c r="AE172" s="636"/>
      <c r="AF172" s="636"/>
      <c r="AG172" s="636"/>
      <c r="AH172" s="636"/>
      <c r="AI172" s="636"/>
      <c r="AJ172" s="636"/>
      <c r="AK172" s="636"/>
      <c r="AL172" s="636"/>
    </row>
    <row r="173" spans="1:38" hidden="1" x14ac:dyDescent="0.25">
      <c r="A173" s="634">
        <v>35105</v>
      </c>
      <c r="B173" s="632" t="s">
        <v>1369</v>
      </c>
      <c r="C173" s="656">
        <v>1.062E-3</v>
      </c>
      <c r="D173" s="656">
        <v>9.8799999999999995E-4</v>
      </c>
      <c r="E173" s="661">
        <v>934987</v>
      </c>
      <c r="F173" s="632">
        <v>46217033</v>
      </c>
      <c r="G173" s="633">
        <v>32385407</v>
      </c>
      <c r="H173" s="633">
        <v>0</v>
      </c>
      <c r="I173" s="633">
        <v>0</v>
      </c>
      <c r="J173" s="633">
        <v>0</v>
      </c>
      <c r="K173" s="633">
        <v>0</v>
      </c>
      <c r="L173" s="633">
        <f t="shared" si="6"/>
        <v>0</v>
      </c>
      <c r="M173" s="633"/>
      <c r="N173" s="633">
        <v>2322093</v>
      </c>
      <c r="O173" s="633">
        <v>12036</v>
      </c>
      <c r="P173" s="633">
        <v>8918793</v>
      </c>
      <c r="Q173" s="633">
        <v>2707775</v>
      </c>
      <c r="R173" s="633">
        <f t="shared" si="7"/>
        <v>13960697</v>
      </c>
      <c r="S173" s="633"/>
      <c r="T173" s="633">
        <f t="shared" si="8"/>
        <v>1605617</v>
      </c>
      <c r="U173" s="633">
        <v>-541558</v>
      </c>
      <c r="V173" s="633">
        <v>1064059</v>
      </c>
      <c r="W173" s="635"/>
      <c r="X173" s="635"/>
      <c r="Y173" s="635"/>
      <c r="Z173" s="635"/>
      <c r="AA173" s="635"/>
      <c r="AB173" s="635"/>
      <c r="AC173" s="635"/>
      <c r="AD173" s="635"/>
      <c r="AE173" s="636"/>
      <c r="AF173" s="636"/>
      <c r="AG173" s="636"/>
      <c r="AH173" s="636"/>
      <c r="AI173" s="636"/>
      <c r="AJ173" s="636"/>
      <c r="AK173" s="636"/>
      <c r="AL173" s="636"/>
    </row>
    <row r="174" spans="1:38" hidden="1" x14ac:dyDescent="0.25">
      <c r="A174" s="634">
        <v>35106</v>
      </c>
      <c r="B174" s="632" t="s">
        <v>1370</v>
      </c>
      <c r="C174" s="656">
        <v>2.6600000000000001E-4</v>
      </c>
      <c r="D174" s="656">
        <v>2.7099999999999997E-4</v>
      </c>
      <c r="E174" s="661">
        <v>200464</v>
      </c>
      <c r="F174" s="632">
        <v>11584607</v>
      </c>
      <c r="G174" s="633">
        <v>8870821</v>
      </c>
      <c r="H174" s="633">
        <v>0</v>
      </c>
      <c r="I174" s="633">
        <v>0</v>
      </c>
      <c r="J174" s="633">
        <v>0</v>
      </c>
      <c r="K174" s="633">
        <v>107675</v>
      </c>
      <c r="L174" s="633">
        <f t="shared" si="6"/>
        <v>107675</v>
      </c>
      <c r="M174" s="633"/>
      <c r="N174" s="633">
        <v>636054</v>
      </c>
      <c r="O174" s="633">
        <v>3297</v>
      </c>
      <c r="P174" s="633">
        <v>2442984</v>
      </c>
      <c r="Q174" s="633">
        <v>0</v>
      </c>
      <c r="R174" s="633">
        <f t="shared" si="7"/>
        <v>3082335</v>
      </c>
      <c r="S174" s="633"/>
      <c r="T174" s="633">
        <f t="shared" si="8"/>
        <v>439801</v>
      </c>
      <c r="U174" s="633">
        <v>21536</v>
      </c>
      <c r="V174" s="633">
        <v>461337</v>
      </c>
      <c r="W174" s="635"/>
      <c r="X174" s="635"/>
      <c r="Y174" s="635"/>
      <c r="Z174" s="635"/>
      <c r="AA174" s="635"/>
      <c r="AB174" s="635"/>
      <c r="AC174" s="635"/>
      <c r="AD174" s="635"/>
      <c r="AE174" s="636"/>
      <c r="AF174" s="636"/>
      <c r="AG174" s="636"/>
      <c r="AH174" s="636"/>
      <c r="AI174" s="636"/>
      <c r="AJ174" s="636"/>
      <c r="AK174" s="636"/>
      <c r="AL174" s="636"/>
    </row>
    <row r="175" spans="1:38" hidden="1" x14ac:dyDescent="0.25">
      <c r="A175" s="634">
        <v>35200</v>
      </c>
      <c r="B175" s="632" t="s">
        <v>1371</v>
      </c>
      <c r="C175" s="656">
        <v>4.9100000000000001E-4</v>
      </c>
      <c r="D175" s="656">
        <v>5.04E-4</v>
      </c>
      <c r="E175" s="661">
        <v>497265</v>
      </c>
      <c r="F175" s="632">
        <v>21344841</v>
      </c>
      <c r="G175" s="633">
        <v>16532303</v>
      </c>
      <c r="H175" s="633">
        <v>0</v>
      </c>
      <c r="I175" s="633">
        <v>0</v>
      </c>
      <c r="J175" s="633">
        <v>0</v>
      </c>
      <c r="K175" s="633">
        <v>507955</v>
      </c>
      <c r="L175" s="633">
        <f t="shared" si="6"/>
        <v>507955</v>
      </c>
      <c r="M175" s="633"/>
      <c r="N175" s="633">
        <v>1185397</v>
      </c>
      <c r="O175" s="633">
        <v>6144</v>
      </c>
      <c r="P175" s="633">
        <v>4552921</v>
      </c>
      <c r="Q175" s="633">
        <v>0</v>
      </c>
      <c r="R175" s="633">
        <f t="shared" si="7"/>
        <v>5744462</v>
      </c>
      <c r="S175" s="633"/>
      <c r="T175" s="633">
        <f t="shared" si="8"/>
        <v>819645</v>
      </c>
      <c r="U175" s="633">
        <v>101588</v>
      </c>
      <c r="V175" s="633">
        <v>921233</v>
      </c>
      <c r="W175" s="635"/>
      <c r="X175" s="635"/>
      <c r="Y175" s="635"/>
      <c r="Z175" s="635"/>
      <c r="AA175" s="635"/>
      <c r="AB175" s="635"/>
      <c r="AC175" s="635"/>
      <c r="AD175" s="635"/>
      <c r="AE175" s="636"/>
      <c r="AF175" s="636"/>
      <c r="AG175" s="636"/>
      <c r="AH175" s="636"/>
      <c r="AI175" s="636"/>
      <c r="AJ175" s="636"/>
      <c r="AK175" s="636"/>
      <c r="AL175" s="636"/>
    </row>
    <row r="176" spans="1:38" hidden="1" x14ac:dyDescent="0.25">
      <c r="A176" s="634">
        <v>35300</v>
      </c>
      <c r="B176" s="632" t="s">
        <v>1372</v>
      </c>
      <c r="C176" s="656">
        <v>3.346E-3</v>
      </c>
      <c r="D176" s="656">
        <v>3.6540000000000001E-3</v>
      </c>
      <c r="E176" s="661">
        <v>3113992</v>
      </c>
      <c r="F176" s="632">
        <v>145543449</v>
      </c>
      <c r="G176" s="633">
        <v>119790962</v>
      </c>
      <c r="H176" s="633">
        <v>0</v>
      </c>
      <c r="I176" s="633">
        <v>0</v>
      </c>
      <c r="J176" s="633">
        <v>0</v>
      </c>
      <c r="K176" s="633">
        <v>10871745</v>
      </c>
      <c r="L176" s="633">
        <f t="shared" si="6"/>
        <v>10871745</v>
      </c>
      <c r="M176" s="633"/>
      <c r="N176" s="633">
        <v>8589232</v>
      </c>
      <c r="O176" s="633">
        <v>44520</v>
      </c>
      <c r="P176" s="633">
        <v>32989884</v>
      </c>
      <c r="Q176" s="633">
        <v>0</v>
      </c>
      <c r="R176" s="633">
        <f t="shared" si="7"/>
        <v>41623636</v>
      </c>
      <c r="S176" s="633"/>
      <c r="T176" s="633">
        <f t="shared" si="8"/>
        <v>5939044</v>
      </c>
      <c r="U176" s="633">
        <v>2174352</v>
      </c>
      <c r="V176" s="633">
        <v>8113396</v>
      </c>
      <c r="W176" s="635"/>
      <c r="X176" s="635"/>
      <c r="Y176" s="635"/>
      <c r="Z176" s="635"/>
      <c r="AA176" s="635"/>
      <c r="AB176" s="635"/>
      <c r="AC176" s="635"/>
      <c r="AD176" s="635"/>
      <c r="AE176" s="636"/>
      <c r="AF176" s="636"/>
      <c r="AG176" s="636"/>
      <c r="AH176" s="636"/>
      <c r="AI176" s="636"/>
      <c r="AJ176" s="636"/>
      <c r="AK176" s="636"/>
      <c r="AL176" s="636"/>
    </row>
    <row r="177" spans="1:38" hidden="1" x14ac:dyDescent="0.25">
      <c r="A177" s="634">
        <v>35305</v>
      </c>
      <c r="B177" s="632" t="s">
        <v>1373</v>
      </c>
      <c r="C177" s="656">
        <v>1.2600000000000001E-3</v>
      </c>
      <c r="D177" s="656">
        <v>1.2199999999999999E-3</v>
      </c>
      <c r="E177" s="661">
        <v>1204395</v>
      </c>
      <c r="F177" s="632">
        <v>54801298</v>
      </c>
      <c r="G177" s="633">
        <v>39998236</v>
      </c>
      <c r="H177" s="633">
        <v>0</v>
      </c>
      <c r="I177" s="633">
        <v>0</v>
      </c>
      <c r="J177" s="633">
        <v>0</v>
      </c>
      <c r="K177" s="633">
        <v>0</v>
      </c>
      <c r="L177" s="633">
        <f t="shared" si="6"/>
        <v>0</v>
      </c>
      <c r="M177" s="633"/>
      <c r="N177" s="633">
        <v>2867947</v>
      </c>
      <c r="O177" s="633">
        <v>14865</v>
      </c>
      <c r="P177" s="633">
        <v>11015331</v>
      </c>
      <c r="Q177" s="633">
        <v>1402975</v>
      </c>
      <c r="R177" s="633">
        <f t="shared" si="7"/>
        <v>15301118</v>
      </c>
      <c r="S177" s="633"/>
      <c r="T177" s="633">
        <f t="shared" si="8"/>
        <v>1983048</v>
      </c>
      <c r="U177" s="633">
        <v>-280597</v>
      </c>
      <c r="V177" s="633">
        <v>1702451</v>
      </c>
      <c r="W177" s="635"/>
      <c r="X177" s="635"/>
      <c r="Y177" s="635"/>
      <c r="Z177" s="635"/>
      <c r="AA177" s="635"/>
      <c r="AB177" s="635"/>
      <c r="AC177" s="635"/>
      <c r="AD177" s="635"/>
      <c r="AE177" s="636"/>
      <c r="AF177" s="636"/>
      <c r="AG177" s="636"/>
      <c r="AH177" s="636"/>
      <c r="AI177" s="636"/>
      <c r="AJ177" s="636"/>
      <c r="AK177" s="636"/>
      <c r="AL177" s="636"/>
    </row>
    <row r="178" spans="1:38" hidden="1" x14ac:dyDescent="0.25">
      <c r="A178" s="634">
        <v>35400</v>
      </c>
      <c r="B178" s="632" t="s">
        <v>1374</v>
      </c>
      <c r="C178" s="656">
        <v>2.6770000000000001E-3</v>
      </c>
      <c r="D178" s="656">
        <v>2.7009999999999998E-3</v>
      </c>
      <c r="E178" s="661">
        <v>2510858</v>
      </c>
      <c r="F178" s="632">
        <v>116451377</v>
      </c>
      <c r="G178" s="633">
        <v>88553112</v>
      </c>
      <c r="H178" s="633">
        <v>0</v>
      </c>
      <c r="I178" s="633">
        <v>0</v>
      </c>
      <c r="J178" s="633">
        <v>0</v>
      </c>
      <c r="K178" s="633">
        <v>826440</v>
      </c>
      <c r="L178" s="633">
        <f t="shared" si="6"/>
        <v>826440</v>
      </c>
      <c r="M178" s="633"/>
      <c r="N178" s="633">
        <v>6349421</v>
      </c>
      <c r="O178" s="633">
        <v>32910</v>
      </c>
      <c r="P178" s="633">
        <v>24387123</v>
      </c>
      <c r="Q178" s="633">
        <v>0</v>
      </c>
      <c r="R178" s="633">
        <f t="shared" si="7"/>
        <v>30769454</v>
      </c>
      <c r="S178" s="633"/>
      <c r="T178" s="633">
        <f t="shared" si="8"/>
        <v>4390321</v>
      </c>
      <c r="U178" s="633">
        <v>165286</v>
      </c>
      <c r="V178" s="633">
        <v>4555607</v>
      </c>
      <c r="W178" s="635"/>
      <c r="X178" s="635"/>
      <c r="Y178" s="635"/>
      <c r="Z178" s="635"/>
      <c r="AA178" s="635"/>
      <c r="AB178" s="635"/>
      <c r="AC178" s="635"/>
      <c r="AD178" s="635"/>
      <c r="AE178" s="636"/>
      <c r="AF178" s="636"/>
      <c r="AG178" s="636"/>
      <c r="AH178" s="636"/>
      <c r="AI178" s="636"/>
      <c r="AJ178" s="636"/>
      <c r="AK178" s="636"/>
      <c r="AL178" s="636"/>
    </row>
    <row r="179" spans="1:38" hidden="1" x14ac:dyDescent="0.25">
      <c r="A179" s="634">
        <v>35401</v>
      </c>
      <c r="B179" s="632" t="s">
        <v>1375</v>
      </c>
      <c r="C179" s="656">
        <v>2.5000000000000001E-5</v>
      </c>
      <c r="D179" s="656">
        <v>3.3000000000000003E-5</v>
      </c>
      <c r="E179" s="661">
        <v>26319</v>
      </c>
      <c r="F179" s="632">
        <v>1072414</v>
      </c>
      <c r="G179" s="633">
        <v>1088886</v>
      </c>
      <c r="H179" s="633">
        <v>0</v>
      </c>
      <c r="I179" s="633">
        <v>0</v>
      </c>
      <c r="J179" s="633">
        <v>0</v>
      </c>
      <c r="K179" s="633">
        <v>305965</v>
      </c>
      <c r="L179" s="633">
        <f t="shared" si="6"/>
        <v>305965</v>
      </c>
      <c r="M179" s="633"/>
      <c r="N179" s="633">
        <v>78075</v>
      </c>
      <c r="O179" s="633">
        <v>405</v>
      </c>
      <c r="P179" s="633">
        <v>299874</v>
      </c>
      <c r="Q179" s="633">
        <v>0</v>
      </c>
      <c r="R179" s="633">
        <f t="shared" si="7"/>
        <v>378354</v>
      </c>
      <c r="S179" s="633"/>
      <c r="T179" s="633">
        <f t="shared" si="8"/>
        <v>53985</v>
      </c>
      <c r="U179" s="633">
        <v>61195</v>
      </c>
      <c r="V179" s="633">
        <v>115180</v>
      </c>
      <c r="W179" s="635"/>
      <c r="X179" s="635"/>
      <c r="Y179" s="635"/>
      <c r="Z179" s="635"/>
      <c r="AA179" s="635"/>
      <c r="AB179" s="635"/>
      <c r="AC179" s="635"/>
      <c r="AD179" s="635"/>
      <c r="AE179" s="636"/>
      <c r="AF179" s="636"/>
      <c r="AG179" s="636"/>
      <c r="AH179" s="636"/>
      <c r="AI179" s="636"/>
      <c r="AJ179" s="636"/>
      <c r="AK179" s="636"/>
      <c r="AL179" s="636"/>
    </row>
    <row r="180" spans="1:38" hidden="1" x14ac:dyDescent="0.25">
      <c r="A180" s="634">
        <v>35405</v>
      </c>
      <c r="B180" s="632" t="s">
        <v>1376</v>
      </c>
      <c r="C180" s="656">
        <v>9.2800000000000001E-4</v>
      </c>
      <c r="D180" s="656">
        <v>8.7699999999999996E-4</v>
      </c>
      <c r="E180" s="661">
        <v>842764</v>
      </c>
      <c r="F180" s="632">
        <v>40384454</v>
      </c>
      <c r="G180" s="633">
        <v>28754914</v>
      </c>
      <c r="H180" s="633">
        <v>0</v>
      </c>
      <c r="I180" s="633">
        <v>0</v>
      </c>
      <c r="J180" s="633">
        <v>0</v>
      </c>
      <c r="K180" s="633">
        <v>0</v>
      </c>
      <c r="L180" s="633">
        <f t="shared" si="6"/>
        <v>0</v>
      </c>
      <c r="M180" s="633"/>
      <c r="N180" s="633">
        <v>2061780</v>
      </c>
      <c r="O180" s="633">
        <v>10687</v>
      </c>
      <c r="P180" s="633">
        <v>7918972</v>
      </c>
      <c r="Q180" s="633">
        <v>1850800</v>
      </c>
      <c r="R180" s="633">
        <f t="shared" si="7"/>
        <v>11842239</v>
      </c>
      <c r="S180" s="633"/>
      <c r="T180" s="633">
        <f t="shared" si="8"/>
        <v>1425622</v>
      </c>
      <c r="U180" s="633">
        <v>-370159</v>
      </c>
      <c r="V180" s="633">
        <v>1055463</v>
      </c>
      <c r="W180" s="635"/>
      <c r="X180" s="635"/>
      <c r="Y180" s="635"/>
      <c r="Z180" s="635"/>
      <c r="AA180" s="635"/>
      <c r="AB180" s="635"/>
      <c r="AC180" s="635"/>
      <c r="AD180" s="635"/>
      <c r="AE180" s="636"/>
      <c r="AF180" s="636"/>
      <c r="AG180" s="636"/>
      <c r="AH180" s="636"/>
      <c r="AI180" s="636"/>
      <c r="AJ180" s="636"/>
      <c r="AK180" s="636"/>
      <c r="AL180" s="636"/>
    </row>
    <row r="181" spans="1:38" hidden="1" x14ac:dyDescent="0.25">
      <c r="A181" s="634">
        <v>35500</v>
      </c>
      <c r="B181" s="632" t="s">
        <v>1377</v>
      </c>
      <c r="C181" s="656">
        <v>3.8159999999999999E-3</v>
      </c>
      <c r="D181" s="656">
        <v>3.7720000000000002E-3</v>
      </c>
      <c r="E181" s="661">
        <v>3283379</v>
      </c>
      <c r="F181" s="632">
        <v>166017067</v>
      </c>
      <c r="G181" s="633">
        <v>123670043</v>
      </c>
      <c r="H181" s="633">
        <v>0</v>
      </c>
      <c r="I181" s="633">
        <v>0</v>
      </c>
      <c r="J181" s="633">
        <v>0</v>
      </c>
      <c r="K181" s="633">
        <v>0</v>
      </c>
      <c r="L181" s="633">
        <f t="shared" si="6"/>
        <v>0</v>
      </c>
      <c r="M181" s="633"/>
      <c r="N181" s="633">
        <v>8867370</v>
      </c>
      <c r="O181" s="633">
        <v>45961</v>
      </c>
      <c r="P181" s="633">
        <v>34058165</v>
      </c>
      <c r="Q181" s="633">
        <v>1852930</v>
      </c>
      <c r="R181" s="633">
        <f t="shared" si="7"/>
        <v>44824426</v>
      </c>
      <c r="S181" s="633"/>
      <c r="T181" s="633">
        <f t="shared" si="8"/>
        <v>6131362</v>
      </c>
      <c r="U181" s="633">
        <v>-370582</v>
      </c>
      <c r="V181" s="633">
        <v>5760780</v>
      </c>
      <c r="W181" s="635"/>
      <c r="X181" s="635"/>
      <c r="Y181" s="635"/>
      <c r="Z181" s="635"/>
      <c r="AA181" s="635"/>
      <c r="AB181" s="635"/>
      <c r="AC181" s="635"/>
      <c r="AD181" s="635"/>
      <c r="AE181" s="636"/>
      <c r="AF181" s="636"/>
      <c r="AG181" s="636"/>
      <c r="AH181" s="636"/>
      <c r="AI181" s="636"/>
      <c r="AJ181" s="636"/>
      <c r="AK181" s="636"/>
      <c r="AL181" s="636"/>
    </row>
    <row r="182" spans="1:38" hidden="1" x14ac:dyDescent="0.25">
      <c r="A182" s="634">
        <v>35600</v>
      </c>
      <c r="B182" s="632" t="s">
        <v>1378</v>
      </c>
      <c r="C182" s="656">
        <v>1.462E-3</v>
      </c>
      <c r="D182" s="656">
        <v>1.557E-3</v>
      </c>
      <c r="E182" s="661">
        <v>1416457</v>
      </c>
      <c r="F182" s="632">
        <v>63620881</v>
      </c>
      <c r="G182" s="633">
        <v>51057671</v>
      </c>
      <c r="H182" s="633">
        <v>0</v>
      </c>
      <c r="I182" s="633">
        <v>0</v>
      </c>
      <c r="J182" s="633">
        <v>0</v>
      </c>
      <c r="K182" s="633">
        <v>3385700</v>
      </c>
      <c r="L182" s="633">
        <f t="shared" si="6"/>
        <v>3385700</v>
      </c>
      <c r="M182" s="633"/>
      <c r="N182" s="633">
        <v>3660929</v>
      </c>
      <c r="O182" s="633">
        <v>18975</v>
      </c>
      <c r="P182" s="633">
        <v>14061049</v>
      </c>
      <c r="Q182" s="633">
        <v>0</v>
      </c>
      <c r="R182" s="633">
        <f t="shared" si="7"/>
        <v>17740953</v>
      </c>
      <c r="S182" s="633"/>
      <c r="T182" s="633">
        <f t="shared" si="8"/>
        <v>2531357</v>
      </c>
      <c r="U182" s="633">
        <v>677143</v>
      </c>
      <c r="V182" s="633">
        <v>3208500</v>
      </c>
      <c r="W182" s="635"/>
      <c r="X182" s="635"/>
      <c r="Y182" s="635"/>
      <c r="Z182" s="635"/>
      <c r="AA182" s="635"/>
      <c r="AB182" s="635"/>
      <c r="AC182" s="635"/>
      <c r="AD182" s="635"/>
      <c r="AE182" s="636"/>
      <c r="AF182" s="636"/>
      <c r="AG182" s="636"/>
      <c r="AH182" s="636"/>
      <c r="AI182" s="636"/>
      <c r="AJ182" s="636"/>
      <c r="AK182" s="636"/>
      <c r="AL182" s="636"/>
    </row>
    <row r="183" spans="1:38" hidden="1" x14ac:dyDescent="0.25">
      <c r="A183" s="634">
        <v>35700</v>
      </c>
      <c r="B183" s="632" t="s">
        <v>1379</v>
      </c>
      <c r="C183" s="656">
        <v>8.2399999999999997E-4</v>
      </c>
      <c r="D183" s="656">
        <v>8.7100000000000003E-4</v>
      </c>
      <c r="E183" s="661">
        <v>782615</v>
      </c>
      <c r="F183" s="632">
        <v>35840380</v>
      </c>
      <c r="G183" s="633">
        <v>28553119</v>
      </c>
      <c r="H183" s="633">
        <v>0</v>
      </c>
      <c r="I183" s="633">
        <v>0</v>
      </c>
      <c r="J183" s="633">
        <v>0</v>
      </c>
      <c r="K183" s="633">
        <v>1667545</v>
      </c>
      <c r="L183" s="633">
        <f t="shared" si="6"/>
        <v>1667545</v>
      </c>
      <c r="M183" s="633"/>
      <c r="N183" s="633">
        <v>2047311</v>
      </c>
      <c r="O183" s="633">
        <v>10612</v>
      </c>
      <c r="P183" s="633">
        <v>7863399</v>
      </c>
      <c r="Q183" s="633">
        <v>0</v>
      </c>
      <c r="R183" s="633">
        <f t="shared" si="7"/>
        <v>9921322</v>
      </c>
      <c r="S183" s="633"/>
      <c r="T183" s="633">
        <f t="shared" si="8"/>
        <v>1415618</v>
      </c>
      <c r="U183" s="633">
        <v>333512</v>
      </c>
      <c r="V183" s="633">
        <v>1749130</v>
      </c>
      <c r="W183" s="635"/>
      <c r="X183" s="635"/>
      <c r="Y183" s="635"/>
      <c r="Z183" s="635"/>
      <c r="AA183" s="635"/>
      <c r="AB183" s="635"/>
      <c r="AC183" s="635"/>
      <c r="AD183" s="635"/>
      <c r="AE183" s="636"/>
      <c r="AF183" s="636"/>
      <c r="AG183" s="636"/>
      <c r="AH183" s="636"/>
      <c r="AI183" s="636"/>
      <c r="AJ183" s="636"/>
      <c r="AK183" s="636"/>
      <c r="AL183" s="636"/>
    </row>
    <row r="184" spans="1:38" hidden="1" x14ac:dyDescent="0.25">
      <c r="A184" s="634">
        <v>35800</v>
      </c>
      <c r="B184" s="632" t="s">
        <v>1380</v>
      </c>
      <c r="C184" s="656">
        <v>1.1869999999999999E-3</v>
      </c>
      <c r="D184" s="656">
        <v>1.2019999999999999E-3</v>
      </c>
      <c r="E184" s="661">
        <v>1186474</v>
      </c>
      <c r="F184" s="632">
        <v>51626295</v>
      </c>
      <c r="G184" s="633">
        <v>39405443</v>
      </c>
      <c r="H184" s="633">
        <v>0</v>
      </c>
      <c r="I184" s="633">
        <v>0</v>
      </c>
      <c r="J184" s="633">
        <v>0</v>
      </c>
      <c r="K184" s="633">
        <v>586775</v>
      </c>
      <c r="L184" s="633">
        <f t="shared" si="6"/>
        <v>586775</v>
      </c>
      <c r="M184" s="633"/>
      <c r="N184" s="633">
        <v>2825443</v>
      </c>
      <c r="O184" s="633">
        <v>14645</v>
      </c>
      <c r="P184" s="633">
        <v>10852079</v>
      </c>
      <c r="Q184" s="633">
        <v>0</v>
      </c>
      <c r="R184" s="633">
        <f t="shared" si="7"/>
        <v>13692167</v>
      </c>
      <c r="S184" s="633"/>
      <c r="T184" s="633">
        <f t="shared" si="8"/>
        <v>1953659</v>
      </c>
      <c r="U184" s="633">
        <v>117354</v>
      </c>
      <c r="V184" s="633">
        <v>2071013</v>
      </c>
      <c r="W184" s="635"/>
      <c r="X184" s="635"/>
      <c r="Y184" s="635"/>
      <c r="Z184" s="635"/>
      <c r="AA184" s="635"/>
      <c r="AB184" s="635"/>
      <c r="AC184" s="635"/>
      <c r="AD184" s="635"/>
      <c r="AE184" s="636"/>
      <c r="AF184" s="636"/>
      <c r="AG184" s="636"/>
      <c r="AH184" s="636"/>
      <c r="AI184" s="636"/>
      <c r="AJ184" s="636"/>
      <c r="AK184" s="636"/>
      <c r="AL184" s="636"/>
    </row>
    <row r="185" spans="1:38" hidden="1" x14ac:dyDescent="0.25">
      <c r="A185" s="634">
        <v>35805</v>
      </c>
      <c r="B185" s="632" t="s">
        <v>1381</v>
      </c>
      <c r="C185" s="656">
        <v>1.8599999999999999E-4</v>
      </c>
      <c r="D185" s="656">
        <v>1.9100000000000001E-4</v>
      </c>
      <c r="E185" s="661">
        <v>231674</v>
      </c>
      <c r="F185" s="632">
        <v>8075872</v>
      </c>
      <c r="G185" s="633">
        <v>6267062</v>
      </c>
      <c r="H185" s="633">
        <v>0</v>
      </c>
      <c r="I185" s="633">
        <v>0</v>
      </c>
      <c r="J185" s="633">
        <v>0</v>
      </c>
      <c r="K185" s="633">
        <v>241470</v>
      </c>
      <c r="L185" s="633">
        <f t="shared" si="6"/>
        <v>241470</v>
      </c>
      <c r="M185" s="633"/>
      <c r="N185" s="633">
        <v>449360</v>
      </c>
      <c r="O185" s="633">
        <v>2329</v>
      </c>
      <c r="P185" s="633">
        <v>1725920</v>
      </c>
      <c r="Q185" s="633">
        <v>0</v>
      </c>
      <c r="R185" s="633">
        <f t="shared" si="7"/>
        <v>2177609</v>
      </c>
      <c r="S185" s="633"/>
      <c r="T185" s="633">
        <f t="shared" si="8"/>
        <v>310711</v>
      </c>
      <c r="U185" s="633">
        <v>48293</v>
      </c>
      <c r="V185" s="633">
        <v>359004</v>
      </c>
      <c r="W185" s="635"/>
      <c r="X185" s="635"/>
      <c r="Y185" s="635"/>
      <c r="Z185" s="635"/>
      <c r="AA185" s="635"/>
      <c r="AB185" s="635"/>
      <c r="AC185" s="635"/>
      <c r="AD185" s="635"/>
      <c r="AE185" s="636"/>
      <c r="AF185" s="636"/>
      <c r="AG185" s="636"/>
      <c r="AH185" s="636"/>
      <c r="AI185" s="636"/>
      <c r="AJ185" s="636"/>
      <c r="AK185" s="636"/>
      <c r="AL185" s="636"/>
    </row>
    <row r="186" spans="1:38" hidden="1" x14ac:dyDescent="0.25">
      <c r="A186" s="634">
        <v>35900</v>
      </c>
      <c r="B186" s="632" t="s">
        <v>1382</v>
      </c>
      <c r="C186" s="656">
        <v>2.2260000000000001E-3</v>
      </c>
      <c r="D186" s="656">
        <v>2.2399999999999998E-3</v>
      </c>
      <c r="E186" s="661">
        <v>2015604</v>
      </c>
      <c r="F186" s="632">
        <v>96827378</v>
      </c>
      <c r="G186" s="633">
        <v>73452157</v>
      </c>
      <c r="H186" s="633">
        <v>0</v>
      </c>
      <c r="I186" s="633">
        <v>0</v>
      </c>
      <c r="J186" s="633">
        <v>0</v>
      </c>
      <c r="K186" s="633">
        <v>434235</v>
      </c>
      <c r="L186" s="633">
        <f t="shared" si="6"/>
        <v>434235</v>
      </c>
      <c r="M186" s="633"/>
      <c r="N186" s="633">
        <v>5266655</v>
      </c>
      <c r="O186" s="633">
        <v>27298</v>
      </c>
      <c r="P186" s="633">
        <v>20228389</v>
      </c>
      <c r="Q186" s="633">
        <v>0</v>
      </c>
      <c r="R186" s="633">
        <f t="shared" si="7"/>
        <v>25522342</v>
      </c>
      <c r="S186" s="633"/>
      <c r="T186" s="633">
        <f t="shared" si="8"/>
        <v>3641640</v>
      </c>
      <c r="U186" s="633">
        <v>86850</v>
      </c>
      <c r="V186" s="633">
        <v>3728490</v>
      </c>
      <c r="W186" s="635"/>
      <c r="X186" s="635"/>
      <c r="Y186" s="635"/>
      <c r="Z186" s="635"/>
      <c r="AA186" s="635"/>
      <c r="AB186" s="635"/>
      <c r="AC186" s="635"/>
      <c r="AD186" s="635"/>
      <c r="AE186" s="636"/>
      <c r="AF186" s="636"/>
      <c r="AG186" s="636"/>
      <c r="AH186" s="636"/>
      <c r="AI186" s="636"/>
      <c r="AJ186" s="636"/>
      <c r="AK186" s="636"/>
      <c r="AL186" s="636"/>
    </row>
    <row r="187" spans="1:38" hidden="1" x14ac:dyDescent="0.25">
      <c r="A187" s="634">
        <v>35905</v>
      </c>
      <c r="B187" s="632" t="s">
        <v>1383</v>
      </c>
      <c r="C187" s="656">
        <v>2.9300000000000002E-4</v>
      </c>
      <c r="D187" s="656">
        <v>2.9100000000000003E-4</v>
      </c>
      <c r="E187" s="661">
        <v>343910</v>
      </c>
      <c r="F187" s="632">
        <v>12731940</v>
      </c>
      <c r="G187" s="633">
        <v>9532419</v>
      </c>
      <c r="H187" s="633">
        <v>0</v>
      </c>
      <c r="I187" s="633">
        <v>0</v>
      </c>
      <c r="J187" s="633">
        <v>0</v>
      </c>
      <c r="K187" s="633">
        <v>0</v>
      </c>
      <c r="L187" s="633">
        <f t="shared" si="6"/>
        <v>0</v>
      </c>
      <c r="M187" s="633"/>
      <c r="N187" s="633">
        <v>683492</v>
      </c>
      <c r="O187" s="633">
        <v>3543</v>
      </c>
      <c r="P187" s="633">
        <v>2625185</v>
      </c>
      <c r="Q187" s="633">
        <v>13325</v>
      </c>
      <c r="R187" s="633">
        <f t="shared" si="7"/>
        <v>3325545</v>
      </c>
      <c r="S187" s="633"/>
      <c r="T187" s="633">
        <f t="shared" si="8"/>
        <v>472602</v>
      </c>
      <c r="U187" s="633">
        <v>-2668</v>
      </c>
      <c r="V187" s="633">
        <v>469934</v>
      </c>
      <c r="W187" s="635"/>
      <c r="X187" s="635"/>
      <c r="Y187" s="635"/>
      <c r="Z187" s="635"/>
      <c r="AA187" s="635"/>
      <c r="AB187" s="635"/>
      <c r="AC187" s="635"/>
      <c r="AD187" s="635"/>
      <c r="AE187" s="636"/>
      <c r="AF187" s="636"/>
      <c r="AG187" s="636"/>
      <c r="AH187" s="636"/>
      <c r="AI187" s="636"/>
      <c r="AJ187" s="636"/>
      <c r="AK187" s="636"/>
      <c r="AL187" s="636"/>
    </row>
    <row r="188" spans="1:38" hidden="1" x14ac:dyDescent="0.25">
      <c r="A188" s="634">
        <v>36000</v>
      </c>
      <c r="B188" s="632" t="s">
        <v>1384</v>
      </c>
      <c r="C188" s="656">
        <v>5.2234999999999997E-2</v>
      </c>
      <c r="D188" s="656">
        <v>5.4764E-2</v>
      </c>
      <c r="E188" s="661">
        <v>45589962</v>
      </c>
      <c r="F188" s="632">
        <v>2272413309</v>
      </c>
      <c r="G188" s="633">
        <v>1795538583</v>
      </c>
      <c r="H188" s="633">
        <v>0</v>
      </c>
      <c r="I188" s="633">
        <v>0</v>
      </c>
      <c r="J188" s="633">
        <v>0</v>
      </c>
      <c r="K188" s="633">
        <v>86324305</v>
      </c>
      <c r="L188" s="633">
        <f t="shared" si="6"/>
        <v>86324305</v>
      </c>
      <c r="M188" s="633"/>
      <c r="N188" s="633">
        <v>128743419</v>
      </c>
      <c r="O188" s="633">
        <v>667300</v>
      </c>
      <c r="P188" s="633">
        <v>494483128</v>
      </c>
      <c r="Q188" s="633">
        <v>0</v>
      </c>
      <c r="R188" s="633">
        <f t="shared" si="7"/>
        <v>623893847</v>
      </c>
      <c r="S188" s="633"/>
      <c r="T188" s="633">
        <f t="shared" si="8"/>
        <v>89019921</v>
      </c>
      <c r="U188" s="633">
        <v>17264857</v>
      </c>
      <c r="V188" s="633">
        <v>106284778</v>
      </c>
      <c r="W188" s="635"/>
      <c r="X188" s="635"/>
      <c r="Y188" s="635"/>
      <c r="Z188" s="635"/>
      <c r="AA188" s="635"/>
      <c r="AB188" s="635"/>
      <c r="AC188" s="635"/>
      <c r="AD188" s="635"/>
      <c r="AE188" s="636"/>
      <c r="AF188" s="636"/>
      <c r="AG188" s="636"/>
      <c r="AH188" s="636"/>
      <c r="AI188" s="636"/>
      <c r="AJ188" s="636"/>
      <c r="AK188" s="636"/>
      <c r="AL188" s="636"/>
    </row>
    <row r="189" spans="1:38" hidden="1" x14ac:dyDescent="0.25">
      <c r="A189" s="634">
        <v>36001</v>
      </c>
      <c r="B189" s="632" t="s">
        <v>1385</v>
      </c>
      <c r="C189" s="656">
        <v>2.6999999999999999E-5</v>
      </c>
      <c r="D189" s="656">
        <v>3.0000000000000001E-5</v>
      </c>
      <c r="E189" s="661">
        <v>25887</v>
      </c>
      <c r="F189" s="632">
        <v>1160391</v>
      </c>
      <c r="G189" s="633">
        <v>972313</v>
      </c>
      <c r="H189" s="633">
        <v>0</v>
      </c>
      <c r="I189" s="633">
        <v>0</v>
      </c>
      <c r="J189" s="633">
        <v>0</v>
      </c>
      <c r="K189" s="633">
        <v>106210</v>
      </c>
      <c r="L189" s="633">
        <f t="shared" si="6"/>
        <v>106210</v>
      </c>
      <c r="M189" s="633"/>
      <c r="N189" s="633">
        <v>69717</v>
      </c>
      <c r="O189" s="633">
        <v>361</v>
      </c>
      <c r="P189" s="633">
        <v>267771</v>
      </c>
      <c r="Q189" s="633">
        <v>0</v>
      </c>
      <c r="R189" s="633">
        <f t="shared" si="7"/>
        <v>337849</v>
      </c>
      <c r="S189" s="633"/>
      <c r="T189" s="633">
        <f t="shared" si="8"/>
        <v>48206</v>
      </c>
      <c r="U189" s="633">
        <v>21242</v>
      </c>
      <c r="V189" s="633">
        <v>69448</v>
      </c>
      <c r="W189" s="635"/>
      <c r="X189" s="635"/>
      <c r="Y189" s="635"/>
      <c r="Z189" s="635"/>
      <c r="AA189" s="635"/>
      <c r="AB189" s="635"/>
      <c r="AC189" s="635"/>
      <c r="AD189" s="635"/>
      <c r="AE189" s="636"/>
      <c r="AF189" s="636"/>
      <c r="AG189" s="636"/>
      <c r="AH189" s="636"/>
      <c r="AI189" s="636"/>
      <c r="AJ189" s="636"/>
      <c r="AK189" s="636"/>
      <c r="AL189" s="636"/>
    </row>
    <row r="190" spans="1:38" s="705" customFormat="1" hidden="1" x14ac:dyDescent="0.25">
      <c r="A190" s="637">
        <v>36002</v>
      </c>
      <c r="B190" s="638" t="s">
        <v>1386</v>
      </c>
      <c r="C190" s="701">
        <v>1.47E-4</v>
      </c>
      <c r="D190" s="701">
        <v>2.1999999999999999E-5</v>
      </c>
      <c r="E190" s="702">
        <v>0</v>
      </c>
      <c r="F190" s="638">
        <v>6384706</v>
      </c>
      <c r="G190" s="639">
        <v>719662</v>
      </c>
      <c r="H190" s="639">
        <v>0</v>
      </c>
      <c r="I190" s="639">
        <v>0</v>
      </c>
      <c r="J190" s="639">
        <v>0</v>
      </c>
      <c r="K190" s="639">
        <v>0</v>
      </c>
      <c r="L190" s="639">
        <f t="shared" si="6"/>
        <v>0</v>
      </c>
      <c r="M190" s="639"/>
      <c r="N190" s="639">
        <v>51601</v>
      </c>
      <c r="O190" s="639">
        <v>267</v>
      </c>
      <c r="P190" s="639">
        <v>198192</v>
      </c>
      <c r="Q190" s="639">
        <v>4542220</v>
      </c>
      <c r="R190" s="639">
        <f t="shared" si="7"/>
        <v>4792280</v>
      </c>
      <c r="S190" s="639"/>
      <c r="T190" s="639">
        <f t="shared" si="8"/>
        <v>35680</v>
      </c>
      <c r="U190" s="639">
        <v>-908443</v>
      </c>
      <c r="V190" s="639">
        <v>-872763</v>
      </c>
      <c r="W190" s="703"/>
      <c r="X190" s="703"/>
      <c r="Y190" s="703"/>
      <c r="Z190" s="703"/>
      <c r="AA190" s="703"/>
      <c r="AB190" s="703"/>
      <c r="AC190" s="703"/>
      <c r="AD190" s="703"/>
      <c r="AE190" s="704"/>
      <c r="AF190" s="704"/>
      <c r="AG190" s="704"/>
      <c r="AH190" s="704"/>
      <c r="AI190" s="704"/>
      <c r="AJ190" s="704"/>
      <c r="AK190" s="704"/>
      <c r="AL190" s="704"/>
    </row>
    <row r="191" spans="1:38" hidden="1" x14ac:dyDescent="0.25">
      <c r="A191" s="634">
        <v>36003</v>
      </c>
      <c r="B191" s="632" t="s">
        <v>1387</v>
      </c>
      <c r="C191" s="656">
        <v>3.88E-4</v>
      </c>
      <c r="D191" s="656">
        <v>4.0000000000000002E-4</v>
      </c>
      <c r="E191" s="661">
        <v>298440</v>
      </c>
      <c r="F191" s="632">
        <v>16863328</v>
      </c>
      <c r="G191" s="633">
        <v>13120512</v>
      </c>
      <c r="H191" s="633">
        <v>0</v>
      </c>
      <c r="I191" s="633">
        <v>0</v>
      </c>
      <c r="J191" s="633">
        <v>0</v>
      </c>
      <c r="K191" s="633">
        <v>386750</v>
      </c>
      <c r="L191" s="633">
        <f t="shared" si="6"/>
        <v>386750</v>
      </c>
      <c r="M191" s="633"/>
      <c r="N191" s="633">
        <v>940765</v>
      </c>
      <c r="O191" s="633">
        <v>4876</v>
      </c>
      <c r="P191" s="633">
        <v>3613329</v>
      </c>
      <c r="Q191" s="633">
        <v>0</v>
      </c>
      <c r="R191" s="633">
        <f t="shared" si="7"/>
        <v>4558970</v>
      </c>
      <c r="S191" s="633"/>
      <c r="T191" s="633">
        <f t="shared" si="8"/>
        <v>650494</v>
      </c>
      <c r="U191" s="633">
        <v>77350</v>
      </c>
      <c r="V191" s="633">
        <v>727844</v>
      </c>
      <c r="W191" s="635"/>
      <c r="X191" s="635"/>
      <c r="Y191" s="635"/>
      <c r="Z191" s="635"/>
      <c r="AA191" s="635"/>
      <c r="AB191" s="635"/>
      <c r="AC191" s="635"/>
      <c r="AD191" s="635"/>
      <c r="AE191" s="636"/>
      <c r="AF191" s="636"/>
      <c r="AG191" s="636"/>
      <c r="AH191" s="636"/>
      <c r="AI191" s="636"/>
      <c r="AJ191" s="636"/>
      <c r="AK191" s="636"/>
      <c r="AL191" s="636"/>
    </row>
    <row r="192" spans="1:38" hidden="1" x14ac:dyDescent="0.25">
      <c r="A192" s="634">
        <v>36004</v>
      </c>
      <c r="B192" s="632" t="s">
        <v>1388</v>
      </c>
      <c r="C192" s="656">
        <v>1.9699999999999999E-4</v>
      </c>
      <c r="D192" s="656">
        <v>2.1900000000000001E-4</v>
      </c>
      <c r="E192" s="661">
        <v>157722</v>
      </c>
      <c r="F192" s="632">
        <v>8583501</v>
      </c>
      <c r="G192" s="633">
        <v>7170858</v>
      </c>
      <c r="H192" s="633">
        <v>0</v>
      </c>
      <c r="I192" s="633">
        <v>0</v>
      </c>
      <c r="J192" s="633">
        <v>0</v>
      </c>
      <c r="K192" s="633">
        <v>734340</v>
      </c>
      <c r="L192" s="633">
        <f t="shared" si="6"/>
        <v>734340</v>
      </c>
      <c r="M192" s="633"/>
      <c r="N192" s="633">
        <v>514164</v>
      </c>
      <c r="O192" s="633">
        <v>2665</v>
      </c>
      <c r="P192" s="633">
        <v>1974822</v>
      </c>
      <c r="Q192" s="633">
        <v>0</v>
      </c>
      <c r="R192" s="633">
        <f t="shared" si="7"/>
        <v>2491651</v>
      </c>
      <c r="S192" s="633"/>
      <c r="T192" s="633">
        <f t="shared" si="8"/>
        <v>355520</v>
      </c>
      <c r="U192" s="633">
        <v>146870</v>
      </c>
      <c r="V192" s="633">
        <v>502390</v>
      </c>
      <c r="W192" s="635"/>
      <c r="X192" s="635"/>
      <c r="Y192" s="635"/>
      <c r="Z192" s="635"/>
      <c r="AA192" s="635"/>
      <c r="AB192" s="635"/>
      <c r="AC192" s="635"/>
      <c r="AD192" s="635"/>
      <c r="AE192" s="636"/>
      <c r="AF192" s="636"/>
      <c r="AG192" s="636"/>
      <c r="AH192" s="636"/>
      <c r="AI192" s="636"/>
      <c r="AJ192" s="636"/>
      <c r="AK192" s="636"/>
      <c r="AL192" s="636"/>
    </row>
    <row r="193" spans="1:38" hidden="1" x14ac:dyDescent="0.25">
      <c r="A193" s="634">
        <v>36005</v>
      </c>
      <c r="B193" s="632" t="s">
        <v>1389</v>
      </c>
      <c r="C193" s="656">
        <v>4.4450000000000002E-3</v>
      </c>
      <c r="D193" s="656">
        <v>4.169E-3</v>
      </c>
      <c r="E193" s="661">
        <v>4250772</v>
      </c>
      <c r="F193" s="632">
        <v>193361013</v>
      </c>
      <c r="G193" s="633">
        <v>136676625</v>
      </c>
      <c r="H193" s="633">
        <v>0</v>
      </c>
      <c r="I193" s="633">
        <v>0</v>
      </c>
      <c r="J193" s="633">
        <v>0</v>
      </c>
      <c r="K193" s="633">
        <v>0</v>
      </c>
      <c r="L193" s="633">
        <f t="shared" si="6"/>
        <v>0</v>
      </c>
      <c r="M193" s="633"/>
      <c r="N193" s="633">
        <v>9799965</v>
      </c>
      <c r="O193" s="633">
        <v>50795</v>
      </c>
      <c r="P193" s="633">
        <v>37640119</v>
      </c>
      <c r="Q193" s="633">
        <v>9765790</v>
      </c>
      <c r="R193" s="633">
        <f t="shared" si="7"/>
        <v>57256669</v>
      </c>
      <c r="S193" s="633"/>
      <c r="T193" s="633">
        <f t="shared" si="8"/>
        <v>6776208</v>
      </c>
      <c r="U193" s="633">
        <v>-1953155</v>
      </c>
      <c r="V193" s="633">
        <v>4823053</v>
      </c>
      <c r="W193" s="635"/>
      <c r="X193" s="635"/>
      <c r="Y193" s="635"/>
      <c r="Z193" s="635"/>
      <c r="AA193" s="635"/>
      <c r="AB193" s="635"/>
      <c r="AC193" s="635"/>
      <c r="AD193" s="635"/>
      <c r="AE193" s="636"/>
      <c r="AF193" s="636"/>
      <c r="AG193" s="636"/>
      <c r="AH193" s="636"/>
      <c r="AI193" s="636"/>
      <c r="AJ193" s="636"/>
      <c r="AK193" s="636"/>
      <c r="AL193" s="636"/>
    </row>
    <row r="194" spans="1:38" hidden="1" x14ac:dyDescent="0.25">
      <c r="A194" s="634">
        <v>36006</v>
      </c>
      <c r="B194" s="632" t="s">
        <v>1390</v>
      </c>
      <c r="C194" s="656">
        <v>4.8299999999999998E-4</v>
      </c>
      <c r="D194" s="656">
        <v>5.22E-4</v>
      </c>
      <c r="E194" s="661">
        <v>387676</v>
      </c>
      <c r="F194" s="632">
        <v>21023779</v>
      </c>
      <c r="G194" s="633">
        <v>17100148</v>
      </c>
      <c r="H194" s="633">
        <v>0</v>
      </c>
      <c r="I194" s="633">
        <v>0</v>
      </c>
      <c r="J194" s="633">
        <v>0</v>
      </c>
      <c r="K194" s="633">
        <v>1298350</v>
      </c>
      <c r="L194" s="633">
        <f t="shared" si="6"/>
        <v>1298350</v>
      </c>
      <c r="M194" s="633"/>
      <c r="N194" s="633">
        <v>1226112</v>
      </c>
      <c r="O194" s="633">
        <v>6355</v>
      </c>
      <c r="P194" s="633">
        <v>4709303</v>
      </c>
      <c r="Q194" s="633">
        <v>0</v>
      </c>
      <c r="R194" s="633">
        <f t="shared" si="7"/>
        <v>5941770</v>
      </c>
      <c r="S194" s="633"/>
      <c r="T194" s="633">
        <f t="shared" si="8"/>
        <v>847798</v>
      </c>
      <c r="U194" s="633">
        <v>259667</v>
      </c>
      <c r="V194" s="633">
        <v>1107465</v>
      </c>
      <c r="W194" s="635"/>
      <c r="X194" s="635"/>
      <c r="Y194" s="635"/>
      <c r="Z194" s="635"/>
      <c r="AA194" s="635"/>
      <c r="AB194" s="635"/>
      <c r="AC194" s="635"/>
      <c r="AD194" s="635"/>
      <c r="AE194" s="636"/>
      <c r="AF194" s="636"/>
      <c r="AG194" s="636"/>
      <c r="AH194" s="636"/>
      <c r="AI194" s="636"/>
      <c r="AJ194" s="636"/>
      <c r="AK194" s="636"/>
      <c r="AL194" s="636"/>
    </row>
    <row r="195" spans="1:38" hidden="1" x14ac:dyDescent="0.25">
      <c r="A195" s="634">
        <v>36007</v>
      </c>
      <c r="B195" s="632" t="s">
        <v>1391</v>
      </c>
      <c r="C195" s="656">
        <v>1.64E-4</v>
      </c>
      <c r="D195" s="656">
        <v>1.7200000000000001E-4</v>
      </c>
      <c r="E195" s="661">
        <v>142456</v>
      </c>
      <c r="F195" s="632">
        <v>7152156</v>
      </c>
      <c r="G195" s="633">
        <v>5653271</v>
      </c>
      <c r="H195" s="633">
        <v>0</v>
      </c>
      <c r="I195" s="633">
        <v>0</v>
      </c>
      <c r="J195" s="633">
        <v>0</v>
      </c>
      <c r="K195" s="633">
        <v>273020</v>
      </c>
      <c r="L195" s="633">
        <f t="shared" si="6"/>
        <v>273020</v>
      </c>
      <c r="M195" s="633"/>
      <c r="N195" s="633">
        <v>405350</v>
      </c>
      <c r="O195" s="633">
        <v>2101</v>
      </c>
      <c r="P195" s="633">
        <v>1556885</v>
      </c>
      <c r="Q195" s="633">
        <v>0</v>
      </c>
      <c r="R195" s="633">
        <f t="shared" si="7"/>
        <v>1964336</v>
      </c>
      <c r="S195" s="633"/>
      <c r="T195" s="633">
        <f t="shared" si="8"/>
        <v>280280</v>
      </c>
      <c r="U195" s="633">
        <v>54607</v>
      </c>
      <c r="V195" s="633">
        <v>334887</v>
      </c>
      <c r="W195" s="635"/>
      <c r="X195" s="635"/>
      <c r="Y195" s="635"/>
      <c r="Z195" s="635"/>
      <c r="AA195" s="635"/>
      <c r="AB195" s="635"/>
      <c r="AC195" s="635"/>
      <c r="AD195" s="635"/>
      <c r="AE195" s="636"/>
      <c r="AF195" s="636"/>
      <c r="AG195" s="636"/>
      <c r="AH195" s="636"/>
      <c r="AI195" s="636"/>
      <c r="AJ195" s="636"/>
      <c r="AK195" s="636"/>
      <c r="AL195" s="636"/>
    </row>
    <row r="196" spans="1:38" hidden="1" x14ac:dyDescent="0.25">
      <c r="A196" s="634">
        <v>36008</v>
      </c>
      <c r="B196" s="632" t="s">
        <v>1392</v>
      </c>
      <c r="C196" s="656">
        <v>5.1199999999999998E-4</v>
      </c>
      <c r="D196" s="656">
        <v>5.7700000000000004E-4</v>
      </c>
      <c r="E196" s="661">
        <v>400654</v>
      </c>
      <c r="F196" s="632">
        <v>22289724</v>
      </c>
      <c r="G196" s="633">
        <v>18912044</v>
      </c>
      <c r="H196" s="633">
        <v>0</v>
      </c>
      <c r="I196" s="633">
        <v>0</v>
      </c>
      <c r="J196" s="633">
        <v>0</v>
      </c>
      <c r="K196" s="633">
        <v>2213910</v>
      </c>
      <c r="L196" s="633">
        <f t="shared" si="6"/>
        <v>2213910</v>
      </c>
      <c r="M196" s="633"/>
      <c r="N196" s="633">
        <v>1356028</v>
      </c>
      <c r="O196" s="633">
        <v>7029</v>
      </c>
      <c r="P196" s="633">
        <v>5208291</v>
      </c>
      <c r="Q196" s="633">
        <v>0</v>
      </c>
      <c r="R196" s="633">
        <f t="shared" si="7"/>
        <v>6571348</v>
      </c>
      <c r="S196" s="633"/>
      <c r="T196" s="633">
        <f t="shared" si="8"/>
        <v>937629</v>
      </c>
      <c r="U196" s="633">
        <v>442783</v>
      </c>
      <c r="V196" s="633">
        <v>1380412</v>
      </c>
      <c r="W196" s="635"/>
      <c r="X196" s="635"/>
      <c r="Y196" s="635"/>
      <c r="Z196" s="635"/>
      <c r="AA196" s="635"/>
      <c r="AB196" s="635"/>
      <c r="AC196" s="635"/>
      <c r="AD196" s="635"/>
      <c r="AE196" s="636"/>
      <c r="AF196" s="636"/>
      <c r="AG196" s="636"/>
      <c r="AH196" s="636"/>
      <c r="AI196" s="636"/>
      <c r="AJ196" s="636"/>
      <c r="AK196" s="636"/>
      <c r="AL196" s="636"/>
    </row>
    <row r="197" spans="1:38" hidden="1" x14ac:dyDescent="0.25">
      <c r="A197" s="634">
        <v>36009</v>
      </c>
      <c r="B197" s="632" t="s">
        <v>1393</v>
      </c>
      <c r="C197" s="656">
        <v>1.5899999999999999E-4</v>
      </c>
      <c r="D197" s="656">
        <v>1.65E-4</v>
      </c>
      <c r="E197" s="661">
        <v>98785</v>
      </c>
      <c r="F197" s="632">
        <v>6928939</v>
      </c>
      <c r="G197" s="633">
        <v>5403591</v>
      </c>
      <c r="H197" s="633">
        <v>0</v>
      </c>
      <c r="I197" s="633">
        <v>0</v>
      </c>
      <c r="J197" s="633">
        <v>0</v>
      </c>
      <c r="K197" s="633">
        <v>152595</v>
      </c>
      <c r="L197" s="633">
        <f t="shared" si="6"/>
        <v>152595</v>
      </c>
      <c r="M197" s="633"/>
      <c r="N197" s="633">
        <v>387447</v>
      </c>
      <c r="O197" s="633">
        <v>2008</v>
      </c>
      <c r="P197" s="633">
        <v>1488124</v>
      </c>
      <c r="Q197" s="633">
        <v>0</v>
      </c>
      <c r="R197" s="633">
        <f t="shared" si="7"/>
        <v>1877579</v>
      </c>
      <c r="S197" s="633"/>
      <c r="T197" s="633">
        <f t="shared" si="8"/>
        <v>267901</v>
      </c>
      <c r="U197" s="633">
        <v>30521</v>
      </c>
      <c r="V197" s="633">
        <v>298422</v>
      </c>
      <c r="W197" s="635"/>
      <c r="X197" s="635"/>
      <c r="Y197" s="635"/>
      <c r="Z197" s="635"/>
      <c r="AA197" s="635"/>
      <c r="AB197" s="635"/>
      <c r="AC197" s="635"/>
      <c r="AD197" s="635"/>
      <c r="AE197" s="636"/>
      <c r="AF197" s="636"/>
      <c r="AG197" s="636"/>
      <c r="AH197" s="636"/>
      <c r="AI197" s="636"/>
      <c r="AJ197" s="636"/>
      <c r="AK197" s="636"/>
      <c r="AL197" s="636"/>
    </row>
    <row r="198" spans="1:38" hidden="1" x14ac:dyDescent="0.25">
      <c r="A198" s="634">
        <v>36100</v>
      </c>
      <c r="B198" s="632" t="s">
        <v>1394</v>
      </c>
      <c r="C198" s="656">
        <v>6.7299999999999999E-4</v>
      </c>
      <c r="D198" s="656">
        <v>6.7699999999999998E-4</v>
      </c>
      <c r="E198" s="661">
        <v>654356</v>
      </c>
      <c r="F198" s="632">
        <v>29257636</v>
      </c>
      <c r="G198" s="633">
        <v>22205523</v>
      </c>
      <c r="H198" s="633">
        <v>0</v>
      </c>
      <c r="I198" s="633">
        <v>0</v>
      </c>
      <c r="J198" s="633">
        <v>0</v>
      </c>
      <c r="K198" s="633">
        <v>180880</v>
      </c>
      <c r="L198" s="633">
        <f t="shared" si="6"/>
        <v>180880</v>
      </c>
      <c r="M198" s="633"/>
      <c r="N198" s="633">
        <v>1592177</v>
      </c>
      <c r="O198" s="633">
        <v>8253</v>
      </c>
      <c r="P198" s="633">
        <v>6115300</v>
      </c>
      <c r="Q198" s="633">
        <v>0</v>
      </c>
      <c r="R198" s="633">
        <f t="shared" si="7"/>
        <v>7715730</v>
      </c>
      <c r="S198" s="633"/>
      <c r="T198" s="633">
        <f t="shared" si="8"/>
        <v>1100914</v>
      </c>
      <c r="U198" s="633">
        <v>36178</v>
      </c>
      <c r="V198" s="633">
        <v>1137092</v>
      </c>
      <c r="W198" s="635"/>
      <c r="X198" s="635"/>
      <c r="Y198" s="635"/>
      <c r="Z198" s="635"/>
      <c r="AA198" s="635"/>
      <c r="AB198" s="635"/>
      <c r="AC198" s="635"/>
      <c r="AD198" s="635"/>
      <c r="AE198" s="636"/>
      <c r="AF198" s="636"/>
      <c r="AG198" s="636"/>
      <c r="AH198" s="636"/>
      <c r="AI198" s="636"/>
      <c r="AJ198" s="636"/>
      <c r="AK198" s="636"/>
      <c r="AL198" s="636"/>
    </row>
    <row r="199" spans="1:38" hidden="1" x14ac:dyDescent="0.25">
      <c r="A199" s="634">
        <v>36102</v>
      </c>
      <c r="B199" s="632" t="s">
        <v>1395</v>
      </c>
      <c r="C199" s="656">
        <v>1.63E-4</v>
      </c>
      <c r="D199" s="656">
        <v>1.8599999999999999E-4</v>
      </c>
      <c r="E199" s="661">
        <v>142086</v>
      </c>
      <c r="F199" s="632">
        <v>7079712</v>
      </c>
      <c r="G199" s="633">
        <v>6113381</v>
      </c>
      <c r="H199" s="633">
        <v>0</v>
      </c>
      <c r="I199" s="633">
        <v>0</v>
      </c>
      <c r="J199" s="633">
        <v>0</v>
      </c>
      <c r="K199" s="633">
        <v>830730</v>
      </c>
      <c r="L199" s="633">
        <f t="shared" si="6"/>
        <v>830730</v>
      </c>
      <c r="M199" s="633"/>
      <c r="N199" s="633">
        <v>438341</v>
      </c>
      <c r="O199" s="633">
        <v>2272</v>
      </c>
      <c r="P199" s="633">
        <v>1683597</v>
      </c>
      <c r="Q199" s="633">
        <v>0</v>
      </c>
      <c r="R199" s="633">
        <f t="shared" si="7"/>
        <v>2124210</v>
      </c>
      <c r="S199" s="633"/>
      <c r="T199" s="633">
        <f t="shared" si="8"/>
        <v>303092</v>
      </c>
      <c r="U199" s="633">
        <v>166144</v>
      </c>
      <c r="V199" s="633">
        <v>469236</v>
      </c>
      <c r="W199" s="635"/>
      <c r="X199" s="635"/>
      <c r="Y199" s="635"/>
      <c r="Z199" s="635"/>
      <c r="AA199" s="635"/>
      <c r="AB199" s="635"/>
      <c r="AC199" s="635"/>
      <c r="AD199" s="635"/>
      <c r="AE199" s="636"/>
      <c r="AF199" s="636"/>
      <c r="AG199" s="636"/>
      <c r="AH199" s="636"/>
      <c r="AI199" s="636"/>
      <c r="AJ199" s="636"/>
      <c r="AK199" s="636"/>
      <c r="AL199" s="636"/>
    </row>
    <row r="200" spans="1:38" hidden="1" x14ac:dyDescent="0.25">
      <c r="A200" s="634">
        <v>36105</v>
      </c>
      <c r="B200" s="632" t="s">
        <v>1396</v>
      </c>
      <c r="C200" s="656">
        <v>3.4499999999999998E-4</v>
      </c>
      <c r="D200" s="656">
        <v>3.4099999999999999E-4</v>
      </c>
      <c r="E200" s="661">
        <v>367110</v>
      </c>
      <c r="F200" s="632">
        <v>14988100</v>
      </c>
      <c r="G200" s="633">
        <v>11185651</v>
      </c>
      <c r="H200" s="633">
        <v>0</v>
      </c>
      <c r="I200" s="633">
        <v>0</v>
      </c>
      <c r="J200" s="633">
        <v>0</v>
      </c>
      <c r="K200" s="633">
        <v>0</v>
      </c>
      <c r="L200" s="633">
        <f t="shared" ref="L200:L263" si="9">SUM(H200:K200)</f>
        <v>0</v>
      </c>
      <c r="M200" s="633"/>
      <c r="N200" s="633">
        <v>802032</v>
      </c>
      <c r="O200" s="633">
        <v>4157</v>
      </c>
      <c r="P200" s="633">
        <v>3080477</v>
      </c>
      <c r="Q200" s="633">
        <v>86035</v>
      </c>
      <c r="R200" s="633">
        <f t="shared" ref="R200:R263" si="10">SUM(N200:Q200)</f>
        <v>3972701</v>
      </c>
      <c r="S200" s="633"/>
      <c r="T200" s="633">
        <f t="shared" ref="T200:T263" si="11">V200-U200</f>
        <v>554567</v>
      </c>
      <c r="U200" s="633">
        <v>-17205</v>
      </c>
      <c r="V200" s="633">
        <v>537362</v>
      </c>
      <c r="W200" s="635"/>
      <c r="X200" s="635"/>
      <c r="Y200" s="635"/>
      <c r="Z200" s="635"/>
      <c r="AA200" s="635"/>
      <c r="AB200" s="635"/>
      <c r="AC200" s="635"/>
      <c r="AD200" s="635"/>
      <c r="AE200" s="636"/>
      <c r="AF200" s="636"/>
      <c r="AG200" s="636"/>
      <c r="AH200" s="636"/>
      <c r="AI200" s="636"/>
      <c r="AJ200" s="636"/>
      <c r="AK200" s="636"/>
      <c r="AL200" s="636"/>
    </row>
    <row r="201" spans="1:38" hidden="1" x14ac:dyDescent="0.25">
      <c r="A201" s="634">
        <v>36200</v>
      </c>
      <c r="B201" s="632" t="s">
        <v>1397</v>
      </c>
      <c r="C201" s="656">
        <v>1.3810000000000001E-3</v>
      </c>
      <c r="D201" s="656">
        <v>1.436E-3</v>
      </c>
      <c r="E201" s="661">
        <v>1341521</v>
      </c>
      <c r="F201" s="632">
        <v>60089721</v>
      </c>
      <c r="G201" s="633">
        <v>47077718</v>
      </c>
      <c r="H201" s="633">
        <v>0</v>
      </c>
      <c r="I201" s="633">
        <v>0</v>
      </c>
      <c r="J201" s="633">
        <v>0</v>
      </c>
      <c r="K201" s="633">
        <v>1961270</v>
      </c>
      <c r="L201" s="633">
        <f t="shared" si="9"/>
        <v>1961270</v>
      </c>
      <c r="M201" s="633"/>
      <c r="N201" s="633">
        <v>3375559</v>
      </c>
      <c r="O201" s="633">
        <v>17496</v>
      </c>
      <c r="P201" s="633">
        <v>12964989</v>
      </c>
      <c r="Q201" s="633">
        <v>0</v>
      </c>
      <c r="R201" s="633">
        <f t="shared" si="10"/>
        <v>16358044</v>
      </c>
      <c r="S201" s="633"/>
      <c r="T201" s="633">
        <f t="shared" si="11"/>
        <v>2334038</v>
      </c>
      <c r="U201" s="633">
        <v>392254</v>
      </c>
      <c r="V201" s="633">
        <v>2726292</v>
      </c>
      <c r="W201" s="635"/>
      <c r="X201" s="635"/>
      <c r="Y201" s="635"/>
      <c r="Z201" s="635"/>
      <c r="AA201" s="635"/>
      <c r="AB201" s="635"/>
      <c r="AC201" s="635"/>
      <c r="AD201" s="635"/>
      <c r="AE201" s="636"/>
      <c r="AF201" s="636"/>
      <c r="AG201" s="636"/>
      <c r="AH201" s="636"/>
      <c r="AI201" s="636"/>
      <c r="AJ201" s="636"/>
      <c r="AK201" s="636"/>
      <c r="AL201" s="636"/>
    </row>
    <row r="202" spans="1:38" hidden="1" x14ac:dyDescent="0.25">
      <c r="A202" s="634">
        <v>36205</v>
      </c>
      <c r="B202" s="632" t="s">
        <v>1398</v>
      </c>
      <c r="C202" s="656">
        <v>2.4399999999999999E-4</v>
      </c>
      <c r="D202" s="656">
        <v>2.2900000000000001E-4</v>
      </c>
      <c r="E202" s="661">
        <v>236772</v>
      </c>
      <c r="F202" s="632">
        <v>10600856</v>
      </c>
      <c r="G202" s="633">
        <v>7500935</v>
      </c>
      <c r="H202" s="633">
        <v>0</v>
      </c>
      <c r="I202" s="633">
        <v>0</v>
      </c>
      <c r="J202" s="633">
        <v>0</v>
      </c>
      <c r="K202" s="633">
        <v>0</v>
      </c>
      <c r="L202" s="633">
        <f t="shared" si="9"/>
        <v>0</v>
      </c>
      <c r="M202" s="633"/>
      <c r="N202" s="633">
        <v>537831</v>
      </c>
      <c r="O202" s="633">
        <v>2788</v>
      </c>
      <c r="P202" s="633">
        <v>2065723</v>
      </c>
      <c r="Q202" s="633">
        <v>523910</v>
      </c>
      <c r="R202" s="633">
        <f t="shared" si="10"/>
        <v>3130252</v>
      </c>
      <c r="S202" s="633"/>
      <c r="T202" s="633">
        <f t="shared" si="11"/>
        <v>371884</v>
      </c>
      <c r="U202" s="633">
        <v>-104782</v>
      </c>
      <c r="V202" s="633">
        <v>267102</v>
      </c>
      <c r="W202" s="635"/>
      <c r="X202" s="635"/>
      <c r="Y202" s="635"/>
      <c r="Z202" s="635"/>
      <c r="AA202" s="635"/>
      <c r="AB202" s="635"/>
      <c r="AC202" s="635"/>
      <c r="AD202" s="635"/>
      <c r="AE202" s="636"/>
      <c r="AF202" s="636"/>
      <c r="AG202" s="636"/>
      <c r="AH202" s="636"/>
      <c r="AI202" s="636"/>
      <c r="AJ202" s="636"/>
      <c r="AK202" s="636"/>
      <c r="AL202" s="636"/>
    </row>
    <row r="203" spans="1:38" hidden="1" x14ac:dyDescent="0.25">
      <c r="A203" s="634">
        <v>36300</v>
      </c>
      <c r="B203" s="632" t="s">
        <v>1399</v>
      </c>
      <c r="C203" s="656">
        <v>4.3680000000000004E-3</v>
      </c>
      <c r="D203" s="656">
        <v>4.6239999999999996E-3</v>
      </c>
      <c r="E203" s="661">
        <v>4024033</v>
      </c>
      <c r="F203" s="632">
        <v>190023492</v>
      </c>
      <c r="G203" s="633">
        <v>151611555</v>
      </c>
      <c r="H203" s="633">
        <v>0</v>
      </c>
      <c r="I203" s="633">
        <v>0</v>
      </c>
      <c r="J203" s="633">
        <v>0</v>
      </c>
      <c r="K203" s="633">
        <v>8979780</v>
      </c>
      <c r="L203" s="633">
        <f t="shared" si="9"/>
        <v>8979780</v>
      </c>
      <c r="M203" s="633"/>
      <c r="N203" s="633">
        <v>10870827</v>
      </c>
      <c r="O203" s="633">
        <v>56345</v>
      </c>
      <c r="P203" s="633">
        <v>41753130</v>
      </c>
      <c r="Q203" s="633">
        <v>0</v>
      </c>
      <c r="R203" s="633">
        <f t="shared" si="10"/>
        <v>52680302</v>
      </c>
      <c r="S203" s="633"/>
      <c r="T203" s="633">
        <f t="shared" si="11"/>
        <v>7516658</v>
      </c>
      <c r="U203" s="633">
        <v>1795961</v>
      </c>
      <c r="V203" s="633">
        <v>9312619</v>
      </c>
      <c r="W203" s="635"/>
      <c r="X203" s="635"/>
      <c r="Y203" s="635"/>
      <c r="Z203" s="635"/>
      <c r="AA203" s="635"/>
      <c r="AB203" s="635"/>
      <c r="AC203" s="635"/>
      <c r="AD203" s="635"/>
      <c r="AE203" s="636"/>
      <c r="AF203" s="636"/>
      <c r="AG203" s="636"/>
      <c r="AH203" s="636"/>
      <c r="AI203" s="636"/>
      <c r="AJ203" s="636"/>
      <c r="AK203" s="636"/>
      <c r="AL203" s="636"/>
    </row>
    <row r="204" spans="1:38" hidden="1" x14ac:dyDescent="0.25">
      <c r="A204" s="634">
        <v>36301</v>
      </c>
      <c r="B204" s="632" t="s">
        <v>1400</v>
      </c>
      <c r="C204" s="656">
        <v>5.5999999999999999E-5</v>
      </c>
      <c r="D204" s="656">
        <v>7.1000000000000005E-5</v>
      </c>
      <c r="E204" s="661">
        <v>53432</v>
      </c>
      <c r="F204" s="632">
        <v>2452552</v>
      </c>
      <c r="G204" s="633">
        <v>2324127</v>
      </c>
      <c r="H204" s="633">
        <v>0</v>
      </c>
      <c r="I204" s="633">
        <v>0</v>
      </c>
      <c r="J204" s="633">
        <v>0</v>
      </c>
      <c r="K204" s="633">
        <v>514450</v>
      </c>
      <c r="L204" s="633">
        <f t="shared" si="9"/>
        <v>514450</v>
      </c>
      <c r="M204" s="633"/>
      <c r="N204" s="633">
        <v>166644</v>
      </c>
      <c r="O204" s="633">
        <v>864</v>
      </c>
      <c r="P204" s="633">
        <v>640054</v>
      </c>
      <c r="Q204" s="633">
        <v>0</v>
      </c>
      <c r="R204" s="633">
        <f t="shared" si="10"/>
        <v>807562</v>
      </c>
      <c r="S204" s="633"/>
      <c r="T204" s="633">
        <f t="shared" si="11"/>
        <v>115226</v>
      </c>
      <c r="U204" s="633">
        <v>102892</v>
      </c>
      <c r="V204" s="633">
        <v>218118</v>
      </c>
      <c r="W204" s="635"/>
      <c r="X204" s="635"/>
      <c r="Y204" s="635"/>
      <c r="Z204" s="635"/>
      <c r="AA204" s="635"/>
      <c r="AB204" s="635"/>
      <c r="AC204" s="635"/>
      <c r="AD204" s="635"/>
      <c r="AE204" s="636"/>
      <c r="AF204" s="636"/>
      <c r="AG204" s="636"/>
      <c r="AH204" s="636"/>
      <c r="AI204" s="636"/>
      <c r="AJ204" s="636"/>
      <c r="AK204" s="636"/>
      <c r="AL204" s="636"/>
    </row>
    <row r="205" spans="1:38" hidden="1" x14ac:dyDescent="0.25">
      <c r="A205" s="634">
        <v>36302</v>
      </c>
      <c r="B205" s="632" t="s">
        <v>1401</v>
      </c>
      <c r="C205" s="656">
        <v>1.11E-4</v>
      </c>
      <c r="D205" s="656">
        <v>1.15E-4</v>
      </c>
      <c r="E205" s="661">
        <v>83507</v>
      </c>
      <c r="F205" s="632">
        <v>4827335</v>
      </c>
      <c r="G205" s="633">
        <v>3782975</v>
      </c>
      <c r="H205" s="633">
        <v>0</v>
      </c>
      <c r="I205" s="633">
        <v>0</v>
      </c>
      <c r="J205" s="633">
        <v>0</v>
      </c>
      <c r="K205" s="633">
        <v>138385</v>
      </c>
      <c r="L205" s="633">
        <f t="shared" si="9"/>
        <v>138385</v>
      </c>
      <c r="M205" s="633"/>
      <c r="N205" s="633">
        <v>271246</v>
      </c>
      <c r="O205" s="633">
        <v>1406</v>
      </c>
      <c r="P205" s="633">
        <v>1041814</v>
      </c>
      <c r="Q205" s="633">
        <v>0</v>
      </c>
      <c r="R205" s="633">
        <f t="shared" si="10"/>
        <v>1314466</v>
      </c>
      <c r="S205" s="633"/>
      <c r="T205" s="633">
        <f t="shared" si="11"/>
        <v>187554</v>
      </c>
      <c r="U205" s="633">
        <v>27674</v>
      </c>
      <c r="V205" s="633">
        <v>215228</v>
      </c>
      <c r="W205" s="635"/>
      <c r="X205" s="635"/>
      <c r="Y205" s="635"/>
      <c r="Z205" s="635"/>
      <c r="AA205" s="635"/>
      <c r="AB205" s="635"/>
      <c r="AC205" s="635"/>
      <c r="AD205" s="635"/>
      <c r="AE205" s="636"/>
      <c r="AF205" s="636"/>
      <c r="AG205" s="636"/>
      <c r="AH205" s="636"/>
      <c r="AI205" s="636"/>
      <c r="AJ205" s="636"/>
      <c r="AK205" s="636"/>
      <c r="AL205" s="636"/>
    </row>
    <row r="206" spans="1:38" hidden="1" x14ac:dyDescent="0.25">
      <c r="A206" s="634">
        <v>36305</v>
      </c>
      <c r="B206" s="632" t="s">
        <v>1402</v>
      </c>
      <c r="C206" s="656">
        <v>8.8000000000000003E-4</v>
      </c>
      <c r="D206" s="656">
        <v>8.0999999999999996E-4</v>
      </c>
      <c r="E206" s="661">
        <v>887506</v>
      </c>
      <c r="F206" s="632">
        <v>38260211</v>
      </c>
      <c r="G206" s="633">
        <v>26572084</v>
      </c>
      <c r="H206" s="633">
        <v>0</v>
      </c>
      <c r="I206" s="633">
        <v>0</v>
      </c>
      <c r="J206" s="633">
        <v>0</v>
      </c>
      <c r="K206" s="633">
        <v>0</v>
      </c>
      <c r="L206" s="633">
        <f t="shared" si="9"/>
        <v>0</v>
      </c>
      <c r="M206" s="633"/>
      <c r="N206" s="633">
        <v>1905267</v>
      </c>
      <c r="O206" s="633">
        <v>9875</v>
      </c>
      <c r="P206" s="633">
        <v>7317830</v>
      </c>
      <c r="Q206" s="633">
        <v>2404210</v>
      </c>
      <c r="R206" s="633">
        <f t="shared" si="10"/>
        <v>11637182</v>
      </c>
      <c r="S206" s="633"/>
      <c r="T206" s="633">
        <f t="shared" si="11"/>
        <v>1317401</v>
      </c>
      <c r="U206" s="633">
        <v>-480840</v>
      </c>
      <c r="V206" s="633">
        <v>836561</v>
      </c>
      <c r="W206" s="635"/>
      <c r="X206" s="635"/>
      <c r="Y206" s="635"/>
      <c r="Z206" s="635"/>
      <c r="AA206" s="635"/>
      <c r="AB206" s="635"/>
      <c r="AC206" s="635"/>
      <c r="AD206" s="635"/>
      <c r="AE206" s="636"/>
      <c r="AF206" s="636"/>
      <c r="AG206" s="636"/>
      <c r="AH206" s="636"/>
      <c r="AI206" s="636"/>
      <c r="AJ206" s="636"/>
      <c r="AK206" s="636"/>
      <c r="AL206" s="636"/>
    </row>
    <row r="207" spans="1:38" hidden="1" x14ac:dyDescent="0.25">
      <c r="A207" s="634">
        <v>36310</v>
      </c>
      <c r="B207" s="632" t="s">
        <v>1403</v>
      </c>
      <c r="C207" s="656">
        <v>0</v>
      </c>
      <c r="D207" s="656">
        <v>2.5000000000000001E-5</v>
      </c>
      <c r="E207" s="661">
        <v>28772</v>
      </c>
      <c r="F207" s="633">
        <v>0</v>
      </c>
      <c r="G207" s="633">
        <v>803427</v>
      </c>
      <c r="H207" s="633">
        <v>0</v>
      </c>
      <c r="I207" s="633">
        <v>0</v>
      </c>
      <c r="J207" s="633">
        <v>0</v>
      </c>
      <c r="K207" s="633">
        <v>892945</v>
      </c>
      <c r="L207" s="633">
        <f t="shared" si="9"/>
        <v>892945</v>
      </c>
      <c r="M207" s="633"/>
      <c r="N207" s="633">
        <v>57607</v>
      </c>
      <c r="O207" s="633">
        <v>299</v>
      </c>
      <c r="P207" s="633">
        <v>221260</v>
      </c>
      <c r="Q207" s="633">
        <v>0</v>
      </c>
      <c r="R207" s="633">
        <f t="shared" si="10"/>
        <v>279166</v>
      </c>
      <c r="S207" s="633"/>
      <c r="T207" s="633">
        <f t="shared" si="11"/>
        <v>39833</v>
      </c>
      <c r="U207" s="633">
        <v>178587</v>
      </c>
      <c r="V207" s="633">
        <v>218420</v>
      </c>
      <c r="W207" s="635"/>
      <c r="X207" s="635"/>
      <c r="Y207" s="635"/>
      <c r="Z207" s="635"/>
      <c r="AA207" s="635"/>
      <c r="AB207" s="635"/>
      <c r="AC207" s="635"/>
      <c r="AD207" s="635"/>
      <c r="AE207" s="636"/>
      <c r="AF207" s="636"/>
      <c r="AG207" s="636"/>
      <c r="AH207" s="636"/>
      <c r="AI207" s="636"/>
      <c r="AJ207" s="636"/>
      <c r="AK207" s="636"/>
      <c r="AL207" s="636"/>
    </row>
    <row r="208" spans="1:38" hidden="1" x14ac:dyDescent="0.25">
      <c r="A208" s="634">
        <v>36400</v>
      </c>
      <c r="B208" s="632" t="s">
        <v>1404</v>
      </c>
      <c r="C208" s="656">
        <v>4.6870000000000002E-3</v>
      </c>
      <c r="D208" s="656">
        <v>5.0939999999999996E-3</v>
      </c>
      <c r="E208" s="661">
        <v>4735172</v>
      </c>
      <c r="F208" s="632">
        <v>203906417</v>
      </c>
      <c r="G208" s="633">
        <v>167007178</v>
      </c>
      <c r="H208" s="633">
        <v>0</v>
      </c>
      <c r="I208" s="633">
        <v>0</v>
      </c>
      <c r="J208" s="633">
        <v>0</v>
      </c>
      <c r="K208" s="633">
        <v>14654825</v>
      </c>
      <c r="L208" s="633">
        <f t="shared" si="9"/>
        <v>14654825</v>
      </c>
      <c r="M208" s="633"/>
      <c r="N208" s="633">
        <v>11974722</v>
      </c>
      <c r="O208" s="633">
        <v>62067</v>
      </c>
      <c r="P208" s="633">
        <v>45993014</v>
      </c>
      <c r="Q208" s="633">
        <v>0</v>
      </c>
      <c r="R208" s="633">
        <f t="shared" si="10"/>
        <v>58029803</v>
      </c>
      <c r="S208" s="633"/>
      <c r="T208" s="633">
        <f t="shared" si="11"/>
        <v>8279948</v>
      </c>
      <c r="U208" s="633">
        <v>2930963</v>
      </c>
      <c r="V208" s="633">
        <v>11210911</v>
      </c>
      <c r="W208" s="635"/>
      <c r="X208" s="635"/>
      <c r="Y208" s="635"/>
      <c r="Z208" s="635"/>
      <c r="AA208" s="635"/>
      <c r="AB208" s="635"/>
      <c r="AC208" s="635"/>
      <c r="AD208" s="635"/>
      <c r="AE208" s="636"/>
      <c r="AF208" s="636"/>
      <c r="AG208" s="636"/>
      <c r="AH208" s="636"/>
      <c r="AI208" s="636"/>
      <c r="AJ208" s="636"/>
      <c r="AK208" s="636"/>
      <c r="AL208" s="636"/>
    </row>
    <row r="209" spans="1:38" hidden="1" x14ac:dyDescent="0.25">
      <c r="A209" s="634">
        <v>36405</v>
      </c>
      <c r="B209" s="632" t="s">
        <v>1405</v>
      </c>
      <c r="C209" s="656">
        <v>7.9699999999999997E-4</v>
      </c>
      <c r="D209" s="656">
        <v>7.8700000000000005E-4</v>
      </c>
      <c r="E209" s="661">
        <v>776403</v>
      </c>
      <c r="F209" s="632">
        <v>34676532</v>
      </c>
      <c r="G209" s="633">
        <v>25818414</v>
      </c>
      <c r="H209" s="633">
        <v>0</v>
      </c>
      <c r="I209" s="633">
        <v>0</v>
      </c>
      <c r="J209" s="633">
        <v>0</v>
      </c>
      <c r="K209" s="633">
        <v>0</v>
      </c>
      <c r="L209" s="633">
        <f t="shared" si="9"/>
        <v>0</v>
      </c>
      <c r="M209" s="633"/>
      <c r="N209" s="633">
        <v>1851228</v>
      </c>
      <c r="O209" s="633">
        <v>9595</v>
      </c>
      <c r="P209" s="633">
        <v>7110273</v>
      </c>
      <c r="Q209" s="633">
        <v>325545</v>
      </c>
      <c r="R209" s="633">
        <f t="shared" si="10"/>
        <v>9296641</v>
      </c>
      <c r="S209" s="633"/>
      <c r="T209" s="633">
        <f t="shared" si="11"/>
        <v>1280036</v>
      </c>
      <c r="U209" s="633">
        <v>-65110</v>
      </c>
      <c r="V209" s="633">
        <v>1214926</v>
      </c>
      <c r="W209" s="635"/>
      <c r="X209" s="635"/>
      <c r="Y209" s="635"/>
      <c r="Z209" s="635"/>
      <c r="AA209" s="635"/>
      <c r="AB209" s="635"/>
      <c r="AC209" s="635"/>
      <c r="AD209" s="635"/>
      <c r="AE209" s="636"/>
      <c r="AF209" s="636"/>
      <c r="AG209" s="636"/>
      <c r="AH209" s="636"/>
      <c r="AI209" s="636"/>
      <c r="AJ209" s="636"/>
      <c r="AK209" s="636"/>
      <c r="AL209" s="636"/>
    </row>
    <row r="210" spans="1:38" hidden="1" x14ac:dyDescent="0.25">
      <c r="A210" s="634">
        <v>36500</v>
      </c>
      <c r="B210" s="632" t="s">
        <v>1406</v>
      </c>
      <c r="C210" s="656">
        <v>9.2599999999999991E-3</v>
      </c>
      <c r="D210" s="656">
        <v>9.8580000000000004E-3</v>
      </c>
      <c r="E210" s="661">
        <v>8751384</v>
      </c>
      <c r="F210" s="632">
        <v>402845548</v>
      </c>
      <c r="G210" s="633">
        <v>323208169</v>
      </c>
      <c r="H210" s="633">
        <v>0</v>
      </c>
      <c r="I210" s="633">
        <v>0</v>
      </c>
      <c r="J210" s="633">
        <v>0</v>
      </c>
      <c r="K210" s="633">
        <v>21162215</v>
      </c>
      <c r="L210" s="633">
        <f t="shared" si="9"/>
        <v>21162215</v>
      </c>
      <c r="M210" s="633"/>
      <c r="N210" s="633">
        <v>23174620</v>
      </c>
      <c r="O210" s="633">
        <v>120118</v>
      </c>
      <c r="P210" s="633">
        <v>89010054</v>
      </c>
      <c r="Q210" s="633">
        <v>0</v>
      </c>
      <c r="R210" s="633">
        <f t="shared" si="10"/>
        <v>112304792</v>
      </c>
      <c r="S210" s="633"/>
      <c r="T210" s="633">
        <f t="shared" si="11"/>
        <v>16024142</v>
      </c>
      <c r="U210" s="633">
        <v>4232440</v>
      </c>
      <c r="V210" s="633">
        <v>20256582</v>
      </c>
      <c r="W210" s="635"/>
      <c r="X210" s="635"/>
      <c r="Y210" s="635"/>
      <c r="Z210" s="635"/>
      <c r="AA210" s="635"/>
      <c r="AB210" s="635"/>
      <c r="AC210" s="635"/>
      <c r="AD210" s="635"/>
      <c r="AE210" s="636"/>
      <c r="AF210" s="636"/>
      <c r="AG210" s="636"/>
      <c r="AH210" s="636"/>
      <c r="AI210" s="636"/>
      <c r="AJ210" s="636"/>
      <c r="AK210" s="636"/>
      <c r="AL210" s="636"/>
    </row>
    <row r="211" spans="1:38" hidden="1" x14ac:dyDescent="0.25">
      <c r="A211" s="634">
        <v>36501</v>
      </c>
      <c r="B211" s="632" t="s">
        <v>1407</v>
      </c>
      <c r="C211" s="656">
        <v>1.11E-4</v>
      </c>
      <c r="D211" s="656">
        <v>1.22E-4</v>
      </c>
      <c r="E211" s="661">
        <v>99615</v>
      </c>
      <c r="F211" s="632">
        <v>4814574</v>
      </c>
      <c r="G211" s="633">
        <v>4013507</v>
      </c>
      <c r="H211" s="633">
        <v>0</v>
      </c>
      <c r="I211" s="633">
        <v>0</v>
      </c>
      <c r="J211" s="633">
        <v>0</v>
      </c>
      <c r="K211" s="633">
        <v>411780</v>
      </c>
      <c r="L211" s="633">
        <f t="shared" si="9"/>
        <v>411780</v>
      </c>
      <c r="M211" s="633"/>
      <c r="N211" s="633">
        <v>287776</v>
      </c>
      <c r="O211" s="633">
        <v>1492</v>
      </c>
      <c r="P211" s="633">
        <v>1105301</v>
      </c>
      <c r="Q211" s="633">
        <v>0</v>
      </c>
      <c r="R211" s="633">
        <f t="shared" si="10"/>
        <v>1394569</v>
      </c>
      <c r="S211" s="633"/>
      <c r="T211" s="633">
        <f t="shared" si="11"/>
        <v>198983</v>
      </c>
      <c r="U211" s="633">
        <v>82354</v>
      </c>
      <c r="V211" s="633">
        <v>281337</v>
      </c>
      <c r="W211" s="635"/>
      <c r="X211" s="635"/>
      <c r="Y211" s="635"/>
      <c r="Z211" s="635"/>
      <c r="AA211" s="635"/>
      <c r="AB211" s="635"/>
      <c r="AC211" s="635"/>
      <c r="AD211" s="635"/>
      <c r="AE211" s="636"/>
      <c r="AF211" s="636"/>
      <c r="AG211" s="636"/>
      <c r="AH211" s="636"/>
      <c r="AI211" s="636"/>
      <c r="AJ211" s="636"/>
      <c r="AK211" s="636"/>
      <c r="AL211" s="636"/>
    </row>
    <row r="212" spans="1:38" hidden="1" x14ac:dyDescent="0.25">
      <c r="A212" s="634">
        <v>36502</v>
      </c>
      <c r="B212" s="632" t="s">
        <v>1408</v>
      </c>
      <c r="C212" s="656">
        <v>4.6E-5</v>
      </c>
      <c r="D212" s="656">
        <v>4.5000000000000003E-5</v>
      </c>
      <c r="E212" s="661">
        <v>35651</v>
      </c>
      <c r="F212" s="632">
        <v>1987185</v>
      </c>
      <c r="G212" s="633">
        <v>1474358</v>
      </c>
      <c r="H212" s="633">
        <v>0</v>
      </c>
      <c r="I212" s="633">
        <v>0</v>
      </c>
      <c r="J212" s="633">
        <v>0</v>
      </c>
      <c r="K212" s="633">
        <v>0</v>
      </c>
      <c r="L212" s="633">
        <f t="shared" si="9"/>
        <v>0</v>
      </c>
      <c r="M212" s="633"/>
      <c r="N212" s="633">
        <v>105714</v>
      </c>
      <c r="O212" s="633">
        <v>548</v>
      </c>
      <c r="P212" s="633">
        <v>406032</v>
      </c>
      <c r="Q212" s="633">
        <v>31650</v>
      </c>
      <c r="R212" s="633">
        <f t="shared" si="10"/>
        <v>543944</v>
      </c>
      <c r="S212" s="633"/>
      <c r="T212" s="633">
        <f t="shared" si="11"/>
        <v>73096</v>
      </c>
      <c r="U212" s="633">
        <v>-6329</v>
      </c>
      <c r="V212" s="633">
        <v>66767</v>
      </c>
      <c r="W212" s="635"/>
      <c r="X212" s="635"/>
      <c r="Y212" s="635"/>
      <c r="Z212" s="635"/>
      <c r="AA212" s="635"/>
      <c r="AB212" s="635"/>
      <c r="AC212" s="635"/>
      <c r="AD212" s="635"/>
      <c r="AE212" s="636"/>
      <c r="AF212" s="636"/>
      <c r="AG212" s="636"/>
      <c r="AH212" s="636"/>
      <c r="AI212" s="636"/>
      <c r="AJ212" s="636"/>
      <c r="AK212" s="636"/>
      <c r="AL212" s="636"/>
    </row>
    <row r="213" spans="1:38" hidden="1" x14ac:dyDescent="0.25">
      <c r="A213" s="634">
        <v>36505</v>
      </c>
      <c r="B213" s="632" t="s">
        <v>1409</v>
      </c>
      <c r="C213" s="656">
        <v>1.848E-3</v>
      </c>
      <c r="D213" s="656">
        <v>1.8630000000000001E-3</v>
      </c>
      <c r="E213" s="661">
        <v>1883701</v>
      </c>
      <c r="F213" s="632">
        <v>80392931</v>
      </c>
      <c r="G213" s="633">
        <v>61085621</v>
      </c>
      <c r="H213" s="633">
        <v>0</v>
      </c>
      <c r="I213" s="633">
        <v>0</v>
      </c>
      <c r="J213" s="633">
        <v>0</v>
      </c>
      <c r="K213" s="633">
        <v>644350</v>
      </c>
      <c r="L213" s="633">
        <f t="shared" si="9"/>
        <v>644350</v>
      </c>
      <c r="M213" s="633"/>
      <c r="N213" s="633">
        <v>4379951</v>
      </c>
      <c r="O213" s="633">
        <v>22702</v>
      </c>
      <c r="P213" s="633">
        <v>16822701</v>
      </c>
      <c r="Q213" s="633">
        <v>0</v>
      </c>
      <c r="R213" s="633">
        <f t="shared" si="10"/>
        <v>21225354</v>
      </c>
      <c r="S213" s="633"/>
      <c r="T213" s="633">
        <f t="shared" si="11"/>
        <v>3028527</v>
      </c>
      <c r="U213" s="633">
        <v>128868</v>
      </c>
      <c r="V213" s="633">
        <v>3157395</v>
      </c>
      <c r="W213" s="635"/>
      <c r="X213" s="635"/>
      <c r="Y213" s="635"/>
      <c r="Z213" s="635"/>
      <c r="AA213" s="635"/>
      <c r="AB213" s="635"/>
      <c r="AC213" s="635"/>
      <c r="AD213" s="635"/>
      <c r="AE213" s="636"/>
      <c r="AF213" s="636"/>
      <c r="AG213" s="636"/>
      <c r="AH213" s="636"/>
      <c r="AI213" s="636"/>
      <c r="AJ213" s="636"/>
      <c r="AK213" s="636"/>
      <c r="AL213" s="636"/>
    </row>
    <row r="214" spans="1:38" hidden="1" x14ac:dyDescent="0.25">
      <c r="A214" s="634">
        <v>36600</v>
      </c>
      <c r="B214" s="632" t="s">
        <v>1410</v>
      </c>
      <c r="C214" s="656">
        <v>6.8400000000000004E-4</v>
      </c>
      <c r="D214" s="656">
        <v>6.8800000000000003E-4</v>
      </c>
      <c r="E214" s="661">
        <v>721986</v>
      </c>
      <c r="F214" s="632">
        <v>29757165</v>
      </c>
      <c r="G214" s="633">
        <v>22572008</v>
      </c>
      <c r="H214" s="633">
        <v>0</v>
      </c>
      <c r="I214" s="633">
        <v>0</v>
      </c>
      <c r="J214" s="633">
        <v>0</v>
      </c>
      <c r="K214" s="633">
        <v>217350</v>
      </c>
      <c r="L214" s="633">
        <f t="shared" si="9"/>
        <v>217350</v>
      </c>
      <c r="M214" s="633"/>
      <c r="N214" s="633">
        <v>1618455</v>
      </c>
      <c r="O214" s="633">
        <v>8389</v>
      </c>
      <c r="P214" s="633">
        <v>6216228</v>
      </c>
      <c r="Q214" s="633">
        <v>0</v>
      </c>
      <c r="R214" s="633">
        <f t="shared" si="10"/>
        <v>7843072</v>
      </c>
      <c r="S214" s="633"/>
      <c r="T214" s="633">
        <f t="shared" si="11"/>
        <v>1119084</v>
      </c>
      <c r="U214" s="633">
        <v>43466</v>
      </c>
      <c r="V214" s="633">
        <v>1162550</v>
      </c>
      <c r="W214" s="635"/>
      <c r="X214" s="635"/>
      <c r="Y214" s="635"/>
      <c r="Z214" s="635"/>
      <c r="AA214" s="635"/>
      <c r="AB214" s="635"/>
      <c r="AC214" s="635"/>
      <c r="AD214" s="635"/>
      <c r="AE214" s="636"/>
      <c r="AF214" s="636"/>
      <c r="AG214" s="636"/>
      <c r="AH214" s="636"/>
      <c r="AI214" s="636"/>
      <c r="AJ214" s="636"/>
      <c r="AK214" s="636"/>
      <c r="AL214" s="636"/>
    </row>
    <row r="215" spans="1:38" hidden="1" x14ac:dyDescent="0.25">
      <c r="A215" s="634">
        <v>36601</v>
      </c>
      <c r="B215" s="632" t="s">
        <v>1411</v>
      </c>
      <c r="C215" s="656">
        <v>3.68E-4</v>
      </c>
      <c r="D215" s="656">
        <v>4.2200000000000001E-4</v>
      </c>
      <c r="E215" s="661">
        <v>308648</v>
      </c>
      <c r="F215" s="632">
        <v>15994396</v>
      </c>
      <c r="G215" s="633">
        <v>13832668</v>
      </c>
      <c r="H215" s="633">
        <v>0</v>
      </c>
      <c r="I215" s="633">
        <v>0</v>
      </c>
      <c r="J215" s="633">
        <v>0</v>
      </c>
      <c r="K215" s="633">
        <v>1889620</v>
      </c>
      <c r="L215" s="633">
        <f t="shared" si="9"/>
        <v>1889620</v>
      </c>
      <c r="M215" s="633"/>
      <c r="N215" s="633">
        <v>991828</v>
      </c>
      <c r="O215" s="633">
        <v>5141</v>
      </c>
      <c r="P215" s="633">
        <v>3809454</v>
      </c>
      <c r="Q215" s="633">
        <v>0</v>
      </c>
      <c r="R215" s="633">
        <f t="shared" si="10"/>
        <v>4806423</v>
      </c>
      <c r="S215" s="633"/>
      <c r="T215" s="633">
        <f t="shared" si="11"/>
        <v>685801</v>
      </c>
      <c r="U215" s="633">
        <v>377921</v>
      </c>
      <c r="V215" s="633">
        <v>1063722</v>
      </c>
      <c r="W215" s="635"/>
      <c r="X215" s="635"/>
      <c r="Y215" s="635"/>
      <c r="Z215" s="635"/>
      <c r="AA215" s="635"/>
      <c r="AB215" s="635"/>
      <c r="AC215" s="635"/>
      <c r="AD215" s="635"/>
      <c r="AE215" s="636"/>
      <c r="AF215" s="636"/>
      <c r="AG215" s="636"/>
      <c r="AH215" s="636"/>
      <c r="AI215" s="636"/>
      <c r="AJ215" s="636"/>
      <c r="AK215" s="636"/>
      <c r="AL215" s="636"/>
    </row>
    <row r="216" spans="1:38" hidden="1" x14ac:dyDescent="0.25">
      <c r="A216" s="634">
        <v>36700</v>
      </c>
      <c r="B216" s="632" t="s">
        <v>1412</v>
      </c>
      <c r="C216" s="656">
        <v>8.0040000000000007E-3</v>
      </c>
      <c r="D216" s="656">
        <v>8.3160000000000005E-3</v>
      </c>
      <c r="E216" s="661">
        <v>7264276</v>
      </c>
      <c r="F216" s="632">
        <v>348199277</v>
      </c>
      <c r="G216" s="633">
        <v>272637438</v>
      </c>
      <c r="H216" s="633">
        <v>0</v>
      </c>
      <c r="I216" s="633">
        <v>0</v>
      </c>
      <c r="J216" s="633">
        <v>0</v>
      </c>
      <c r="K216" s="633">
        <v>10765455</v>
      </c>
      <c r="L216" s="633">
        <f t="shared" si="9"/>
        <v>10765455</v>
      </c>
      <c r="M216" s="633"/>
      <c r="N216" s="633">
        <v>19548606</v>
      </c>
      <c r="O216" s="633">
        <v>101324</v>
      </c>
      <c r="P216" s="633">
        <v>75083106</v>
      </c>
      <c r="Q216" s="633">
        <v>0</v>
      </c>
      <c r="R216" s="633">
        <f t="shared" si="10"/>
        <v>94733036</v>
      </c>
      <c r="S216" s="633"/>
      <c r="T216" s="633">
        <f t="shared" si="11"/>
        <v>13516927</v>
      </c>
      <c r="U216" s="633">
        <v>2153091</v>
      </c>
      <c r="V216" s="633">
        <v>15670018</v>
      </c>
      <c r="W216" s="635"/>
      <c r="X216" s="635"/>
      <c r="Y216" s="635"/>
      <c r="Z216" s="635"/>
      <c r="AA216" s="635"/>
      <c r="AB216" s="635"/>
      <c r="AC216" s="635"/>
      <c r="AD216" s="635"/>
      <c r="AE216" s="636"/>
      <c r="AF216" s="636"/>
      <c r="AG216" s="636"/>
      <c r="AH216" s="636"/>
      <c r="AI216" s="636"/>
      <c r="AJ216" s="636"/>
      <c r="AK216" s="636"/>
      <c r="AL216" s="636"/>
    </row>
    <row r="217" spans="1:38" hidden="1" x14ac:dyDescent="0.25">
      <c r="A217" s="634">
        <v>36701</v>
      </c>
      <c r="B217" s="632" t="s">
        <v>1413</v>
      </c>
      <c r="C217" s="656">
        <v>4.1E-5</v>
      </c>
      <c r="D217" s="656">
        <v>3.1000000000000001E-5</v>
      </c>
      <c r="E217" s="661">
        <v>20124</v>
      </c>
      <c r="F217" s="632">
        <v>1784336</v>
      </c>
      <c r="G217" s="633">
        <v>1019833</v>
      </c>
      <c r="H217" s="633">
        <v>0</v>
      </c>
      <c r="I217" s="633">
        <v>0</v>
      </c>
      <c r="J217" s="633">
        <v>0</v>
      </c>
      <c r="K217" s="633">
        <v>0</v>
      </c>
      <c r="L217" s="633">
        <f t="shared" si="9"/>
        <v>0</v>
      </c>
      <c r="M217" s="633"/>
      <c r="N217" s="633">
        <v>73124</v>
      </c>
      <c r="O217" s="633">
        <v>379</v>
      </c>
      <c r="P217" s="633">
        <v>280857</v>
      </c>
      <c r="Q217" s="633">
        <v>367150</v>
      </c>
      <c r="R217" s="633">
        <f t="shared" si="10"/>
        <v>721510</v>
      </c>
      <c r="S217" s="633"/>
      <c r="T217" s="633">
        <f t="shared" si="11"/>
        <v>50562</v>
      </c>
      <c r="U217" s="633">
        <v>-73430</v>
      </c>
      <c r="V217" s="633">
        <v>-22868</v>
      </c>
      <c r="W217" s="635"/>
      <c r="X217" s="635"/>
      <c r="Y217" s="635"/>
      <c r="Z217" s="635"/>
      <c r="AA217" s="635"/>
      <c r="AB217" s="635"/>
      <c r="AC217" s="635"/>
      <c r="AD217" s="635"/>
      <c r="AE217" s="636"/>
      <c r="AF217" s="636"/>
      <c r="AG217" s="636"/>
      <c r="AH217" s="636"/>
      <c r="AI217" s="636"/>
      <c r="AJ217" s="636"/>
      <c r="AK217" s="636"/>
      <c r="AL217" s="636"/>
    </row>
    <row r="218" spans="1:38" hidden="1" x14ac:dyDescent="0.25">
      <c r="A218" s="634">
        <v>36705</v>
      </c>
      <c r="B218" s="632" t="s">
        <v>1414</v>
      </c>
      <c r="C218" s="656">
        <v>9.3000000000000005E-4</v>
      </c>
      <c r="D218" s="656">
        <v>8.9400000000000005E-4</v>
      </c>
      <c r="E218" s="661">
        <v>922102</v>
      </c>
      <c r="F218" s="632">
        <v>40455042</v>
      </c>
      <c r="G218" s="633">
        <v>29319165</v>
      </c>
      <c r="H218" s="633">
        <v>0</v>
      </c>
      <c r="I218" s="633">
        <v>0</v>
      </c>
      <c r="J218" s="633">
        <v>0</v>
      </c>
      <c r="K218" s="633">
        <v>0</v>
      </c>
      <c r="L218" s="633">
        <f t="shared" si="9"/>
        <v>0</v>
      </c>
      <c r="M218" s="633"/>
      <c r="N218" s="633">
        <v>2102238</v>
      </c>
      <c r="O218" s="633">
        <v>10896</v>
      </c>
      <c r="P218" s="633">
        <v>8074364</v>
      </c>
      <c r="Q218" s="633">
        <v>1233225</v>
      </c>
      <c r="R218" s="633">
        <f t="shared" si="10"/>
        <v>11420723</v>
      </c>
      <c r="S218" s="633"/>
      <c r="T218" s="633">
        <f t="shared" si="11"/>
        <v>1453597</v>
      </c>
      <c r="U218" s="633">
        <v>-246648</v>
      </c>
      <c r="V218" s="633">
        <v>1206949</v>
      </c>
      <c r="W218" s="635"/>
      <c r="X218" s="635"/>
      <c r="Y218" s="635"/>
      <c r="Z218" s="635"/>
      <c r="AA218" s="635"/>
      <c r="AB218" s="635"/>
      <c r="AC218" s="635"/>
      <c r="AD218" s="635"/>
      <c r="AE218" s="636"/>
      <c r="AF218" s="636"/>
      <c r="AG218" s="636"/>
      <c r="AH218" s="636"/>
      <c r="AI218" s="636"/>
      <c r="AJ218" s="636"/>
      <c r="AK218" s="636"/>
      <c r="AL218" s="636"/>
    </row>
    <row r="219" spans="1:38" hidden="1" x14ac:dyDescent="0.25">
      <c r="A219" s="634">
        <v>36800</v>
      </c>
      <c r="B219" s="632" t="s">
        <v>1415</v>
      </c>
      <c r="C219" s="656">
        <v>3.029E-3</v>
      </c>
      <c r="D219" s="656">
        <v>3.2039999999999998E-3</v>
      </c>
      <c r="E219" s="661">
        <v>2920222</v>
      </c>
      <c r="F219" s="632">
        <v>131770855</v>
      </c>
      <c r="G219" s="633">
        <v>105035373</v>
      </c>
      <c r="H219" s="633">
        <v>0</v>
      </c>
      <c r="I219" s="633">
        <v>0</v>
      </c>
      <c r="J219" s="633">
        <v>0</v>
      </c>
      <c r="K219" s="633">
        <v>6228150</v>
      </c>
      <c r="L219" s="633">
        <f t="shared" si="9"/>
        <v>6228150</v>
      </c>
      <c r="M219" s="633"/>
      <c r="N219" s="633">
        <v>7531229</v>
      </c>
      <c r="O219" s="633">
        <v>39036</v>
      </c>
      <c r="P219" s="633">
        <v>28926262</v>
      </c>
      <c r="Q219" s="633">
        <v>0</v>
      </c>
      <c r="R219" s="633">
        <f t="shared" si="10"/>
        <v>36496527</v>
      </c>
      <c r="S219" s="633"/>
      <c r="T219" s="633">
        <f t="shared" si="11"/>
        <v>5207485</v>
      </c>
      <c r="U219" s="633">
        <v>1245632</v>
      </c>
      <c r="V219" s="633">
        <v>6453117</v>
      </c>
      <c r="W219" s="635"/>
      <c r="X219" s="635"/>
      <c r="Y219" s="635"/>
      <c r="Z219" s="635"/>
      <c r="AA219" s="635"/>
      <c r="AB219" s="635"/>
      <c r="AC219" s="635"/>
      <c r="AD219" s="635"/>
      <c r="AE219" s="636"/>
      <c r="AF219" s="636"/>
      <c r="AG219" s="636"/>
      <c r="AH219" s="636"/>
      <c r="AI219" s="636"/>
      <c r="AJ219" s="636"/>
      <c r="AK219" s="636"/>
      <c r="AL219" s="636"/>
    </row>
    <row r="220" spans="1:38" hidden="1" x14ac:dyDescent="0.25">
      <c r="A220" s="634">
        <v>36802</v>
      </c>
      <c r="B220" s="632" t="s">
        <v>1416</v>
      </c>
      <c r="C220" s="656">
        <v>8.1000000000000004E-5</v>
      </c>
      <c r="D220" s="656">
        <v>1.13E-4</v>
      </c>
      <c r="E220" s="661">
        <v>81062</v>
      </c>
      <c r="F220" s="632">
        <v>3534391</v>
      </c>
      <c r="G220" s="633">
        <v>3711483</v>
      </c>
      <c r="H220" s="633">
        <v>0</v>
      </c>
      <c r="I220" s="633">
        <v>0</v>
      </c>
      <c r="J220" s="633">
        <v>0</v>
      </c>
      <c r="K220" s="633">
        <v>1136475</v>
      </c>
      <c r="L220" s="633">
        <f t="shared" si="9"/>
        <v>1136475</v>
      </c>
      <c r="M220" s="633"/>
      <c r="N220" s="633">
        <v>266120</v>
      </c>
      <c r="O220" s="633">
        <v>1379</v>
      </c>
      <c r="P220" s="633">
        <v>1022126</v>
      </c>
      <c r="Q220" s="633">
        <v>0</v>
      </c>
      <c r="R220" s="633">
        <f t="shared" si="10"/>
        <v>1289625</v>
      </c>
      <c r="S220" s="633"/>
      <c r="T220" s="633">
        <f t="shared" si="11"/>
        <v>184009</v>
      </c>
      <c r="U220" s="633">
        <v>227295</v>
      </c>
      <c r="V220" s="633">
        <v>411304</v>
      </c>
      <c r="W220" s="635"/>
      <c r="X220" s="635"/>
      <c r="Y220" s="635"/>
      <c r="Z220" s="635"/>
      <c r="AA220" s="635"/>
      <c r="AB220" s="635"/>
      <c r="AC220" s="635"/>
      <c r="AD220" s="635"/>
      <c r="AE220" s="636"/>
      <c r="AF220" s="636"/>
      <c r="AG220" s="636"/>
      <c r="AH220" s="636"/>
      <c r="AI220" s="636"/>
      <c r="AJ220" s="636"/>
      <c r="AK220" s="636"/>
      <c r="AL220" s="636"/>
    </row>
    <row r="221" spans="1:38" hidden="1" x14ac:dyDescent="0.25">
      <c r="A221" s="634">
        <v>36810</v>
      </c>
      <c r="B221" s="632" t="s">
        <v>1417</v>
      </c>
      <c r="C221" s="656">
        <v>5.927E-3</v>
      </c>
      <c r="D221" s="656">
        <v>6.0689999999999997E-3</v>
      </c>
      <c r="E221" s="661">
        <v>5227879</v>
      </c>
      <c r="F221" s="632">
        <v>257834844</v>
      </c>
      <c r="G221" s="633">
        <v>198969592</v>
      </c>
      <c r="H221" s="633">
        <v>0</v>
      </c>
      <c r="I221" s="633">
        <v>0</v>
      </c>
      <c r="J221" s="633">
        <v>0</v>
      </c>
      <c r="K221" s="633">
        <v>4694820</v>
      </c>
      <c r="L221" s="633">
        <f t="shared" si="9"/>
        <v>4694820</v>
      </c>
      <c r="M221" s="633"/>
      <c r="N221" s="633">
        <v>14266486</v>
      </c>
      <c r="O221" s="633">
        <v>73946</v>
      </c>
      <c r="P221" s="633">
        <v>54795317</v>
      </c>
      <c r="Q221" s="633">
        <v>0</v>
      </c>
      <c r="R221" s="633">
        <f t="shared" si="10"/>
        <v>69135749</v>
      </c>
      <c r="S221" s="633"/>
      <c r="T221" s="633">
        <f t="shared" si="11"/>
        <v>9864593</v>
      </c>
      <c r="U221" s="633">
        <v>938963</v>
      </c>
      <c r="V221" s="633">
        <v>10803556</v>
      </c>
      <c r="W221" s="635"/>
      <c r="X221" s="635"/>
      <c r="Y221" s="635"/>
      <c r="Z221" s="635"/>
      <c r="AA221" s="635"/>
      <c r="AB221" s="635"/>
      <c r="AC221" s="635"/>
      <c r="AD221" s="635"/>
      <c r="AE221" s="636"/>
      <c r="AF221" s="636"/>
      <c r="AG221" s="636"/>
      <c r="AH221" s="636"/>
      <c r="AI221" s="636"/>
      <c r="AJ221" s="636"/>
      <c r="AK221" s="636"/>
      <c r="AL221" s="636"/>
    </row>
    <row r="222" spans="1:38" hidden="1" x14ac:dyDescent="0.25">
      <c r="A222" s="634">
        <v>36900</v>
      </c>
      <c r="B222" s="632" t="s">
        <v>1418</v>
      </c>
      <c r="C222" s="656">
        <v>5.6599999999999999E-4</v>
      </c>
      <c r="D222" s="656">
        <v>5.9199999999999997E-4</v>
      </c>
      <c r="E222" s="661">
        <v>538214</v>
      </c>
      <c r="F222" s="632">
        <v>24615575</v>
      </c>
      <c r="G222" s="633">
        <v>19425969</v>
      </c>
      <c r="H222" s="633">
        <v>0</v>
      </c>
      <c r="I222" s="633">
        <v>0</v>
      </c>
      <c r="J222" s="633">
        <v>0</v>
      </c>
      <c r="K222" s="633">
        <v>946180</v>
      </c>
      <c r="L222" s="633">
        <f t="shared" si="9"/>
        <v>946180</v>
      </c>
      <c r="M222" s="633"/>
      <c r="N222" s="633">
        <v>1392878</v>
      </c>
      <c r="O222" s="633">
        <v>7220</v>
      </c>
      <c r="P222" s="633">
        <v>5349823</v>
      </c>
      <c r="Q222" s="633">
        <v>0</v>
      </c>
      <c r="R222" s="633">
        <f t="shared" si="10"/>
        <v>6749921</v>
      </c>
      <c r="S222" s="633"/>
      <c r="T222" s="633">
        <f t="shared" si="11"/>
        <v>963108</v>
      </c>
      <c r="U222" s="633">
        <v>189240</v>
      </c>
      <c r="V222" s="633">
        <v>1152348</v>
      </c>
      <c r="W222" s="635"/>
      <c r="X222" s="635"/>
      <c r="Y222" s="635"/>
      <c r="Z222" s="635"/>
      <c r="AA222" s="635"/>
      <c r="AB222" s="635"/>
      <c r="AC222" s="635"/>
      <c r="AD222" s="635"/>
      <c r="AE222" s="636"/>
      <c r="AF222" s="636"/>
      <c r="AG222" s="636"/>
      <c r="AH222" s="636"/>
      <c r="AI222" s="636"/>
      <c r="AJ222" s="636"/>
      <c r="AK222" s="636"/>
      <c r="AL222" s="636"/>
    </row>
    <row r="223" spans="1:38" hidden="1" x14ac:dyDescent="0.25">
      <c r="A223" s="634">
        <v>36901</v>
      </c>
      <c r="B223" s="632" t="s">
        <v>1419</v>
      </c>
      <c r="C223" s="656">
        <v>1.85E-4</v>
      </c>
      <c r="D223" s="656">
        <v>2.02E-4</v>
      </c>
      <c r="E223" s="661">
        <v>184430</v>
      </c>
      <c r="F223" s="632">
        <v>8055548</v>
      </c>
      <c r="G223" s="633">
        <v>6611339</v>
      </c>
      <c r="H223" s="633">
        <v>0</v>
      </c>
      <c r="I223" s="633">
        <v>0</v>
      </c>
      <c r="J223" s="633">
        <v>0</v>
      </c>
      <c r="K223" s="633">
        <v>591395</v>
      </c>
      <c r="L223" s="633">
        <f t="shared" si="9"/>
        <v>591395</v>
      </c>
      <c r="M223" s="633"/>
      <c r="N223" s="633">
        <v>474045</v>
      </c>
      <c r="O223" s="633">
        <v>2457</v>
      </c>
      <c r="P223" s="633">
        <v>1820732</v>
      </c>
      <c r="Q223" s="633">
        <v>0</v>
      </c>
      <c r="R223" s="633">
        <f t="shared" si="10"/>
        <v>2297234</v>
      </c>
      <c r="S223" s="633"/>
      <c r="T223" s="633">
        <f t="shared" si="11"/>
        <v>327780</v>
      </c>
      <c r="U223" s="633">
        <v>118281</v>
      </c>
      <c r="V223" s="633">
        <v>446061</v>
      </c>
      <c r="W223" s="635"/>
      <c r="X223" s="635"/>
      <c r="Y223" s="635"/>
      <c r="Z223" s="635"/>
      <c r="AA223" s="635"/>
      <c r="AB223" s="635"/>
      <c r="AC223" s="635"/>
      <c r="AD223" s="635"/>
      <c r="AE223" s="636"/>
      <c r="AF223" s="636"/>
      <c r="AG223" s="636"/>
      <c r="AH223" s="636"/>
      <c r="AI223" s="636"/>
      <c r="AJ223" s="636"/>
      <c r="AK223" s="636"/>
      <c r="AL223" s="636"/>
    </row>
    <row r="224" spans="1:38" hidden="1" x14ac:dyDescent="0.25">
      <c r="A224" s="634">
        <v>36905</v>
      </c>
      <c r="B224" s="632" t="s">
        <v>1420</v>
      </c>
      <c r="C224" s="656">
        <v>1.7000000000000001E-4</v>
      </c>
      <c r="D224" s="656">
        <v>1.83E-4</v>
      </c>
      <c r="E224" s="661">
        <v>207667</v>
      </c>
      <c r="F224" s="632">
        <v>7373545</v>
      </c>
      <c r="G224" s="633">
        <v>6003119</v>
      </c>
      <c r="H224" s="633">
        <v>0</v>
      </c>
      <c r="I224" s="633">
        <v>0</v>
      </c>
      <c r="J224" s="633">
        <v>0</v>
      </c>
      <c r="K224" s="633">
        <v>521260</v>
      </c>
      <c r="L224" s="633">
        <f t="shared" si="9"/>
        <v>521260</v>
      </c>
      <c r="M224" s="633"/>
      <c r="N224" s="633">
        <v>430435</v>
      </c>
      <c r="O224" s="633">
        <v>2231</v>
      </c>
      <c r="P224" s="633">
        <v>1653232</v>
      </c>
      <c r="Q224" s="633">
        <v>0</v>
      </c>
      <c r="R224" s="633">
        <f t="shared" si="10"/>
        <v>2085898</v>
      </c>
      <c r="S224" s="633"/>
      <c r="T224" s="633">
        <f t="shared" si="11"/>
        <v>297625</v>
      </c>
      <c r="U224" s="633">
        <v>104253</v>
      </c>
      <c r="V224" s="633">
        <v>401878</v>
      </c>
      <c r="W224" s="635"/>
      <c r="X224" s="635"/>
      <c r="Y224" s="635"/>
      <c r="Z224" s="635"/>
      <c r="AA224" s="635"/>
      <c r="AB224" s="635"/>
      <c r="AC224" s="635"/>
      <c r="AD224" s="635"/>
      <c r="AE224" s="636"/>
      <c r="AF224" s="636"/>
      <c r="AG224" s="636"/>
      <c r="AH224" s="636"/>
      <c r="AI224" s="636"/>
      <c r="AJ224" s="636"/>
      <c r="AK224" s="636"/>
      <c r="AL224" s="636"/>
    </row>
    <row r="225" spans="1:38" hidden="1" x14ac:dyDescent="0.25">
      <c r="A225" s="634">
        <v>37000</v>
      </c>
      <c r="B225" s="632" t="s">
        <v>1421</v>
      </c>
      <c r="C225" s="656">
        <v>1.954E-3</v>
      </c>
      <c r="D225" s="656">
        <v>1.9689999999999998E-3</v>
      </c>
      <c r="E225" s="661">
        <v>1779708</v>
      </c>
      <c r="F225" s="632">
        <v>85007848</v>
      </c>
      <c r="G225" s="633">
        <v>64560874</v>
      </c>
      <c r="H225" s="633">
        <v>0</v>
      </c>
      <c r="I225" s="633">
        <v>0</v>
      </c>
      <c r="J225" s="633">
        <v>0</v>
      </c>
      <c r="K225" s="633">
        <v>470675</v>
      </c>
      <c r="L225" s="633">
        <f t="shared" si="9"/>
        <v>470675</v>
      </c>
      <c r="M225" s="633"/>
      <c r="N225" s="633">
        <v>4629133</v>
      </c>
      <c r="O225" s="633">
        <v>23994</v>
      </c>
      <c r="P225" s="633">
        <v>17779770</v>
      </c>
      <c r="Q225" s="633">
        <v>0</v>
      </c>
      <c r="R225" s="633">
        <f t="shared" si="10"/>
        <v>22432897</v>
      </c>
      <c r="S225" s="633"/>
      <c r="T225" s="633">
        <f t="shared" si="11"/>
        <v>3200824</v>
      </c>
      <c r="U225" s="633">
        <v>94132</v>
      </c>
      <c r="V225" s="633">
        <v>3294956</v>
      </c>
      <c r="W225" s="635"/>
      <c r="X225" s="635"/>
      <c r="Y225" s="635"/>
      <c r="Z225" s="635"/>
      <c r="AA225" s="635"/>
      <c r="AB225" s="635"/>
      <c r="AC225" s="635"/>
      <c r="AD225" s="635"/>
      <c r="AE225" s="636"/>
      <c r="AF225" s="636"/>
      <c r="AG225" s="636"/>
      <c r="AH225" s="636"/>
      <c r="AI225" s="636"/>
      <c r="AJ225" s="636"/>
      <c r="AK225" s="636"/>
      <c r="AL225" s="636"/>
    </row>
    <row r="226" spans="1:38" hidden="1" x14ac:dyDescent="0.25">
      <c r="A226" s="634">
        <v>37001</v>
      </c>
      <c r="B226" s="632" t="s">
        <v>1150</v>
      </c>
      <c r="C226" s="656">
        <v>3.1999999999999999E-5</v>
      </c>
      <c r="D226" s="656">
        <v>7.7000000000000001E-5</v>
      </c>
      <c r="E226" s="661">
        <v>59993</v>
      </c>
      <c r="F226" s="632">
        <v>1373143</v>
      </c>
      <c r="G226" s="633">
        <v>2539686</v>
      </c>
      <c r="H226" s="633">
        <v>0</v>
      </c>
      <c r="I226" s="633">
        <v>0</v>
      </c>
      <c r="J226" s="633">
        <v>0</v>
      </c>
      <c r="K226" s="633">
        <v>1652570</v>
      </c>
      <c r="L226" s="633">
        <f t="shared" si="9"/>
        <v>1652570</v>
      </c>
      <c r="M226" s="633"/>
      <c r="N226" s="633">
        <v>182100</v>
      </c>
      <c r="O226" s="633">
        <v>944</v>
      </c>
      <c r="P226" s="633">
        <v>699418</v>
      </c>
      <c r="Q226" s="633">
        <v>0</v>
      </c>
      <c r="R226" s="633">
        <f t="shared" si="10"/>
        <v>882462</v>
      </c>
      <c r="S226" s="633"/>
      <c r="T226" s="633">
        <f t="shared" si="11"/>
        <v>125914</v>
      </c>
      <c r="U226" s="633">
        <v>330514</v>
      </c>
      <c r="V226" s="633">
        <v>456428</v>
      </c>
      <c r="W226" s="635"/>
      <c r="X226" s="635"/>
      <c r="Y226" s="635"/>
      <c r="Z226" s="635"/>
      <c r="AA226" s="635"/>
      <c r="AB226" s="635"/>
      <c r="AC226" s="635"/>
      <c r="AD226" s="635"/>
      <c r="AE226" s="636"/>
      <c r="AF226" s="636"/>
      <c r="AG226" s="636"/>
      <c r="AH226" s="636"/>
      <c r="AI226" s="636"/>
      <c r="AJ226" s="636"/>
      <c r="AK226" s="636"/>
      <c r="AL226" s="636"/>
    </row>
    <row r="227" spans="1:38" hidden="1" x14ac:dyDescent="0.25">
      <c r="A227" s="634">
        <v>37005</v>
      </c>
      <c r="B227" s="632" t="s">
        <v>1422</v>
      </c>
      <c r="C227" s="656">
        <v>4.6000000000000001E-4</v>
      </c>
      <c r="D227" s="656">
        <v>4.44E-4</v>
      </c>
      <c r="E227" s="661">
        <v>491196</v>
      </c>
      <c r="F227" s="632">
        <v>19996483</v>
      </c>
      <c r="G227" s="633">
        <v>14559242</v>
      </c>
      <c r="H227" s="633">
        <v>0</v>
      </c>
      <c r="I227" s="633">
        <v>0</v>
      </c>
      <c r="J227" s="633">
        <v>0</v>
      </c>
      <c r="K227" s="633">
        <v>0</v>
      </c>
      <c r="L227" s="633">
        <f t="shared" si="9"/>
        <v>0</v>
      </c>
      <c r="M227" s="633"/>
      <c r="N227" s="633">
        <v>1043924</v>
      </c>
      <c r="O227" s="633">
        <v>5411</v>
      </c>
      <c r="P227" s="633">
        <v>4009549</v>
      </c>
      <c r="Q227" s="633">
        <v>507490</v>
      </c>
      <c r="R227" s="633">
        <f t="shared" si="10"/>
        <v>5566374</v>
      </c>
      <c r="S227" s="633"/>
      <c r="T227" s="633">
        <f t="shared" si="11"/>
        <v>721824</v>
      </c>
      <c r="U227" s="633">
        <v>-101495</v>
      </c>
      <c r="V227" s="633">
        <v>620329</v>
      </c>
      <c r="W227" s="635"/>
      <c r="X227" s="635"/>
      <c r="Y227" s="635"/>
      <c r="Z227" s="635"/>
      <c r="AA227" s="635"/>
      <c r="AB227" s="635"/>
      <c r="AC227" s="635"/>
      <c r="AD227" s="635"/>
      <c r="AE227" s="636"/>
      <c r="AF227" s="636"/>
      <c r="AG227" s="636"/>
      <c r="AH227" s="636"/>
      <c r="AI227" s="636"/>
      <c r="AJ227" s="636"/>
      <c r="AK227" s="636"/>
      <c r="AL227" s="636"/>
    </row>
    <row r="228" spans="1:38" hidden="1" x14ac:dyDescent="0.25">
      <c r="A228" s="634">
        <v>37100</v>
      </c>
      <c r="B228" s="632" t="s">
        <v>1423</v>
      </c>
      <c r="C228" s="656">
        <v>2.7550000000000001E-3</v>
      </c>
      <c r="D228" s="656">
        <v>2.9359999999999998E-3</v>
      </c>
      <c r="E228" s="661">
        <v>2556957</v>
      </c>
      <c r="F228" s="632">
        <v>119834946</v>
      </c>
      <c r="G228" s="633">
        <v>96270012</v>
      </c>
      <c r="H228" s="633">
        <v>0</v>
      </c>
      <c r="I228" s="633">
        <v>0</v>
      </c>
      <c r="J228" s="633">
        <v>0</v>
      </c>
      <c r="K228" s="633">
        <v>6391620</v>
      </c>
      <c r="L228" s="633">
        <f t="shared" si="9"/>
        <v>6391620</v>
      </c>
      <c r="M228" s="633"/>
      <c r="N228" s="633">
        <v>6902737</v>
      </c>
      <c r="O228" s="633">
        <v>35778</v>
      </c>
      <c r="P228" s="633">
        <v>26512322</v>
      </c>
      <c r="Q228" s="633">
        <v>0</v>
      </c>
      <c r="R228" s="633">
        <f t="shared" si="10"/>
        <v>33450837</v>
      </c>
      <c r="S228" s="633"/>
      <c r="T228" s="633">
        <f t="shared" si="11"/>
        <v>4772913</v>
      </c>
      <c r="U228" s="633">
        <v>1278327</v>
      </c>
      <c r="V228" s="633">
        <v>6051240</v>
      </c>
      <c r="W228" s="635"/>
      <c r="X228" s="635"/>
      <c r="Y228" s="635"/>
      <c r="Z228" s="635"/>
      <c r="AA228" s="635"/>
      <c r="AB228" s="635"/>
      <c r="AC228" s="635"/>
      <c r="AD228" s="635"/>
      <c r="AE228" s="636"/>
      <c r="AF228" s="636"/>
      <c r="AG228" s="636"/>
      <c r="AH228" s="636"/>
      <c r="AI228" s="636"/>
      <c r="AJ228" s="636"/>
      <c r="AK228" s="636"/>
      <c r="AL228" s="636"/>
    </row>
    <row r="229" spans="1:38" hidden="1" x14ac:dyDescent="0.25">
      <c r="A229" s="634">
        <v>37200</v>
      </c>
      <c r="B229" s="632" t="s">
        <v>1424</v>
      </c>
      <c r="C229" s="656">
        <v>6.2299999999999996E-4</v>
      </c>
      <c r="D229" s="656">
        <v>6.5899999999999997E-4</v>
      </c>
      <c r="E229" s="661">
        <v>591113</v>
      </c>
      <c r="F229" s="632">
        <v>27099122</v>
      </c>
      <c r="G229" s="633">
        <v>21608379</v>
      </c>
      <c r="H229" s="633">
        <v>0</v>
      </c>
      <c r="I229" s="633">
        <v>0</v>
      </c>
      <c r="J229" s="633">
        <v>0</v>
      </c>
      <c r="K229" s="633">
        <v>1281085</v>
      </c>
      <c r="L229" s="633">
        <f t="shared" si="9"/>
        <v>1281085</v>
      </c>
      <c r="M229" s="633"/>
      <c r="N229" s="633">
        <v>1549360</v>
      </c>
      <c r="O229" s="633">
        <v>8031</v>
      </c>
      <c r="P229" s="633">
        <v>5950849</v>
      </c>
      <c r="Q229" s="633">
        <v>0</v>
      </c>
      <c r="R229" s="633">
        <f t="shared" si="10"/>
        <v>7508240</v>
      </c>
      <c r="S229" s="633"/>
      <c r="T229" s="633">
        <f t="shared" si="11"/>
        <v>1071309</v>
      </c>
      <c r="U229" s="633">
        <v>256215</v>
      </c>
      <c r="V229" s="633">
        <v>1327524</v>
      </c>
      <c r="W229" s="635"/>
      <c r="X229" s="635"/>
      <c r="Y229" s="635"/>
      <c r="Z229" s="635"/>
      <c r="AA229" s="635"/>
      <c r="AB229" s="635"/>
      <c r="AC229" s="635"/>
      <c r="AD229" s="635"/>
      <c r="AE229" s="636"/>
      <c r="AF229" s="636"/>
      <c r="AG229" s="636"/>
      <c r="AH229" s="636"/>
      <c r="AI229" s="636"/>
      <c r="AJ229" s="636"/>
      <c r="AK229" s="636"/>
      <c r="AL229" s="636"/>
    </row>
    <row r="230" spans="1:38" hidden="1" x14ac:dyDescent="0.25">
      <c r="A230" s="634">
        <v>37300</v>
      </c>
      <c r="B230" s="632" t="s">
        <v>1425</v>
      </c>
      <c r="C230" s="656">
        <v>1.6379999999999999E-3</v>
      </c>
      <c r="D230" s="656">
        <v>1.7409999999999999E-3</v>
      </c>
      <c r="E230" s="661">
        <v>1511883</v>
      </c>
      <c r="F230" s="632">
        <v>71246294</v>
      </c>
      <c r="G230" s="633">
        <v>57083907</v>
      </c>
      <c r="H230" s="633">
        <v>0</v>
      </c>
      <c r="I230" s="633">
        <v>0</v>
      </c>
      <c r="J230" s="633">
        <v>0</v>
      </c>
      <c r="K230" s="633">
        <v>3628540</v>
      </c>
      <c r="L230" s="633">
        <f t="shared" si="9"/>
        <v>3628540</v>
      </c>
      <c r="M230" s="633"/>
      <c r="N230" s="633">
        <v>4093021</v>
      </c>
      <c r="O230" s="633">
        <v>21215</v>
      </c>
      <c r="P230" s="633">
        <v>15720647</v>
      </c>
      <c r="Q230" s="633">
        <v>0</v>
      </c>
      <c r="R230" s="633">
        <f t="shared" si="10"/>
        <v>19834883</v>
      </c>
      <c r="S230" s="633"/>
      <c r="T230" s="633">
        <f t="shared" si="11"/>
        <v>2830128</v>
      </c>
      <c r="U230" s="633">
        <v>725711</v>
      </c>
      <c r="V230" s="633">
        <v>3555839</v>
      </c>
      <c r="W230" s="635"/>
      <c r="X230" s="635"/>
      <c r="Y230" s="635"/>
      <c r="Z230" s="635"/>
      <c r="AA230" s="635"/>
      <c r="AB230" s="635"/>
      <c r="AC230" s="635"/>
      <c r="AD230" s="635"/>
      <c r="AE230" s="636"/>
      <c r="AF230" s="636"/>
      <c r="AG230" s="636"/>
      <c r="AH230" s="636"/>
      <c r="AI230" s="636"/>
      <c r="AJ230" s="636"/>
      <c r="AK230" s="636"/>
      <c r="AL230" s="636"/>
    </row>
    <row r="231" spans="1:38" hidden="1" x14ac:dyDescent="0.25">
      <c r="A231" s="634">
        <v>37301</v>
      </c>
      <c r="B231" s="632" t="s">
        <v>1426</v>
      </c>
      <c r="C231" s="656">
        <v>1.7899999999999999E-4</v>
      </c>
      <c r="D231" s="656">
        <v>1.9799999999999999E-4</v>
      </c>
      <c r="E231" s="661">
        <v>165199</v>
      </c>
      <c r="F231" s="632">
        <v>7800914</v>
      </c>
      <c r="G231" s="633">
        <v>6502496</v>
      </c>
      <c r="H231" s="633">
        <v>0</v>
      </c>
      <c r="I231" s="633">
        <v>0</v>
      </c>
      <c r="J231" s="633">
        <v>0</v>
      </c>
      <c r="K231" s="633">
        <v>669845</v>
      </c>
      <c r="L231" s="633">
        <f t="shared" si="9"/>
        <v>669845</v>
      </c>
      <c r="M231" s="633"/>
      <c r="N231" s="633">
        <v>466241</v>
      </c>
      <c r="O231" s="633">
        <v>2417</v>
      </c>
      <c r="P231" s="633">
        <v>1790758</v>
      </c>
      <c r="Q231" s="633">
        <v>0</v>
      </c>
      <c r="R231" s="633">
        <f t="shared" si="10"/>
        <v>2259416</v>
      </c>
      <c r="S231" s="633"/>
      <c r="T231" s="633">
        <f t="shared" si="11"/>
        <v>322383</v>
      </c>
      <c r="U231" s="633">
        <v>133969</v>
      </c>
      <c r="V231" s="633">
        <v>456352</v>
      </c>
      <c r="W231" s="635"/>
      <c r="X231" s="635"/>
      <c r="Y231" s="635"/>
      <c r="Z231" s="635"/>
      <c r="AA231" s="635"/>
      <c r="AB231" s="635"/>
      <c r="AC231" s="635"/>
      <c r="AD231" s="635"/>
      <c r="AE231" s="636"/>
      <c r="AF231" s="636"/>
      <c r="AG231" s="636"/>
      <c r="AH231" s="636"/>
      <c r="AI231" s="636"/>
      <c r="AJ231" s="636"/>
      <c r="AK231" s="636"/>
      <c r="AL231" s="636"/>
    </row>
    <row r="232" spans="1:38" hidden="1" x14ac:dyDescent="0.25">
      <c r="A232" s="634">
        <v>37305</v>
      </c>
      <c r="B232" s="632" t="s">
        <v>1427</v>
      </c>
      <c r="C232" s="656">
        <v>4.8000000000000001E-4</v>
      </c>
      <c r="D232" s="656">
        <v>4.1599999999999997E-4</v>
      </c>
      <c r="E232" s="661">
        <v>522116</v>
      </c>
      <c r="F232" s="632">
        <v>20900597</v>
      </c>
      <c r="G232" s="633">
        <v>13636624</v>
      </c>
      <c r="H232" s="633">
        <v>0</v>
      </c>
      <c r="I232" s="633">
        <v>0</v>
      </c>
      <c r="J232" s="633">
        <v>0</v>
      </c>
      <c r="K232" s="633">
        <v>0</v>
      </c>
      <c r="L232" s="633">
        <f t="shared" si="9"/>
        <v>0</v>
      </c>
      <c r="M232" s="633"/>
      <c r="N232" s="633">
        <v>977771</v>
      </c>
      <c r="O232" s="633">
        <v>5068</v>
      </c>
      <c r="P232" s="633">
        <v>3755464</v>
      </c>
      <c r="Q232" s="633">
        <v>2233030</v>
      </c>
      <c r="R232" s="633">
        <f t="shared" si="10"/>
        <v>6971333</v>
      </c>
      <c r="S232" s="633"/>
      <c r="T232" s="633">
        <f t="shared" si="11"/>
        <v>676082</v>
      </c>
      <c r="U232" s="633">
        <v>-446605</v>
      </c>
      <c r="V232" s="633">
        <v>229477</v>
      </c>
      <c r="W232" s="635"/>
      <c r="X232" s="635"/>
      <c r="Y232" s="635"/>
      <c r="Z232" s="635"/>
      <c r="AA232" s="635"/>
      <c r="AB232" s="635"/>
      <c r="AC232" s="635"/>
      <c r="AD232" s="635"/>
      <c r="AE232" s="636"/>
      <c r="AF232" s="636"/>
      <c r="AG232" s="636"/>
      <c r="AH232" s="636"/>
      <c r="AI232" s="636"/>
      <c r="AJ232" s="636"/>
      <c r="AK232" s="636"/>
      <c r="AL232" s="636"/>
    </row>
    <row r="233" spans="1:38" hidden="1" x14ac:dyDescent="0.25">
      <c r="A233" s="634">
        <v>37400</v>
      </c>
      <c r="B233" s="632" t="s">
        <v>1428</v>
      </c>
      <c r="C233" s="656">
        <v>8.0750000000000006E-3</v>
      </c>
      <c r="D233" s="656">
        <v>8.267E-3</v>
      </c>
      <c r="E233" s="661">
        <v>6947983</v>
      </c>
      <c r="F233" s="632">
        <v>351275528</v>
      </c>
      <c r="G233" s="633">
        <v>271053859</v>
      </c>
      <c r="H233" s="633">
        <v>0</v>
      </c>
      <c r="I233" s="633">
        <v>0</v>
      </c>
      <c r="J233" s="633">
        <v>0</v>
      </c>
      <c r="K233" s="633">
        <v>6225575</v>
      </c>
      <c r="L233" s="633">
        <f t="shared" si="9"/>
        <v>6225575</v>
      </c>
      <c r="M233" s="633"/>
      <c r="N233" s="633">
        <v>19435060</v>
      </c>
      <c r="O233" s="633">
        <v>100735</v>
      </c>
      <c r="P233" s="633">
        <v>74646995</v>
      </c>
      <c r="Q233" s="633">
        <v>0</v>
      </c>
      <c r="R233" s="633">
        <f t="shared" si="10"/>
        <v>94182790</v>
      </c>
      <c r="S233" s="633"/>
      <c r="T233" s="633">
        <f t="shared" si="11"/>
        <v>13438415</v>
      </c>
      <c r="U233" s="633">
        <v>1245115</v>
      </c>
      <c r="V233" s="633">
        <v>14683530</v>
      </c>
      <c r="W233" s="635"/>
      <c r="X233" s="635"/>
      <c r="Y233" s="635"/>
      <c r="Z233" s="635"/>
      <c r="AA233" s="635"/>
      <c r="AB233" s="635"/>
      <c r="AC233" s="635"/>
      <c r="AD233" s="635"/>
      <c r="AE233" s="636"/>
      <c r="AF233" s="636"/>
      <c r="AG233" s="636"/>
      <c r="AH233" s="636"/>
      <c r="AI233" s="636"/>
      <c r="AJ233" s="636"/>
      <c r="AK233" s="636"/>
      <c r="AL233" s="636"/>
    </row>
    <row r="234" spans="1:38" hidden="1" x14ac:dyDescent="0.25">
      <c r="A234" s="634">
        <v>37405</v>
      </c>
      <c r="B234" s="632" t="s">
        <v>1429</v>
      </c>
      <c r="C234" s="656">
        <v>1.7930000000000001E-3</v>
      </c>
      <c r="D234" s="656">
        <v>1.7340000000000001E-3</v>
      </c>
      <c r="E234" s="661">
        <v>1689937</v>
      </c>
      <c r="F234" s="632">
        <v>78001917</v>
      </c>
      <c r="G234" s="633">
        <v>56845073</v>
      </c>
      <c r="H234" s="633">
        <v>0</v>
      </c>
      <c r="I234" s="633">
        <v>0</v>
      </c>
      <c r="J234" s="633">
        <v>0</v>
      </c>
      <c r="K234" s="633">
        <v>0</v>
      </c>
      <c r="L234" s="633">
        <f t="shared" si="9"/>
        <v>0</v>
      </c>
      <c r="M234" s="633"/>
      <c r="N234" s="633">
        <v>4075896</v>
      </c>
      <c r="O234" s="633">
        <v>21126</v>
      </c>
      <c r="P234" s="633">
        <v>15654874</v>
      </c>
      <c r="Q234" s="633">
        <v>2111085</v>
      </c>
      <c r="R234" s="633">
        <f t="shared" si="10"/>
        <v>21862981</v>
      </c>
      <c r="S234" s="633"/>
      <c r="T234" s="633">
        <f t="shared" si="11"/>
        <v>2818287</v>
      </c>
      <c r="U234" s="633">
        <v>-422213</v>
      </c>
      <c r="V234" s="633">
        <v>2396074</v>
      </c>
      <c r="W234" s="635"/>
      <c r="X234" s="635"/>
      <c r="Y234" s="635"/>
      <c r="Z234" s="635"/>
      <c r="AA234" s="635"/>
      <c r="AB234" s="635"/>
      <c r="AC234" s="635"/>
      <c r="AD234" s="635"/>
      <c r="AE234" s="636"/>
      <c r="AF234" s="636"/>
      <c r="AG234" s="636"/>
      <c r="AH234" s="636"/>
      <c r="AI234" s="636"/>
      <c r="AJ234" s="636"/>
      <c r="AK234" s="636"/>
      <c r="AL234" s="636"/>
    </row>
    <row r="235" spans="1:38" hidden="1" x14ac:dyDescent="0.25">
      <c r="A235" s="634">
        <v>37500</v>
      </c>
      <c r="B235" s="632" t="s">
        <v>1430</v>
      </c>
      <c r="C235" s="656">
        <v>9.1200000000000005E-4</v>
      </c>
      <c r="D235" s="656">
        <v>9.2000000000000003E-4</v>
      </c>
      <c r="E235" s="661">
        <v>859967</v>
      </c>
      <c r="F235" s="632">
        <v>39667783</v>
      </c>
      <c r="G235" s="633">
        <v>30162646</v>
      </c>
      <c r="H235" s="633">
        <v>0</v>
      </c>
      <c r="I235" s="633">
        <v>0</v>
      </c>
      <c r="J235" s="633">
        <v>0</v>
      </c>
      <c r="K235" s="633">
        <v>283330</v>
      </c>
      <c r="L235" s="633">
        <f t="shared" si="9"/>
        <v>283330</v>
      </c>
      <c r="M235" s="633"/>
      <c r="N235" s="633">
        <v>2162717</v>
      </c>
      <c r="O235" s="633">
        <v>11210</v>
      </c>
      <c r="P235" s="633">
        <v>8306655</v>
      </c>
      <c r="Q235" s="633">
        <v>0</v>
      </c>
      <c r="R235" s="633">
        <f t="shared" si="10"/>
        <v>10480582</v>
      </c>
      <c r="S235" s="633"/>
      <c r="T235" s="633">
        <f t="shared" si="11"/>
        <v>1495416</v>
      </c>
      <c r="U235" s="633">
        <v>56667</v>
      </c>
      <c r="V235" s="633">
        <v>1552083</v>
      </c>
      <c r="W235" s="635"/>
      <c r="X235" s="635"/>
      <c r="Y235" s="635"/>
      <c r="Z235" s="635"/>
      <c r="AA235" s="635"/>
      <c r="AB235" s="635"/>
      <c r="AC235" s="635"/>
      <c r="AD235" s="635"/>
      <c r="AE235" s="636"/>
      <c r="AF235" s="636"/>
      <c r="AG235" s="636"/>
      <c r="AH235" s="636"/>
      <c r="AI235" s="636"/>
      <c r="AJ235" s="636"/>
      <c r="AK235" s="636"/>
      <c r="AL235" s="636"/>
    </row>
    <row r="236" spans="1:38" hidden="1" x14ac:dyDescent="0.25">
      <c r="A236" s="634">
        <v>37600</v>
      </c>
      <c r="B236" s="632" t="s">
        <v>1431</v>
      </c>
      <c r="C236" s="656">
        <v>5.574E-3</v>
      </c>
      <c r="D236" s="656">
        <v>5.7720000000000002E-3</v>
      </c>
      <c r="E236" s="661">
        <v>5009655</v>
      </c>
      <c r="F236" s="632">
        <v>242490987</v>
      </c>
      <c r="G236" s="633">
        <v>189232270</v>
      </c>
      <c r="H236" s="633">
        <v>0</v>
      </c>
      <c r="I236" s="633">
        <v>0</v>
      </c>
      <c r="J236" s="633">
        <v>0</v>
      </c>
      <c r="K236" s="633">
        <v>6767865</v>
      </c>
      <c r="L236" s="633">
        <f t="shared" si="9"/>
        <v>6767865</v>
      </c>
      <c r="M236" s="633"/>
      <c r="N236" s="633">
        <v>13568302</v>
      </c>
      <c r="O236" s="633">
        <v>70327</v>
      </c>
      <c r="P236" s="633">
        <v>52113703</v>
      </c>
      <c r="Q236" s="633">
        <v>0</v>
      </c>
      <c r="R236" s="633">
        <f t="shared" si="10"/>
        <v>65752332</v>
      </c>
      <c r="S236" s="633"/>
      <c r="T236" s="633">
        <f t="shared" si="11"/>
        <v>9381832</v>
      </c>
      <c r="U236" s="633">
        <v>1353573</v>
      </c>
      <c r="V236" s="633">
        <v>10735405</v>
      </c>
      <c r="W236" s="635"/>
      <c r="X236" s="635"/>
      <c r="Y236" s="635"/>
      <c r="Z236" s="635"/>
      <c r="AA236" s="635"/>
      <c r="AB236" s="635"/>
      <c r="AC236" s="635"/>
      <c r="AD236" s="635"/>
      <c r="AE236" s="636"/>
      <c r="AF236" s="636"/>
      <c r="AG236" s="636"/>
      <c r="AH236" s="636"/>
      <c r="AI236" s="636"/>
      <c r="AJ236" s="636"/>
      <c r="AK236" s="636"/>
      <c r="AL236" s="636"/>
    </row>
    <row r="237" spans="1:38" hidden="1" x14ac:dyDescent="0.25">
      <c r="A237" s="634">
        <v>37601</v>
      </c>
      <c r="B237" s="632" t="s">
        <v>1432</v>
      </c>
      <c r="C237" s="656">
        <v>1.7699999999999999E-4</v>
      </c>
      <c r="D237" s="656">
        <v>2.3499999999999999E-4</v>
      </c>
      <c r="E237" s="661">
        <v>175130</v>
      </c>
      <c r="F237" s="632">
        <v>7685606</v>
      </c>
      <c r="G237" s="633">
        <v>7704859</v>
      </c>
      <c r="H237" s="633">
        <v>0</v>
      </c>
      <c r="I237" s="633">
        <v>0</v>
      </c>
      <c r="J237" s="633">
        <v>0</v>
      </c>
      <c r="K237" s="633">
        <v>2074655</v>
      </c>
      <c r="L237" s="633">
        <f t="shared" si="9"/>
        <v>2074655</v>
      </c>
      <c r="M237" s="633"/>
      <c r="N237" s="633">
        <v>552453</v>
      </c>
      <c r="O237" s="633">
        <v>2863</v>
      </c>
      <c r="P237" s="633">
        <v>2121883</v>
      </c>
      <c r="Q237" s="633">
        <v>0</v>
      </c>
      <c r="R237" s="633">
        <f t="shared" si="10"/>
        <v>2677199</v>
      </c>
      <c r="S237" s="633"/>
      <c r="T237" s="633">
        <f t="shared" si="11"/>
        <v>381995</v>
      </c>
      <c r="U237" s="633">
        <v>414933</v>
      </c>
      <c r="V237" s="633">
        <v>796928</v>
      </c>
      <c r="W237" s="635"/>
      <c r="X237" s="635"/>
      <c r="Y237" s="635"/>
      <c r="Z237" s="635"/>
      <c r="AA237" s="635"/>
      <c r="AB237" s="635"/>
      <c r="AC237" s="635"/>
      <c r="AD237" s="635"/>
      <c r="AE237" s="636"/>
      <c r="AF237" s="636"/>
      <c r="AG237" s="636"/>
      <c r="AH237" s="636"/>
      <c r="AI237" s="636"/>
      <c r="AJ237" s="636"/>
      <c r="AK237" s="636"/>
      <c r="AL237" s="636"/>
    </row>
    <row r="238" spans="1:38" hidden="1" x14ac:dyDescent="0.25">
      <c r="A238" s="634">
        <v>37605</v>
      </c>
      <c r="B238" s="632" t="s">
        <v>1433</v>
      </c>
      <c r="C238" s="656">
        <v>6.7199999999999996E-4</v>
      </c>
      <c r="D238" s="656">
        <v>6.5700000000000003E-4</v>
      </c>
      <c r="E238" s="661">
        <v>628738</v>
      </c>
      <c r="F238" s="632">
        <v>29211905</v>
      </c>
      <c r="G238" s="633">
        <v>21546291</v>
      </c>
      <c r="H238" s="633">
        <v>0</v>
      </c>
      <c r="I238" s="633">
        <v>0</v>
      </c>
      <c r="J238" s="633">
        <v>0</v>
      </c>
      <c r="K238" s="633">
        <v>0</v>
      </c>
      <c r="L238" s="633">
        <f t="shared" si="9"/>
        <v>0</v>
      </c>
      <c r="M238" s="633"/>
      <c r="N238" s="633">
        <v>1544909</v>
      </c>
      <c r="O238" s="633">
        <v>8008</v>
      </c>
      <c r="P238" s="633">
        <v>5933750</v>
      </c>
      <c r="Q238" s="633">
        <v>515365</v>
      </c>
      <c r="R238" s="633">
        <f t="shared" si="10"/>
        <v>8002032</v>
      </c>
      <c r="S238" s="633"/>
      <c r="T238" s="633">
        <f t="shared" si="11"/>
        <v>1068231</v>
      </c>
      <c r="U238" s="633">
        <v>-103075</v>
      </c>
      <c r="V238" s="633">
        <v>965156</v>
      </c>
      <c r="W238" s="635"/>
      <c r="X238" s="635"/>
      <c r="Y238" s="635"/>
      <c r="Z238" s="635"/>
      <c r="AA238" s="635"/>
      <c r="AB238" s="635"/>
      <c r="AC238" s="635"/>
      <c r="AD238" s="635"/>
      <c r="AE238" s="636"/>
      <c r="AF238" s="636"/>
      <c r="AG238" s="636"/>
      <c r="AH238" s="636"/>
      <c r="AI238" s="636"/>
      <c r="AJ238" s="636"/>
      <c r="AK238" s="636"/>
      <c r="AL238" s="636"/>
    </row>
    <row r="239" spans="1:38" hidden="1" x14ac:dyDescent="0.25">
      <c r="A239" s="634">
        <v>37610</v>
      </c>
      <c r="B239" s="632" t="s">
        <v>1434</v>
      </c>
      <c r="C239" s="656">
        <v>1.707E-3</v>
      </c>
      <c r="D239" s="656">
        <v>1.812E-3</v>
      </c>
      <c r="E239" s="661">
        <v>1472613</v>
      </c>
      <c r="F239" s="632">
        <v>74274206</v>
      </c>
      <c r="G239" s="633">
        <v>59406863</v>
      </c>
      <c r="H239" s="633">
        <v>0</v>
      </c>
      <c r="I239" s="633">
        <v>0</v>
      </c>
      <c r="J239" s="633">
        <v>0</v>
      </c>
      <c r="K239" s="633">
        <v>3585010</v>
      </c>
      <c r="L239" s="633">
        <f t="shared" si="9"/>
        <v>3585010</v>
      </c>
      <c r="M239" s="633"/>
      <c r="N239" s="633">
        <v>4259581</v>
      </c>
      <c r="O239" s="633">
        <v>22078</v>
      </c>
      <c r="P239" s="633">
        <v>16360379</v>
      </c>
      <c r="Q239" s="633">
        <v>0</v>
      </c>
      <c r="R239" s="633">
        <f t="shared" si="10"/>
        <v>20642038</v>
      </c>
      <c r="S239" s="633"/>
      <c r="T239" s="633">
        <f t="shared" si="11"/>
        <v>2945297</v>
      </c>
      <c r="U239" s="633">
        <v>717001</v>
      </c>
      <c r="V239" s="633">
        <v>3662298</v>
      </c>
      <c r="W239" s="635"/>
      <c r="X239" s="635"/>
      <c r="Y239" s="635"/>
      <c r="Z239" s="635"/>
      <c r="AA239" s="635"/>
      <c r="AB239" s="635"/>
      <c r="AC239" s="635"/>
      <c r="AD239" s="635"/>
      <c r="AE239" s="636"/>
      <c r="AF239" s="636"/>
      <c r="AG239" s="636"/>
      <c r="AH239" s="636"/>
      <c r="AI239" s="636"/>
      <c r="AJ239" s="636"/>
      <c r="AK239" s="636"/>
      <c r="AL239" s="636"/>
    </row>
    <row r="240" spans="1:38" hidden="1" x14ac:dyDescent="0.25">
      <c r="A240" s="634">
        <v>37700</v>
      </c>
      <c r="B240" s="632" t="s">
        <v>1435</v>
      </c>
      <c r="C240" s="656">
        <v>2.382E-3</v>
      </c>
      <c r="D240" s="656">
        <v>2.421E-3</v>
      </c>
      <c r="E240" s="661">
        <v>2203504</v>
      </c>
      <c r="F240" s="632">
        <v>103609585</v>
      </c>
      <c r="G240" s="633">
        <v>79378771</v>
      </c>
      <c r="H240" s="633">
        <v>0</v>
      </c>
      <c r="I240" s="633">
        <v>0</v>
      </c>
      <c r="J240" s="633">
        <v>0</v>
      </c>
      <c r="K240" s="633">
        <v>1349065</v>
      </c>
      <c r="L240" s="633">
        <f t="shared" si="9"/>
        <v>1349065</v>
      </c>
      <c r="M240" s="633"/>
      <c r="N240" s="633">
        <v>5691604</v>
      </c>
      <c r="O240" s="633">
        <v>29501</v>
      </c>
      <c r="P240" s="633">
        <v>21860551</v>
      </c>
      <c r="Q240" s="633">
        <v>0</v>
      </c>
      <c r="R240" s="633">
        <f t="shared" si="10"/>
        <v>27581656</v>
      </c>
      <c r="S240" s="633"/>
      <c r="T240" s="633">
        <f t="shared" si="11"/>
        <v>3935472</v>
      </c>
      <c r="U240" s="633">
        <v>269808</v>
      </c>
      <c r="V240" s="633">
        <v>4205280</v>
      </c>
      <c r="W240" s="635"/>
      <c r="X240" s="635"/>
      <c r="Y240" s="635"/>
      <c r="Z240" s="635"/>
      <c r="AA240" s="635"/>
      <c r="AB240" s="635"/>
      <c r="AC240" s="635"/>
      <c r="AD240" s="635"/>
      <c r="AE240" s="636"/>
      <c r="AF240" s="636"/>
      <c r="AG240" s="636"/>
      <c r="AH240" s="636"/>
      <c r="AI240" s="636"/>
      <c r="AJ240" s="636"/>
      <c r="AK240" s="636"/>
      <c r="AL240" s="636"/>
    </row>
    <row r="241" spans="1:38" hidden="1" x14ac:dyDescent="0.25">
      <c r="A241" s="634">
        <v>37705</v>
      </c>
      <c r="B241" s="632" t="s">
        <v>1436</v>
      </c>
      <c r="C241" s="656">
        <v>6.9099999999999999E-4</v>
      </c>
      <c r="D241" s="656">
        <v>6.7000000000000002E-4</v>
      </c>
      <c r="E241" s="661">
        <v>680424</v>
      </c>
      <c r="F241" s="632">
        <v>30074344</v>
      </c>
      <c r="G241" s="633">
        <v>21974619</v>
      </c>
      <c r="H241" s="633">
        <v>0</v>
      </c>
      <c r="I241" s="633">
        <v>0</v>
      </c>
      <c r="J241" s="633">
        <v>0</v>
      </c>
      <c r="K241" s="633">
        <v>0</v>
      </c>
      <c r="L241" s="633">
        <f t="shared" si="9"/>
        <v>0</v>
      </c>
      <c r="M241" s="633"/>
      <c r="N241" s="633">
        <v>1575621</v>
      </c>
      <c r="O241" s="633">
        <v>8167</v>
      </c>
      <c r="P241" s="633">
        <v>6051710</v>
      </c>
      <c r="Q241" s="633">
        <v>727725</v>
      </c>
      <c r="R241" s="633">
        <f t="shared" si="10"/>
        <v>8363223</v>
      </c>
      <c r="S241" s="633"/>
      <c r="T241" s="633">
        <f t="shared" si="11"/>
        <v>1089466</v>
      </c>
      <c r="U241" s="633">
        <v>-145546</v>
      </c>
      <c r="V241" s="633">
        <v>943920</v>
      </c>
      <c r="W241" s="635"/>
      <c r="X241" s="635"/>
      <c r="Y241" s="635"/>
      <c r="Z241" s="635"/>
      <c r="AA241" s="635"/>
      <c r="AB241" s="635"/>
      <c r="AC241" s="635"/>
      <c r="AD241" s="635"/>
      <c r="AE241" s="636"/>
      <c r="AF241" s="636"/>
      <c r="AG241" s="636"/>
      <c r="AH241" s="636"/>
      <c r="AI241" s="636"/>
      <c r="AJ241" s="636"/>
      <c r="AK241" s="636"/>
      <c r="AL241" s="636"/>
    </row>
    <row r="242" spans="1:38" hidden="1" x14ac:dyDescent="0.25">
      <c r="A242" s="634">
        <v>37800</v>
      </c>
      <c r="B242" s="632" t="s">
        <v>1437</v>
      </c>
      <c r="C242" s="656">
        <v>7.1729999999999997E-3</v>
      </c>
      <c r="D242" s="656">
        <v>7.43E-3</v>
      </c>
      <c r="E242" s="661">
        <v>6874518</v>
      </c>
      <c r="F242" s="632">
        <v>312058360</v>
      </c>
      <c r="G242" s="633">
        <v>243610920</v>
      </c>
      <c r="H242" s="633">
        <v>0</v>
      </c>
      <c r="I242" s="633">
        <v>0</v>
      </c>
      <c r="J242" s="633">
        <v>0</v>
      </c>
      <c r="K242" s="633">
        <v>9163720</v>
      </c>
      <c r="L242" s="633">
        <f t="shared" si="9"/>
        <v>9163720</v>
      </c>
      <c r="M242" s="633"/>
      <c r="N242" s="633">
        <v>17467351</v>
      </c>
      <c r="O242" s="633">
        <v>90536</v>
      </c>
      <c r="P242" s="633">
        <v>67089335</v>
      </c>
      <c r="Q242" s="633">
        <v>0</v>
      </c>
      <c r="R242" s="633">
        <f t="shared" si="10"/>
        <v>84647222</v>
      </c>
      <c r="S242" s="633"/>
      <c r="T242" s="633">
        <f t="shared" si="11"/>
        <v>12077838</v>
      </c>
      <c r="U242" s="633">
        <v>1832742</v>
      </c>
      <c r="V242" s="633">
        <v>13910580</v>
      </c>
      <c r="W242" s="635"/>
      <c r="X242" s="635"/>
      <c r="Y242" s="635"/>
      <c r="Z242" s="635"/>
      <c r="AA242" s="635"/>
      <c r="AB242" s="635"/>
      <c r="AC242" s="635"/>
      <c r="AD242" s="635"/>
      <c r="AE242" s="636"/>
      <c r="AF242" s="636"/>
      <c r="AG242" s="636"/>
      <c r="AH242" s="636"/>
      <c r="AI242" s="636"/>
      <c r="AJ242" s="636"/>
      <c r="AK242" s="636"/>
      <c r="AL242" s="636"/>
    </row>
    <row r="243" spans="1:38" hidden="1" x14ac:dyDescent="0.25">
      <c r="A243" s="634">
        <v>37801</v>
      </c>
      <c r="B243" s="632" t="s">
        <v>1438</v>
      </c>
      <c r="C243" s="656">
        <v>4.5000000000000003E-5</v>
      </c>
      <c r="D243" s="656">
        <v>6.0000000000000002E-5</v>
      </c>
      <c r="E243" s="661">
        <v>41954</v>
      </c>
      <c r="F243" s="632">
        <v>1956154</v>
      </c>
      <c r="G243" s="633">
        <v>1962153</v>
      </c>
      <c r="H243" s="633">
        <v>0</v>
      </c>
      <c r="I243" s="633">
        <v>0</v>
      </c>
      <c r="J243" s="633">
        <v>0</v>
      </c>
      <c r="K243" s="633">
        <v>527050</v>
      </c>
      <c r="L243" s="633">
        <f t="shared" si="9"/>
        <v>527050</v>
      </c>
      <c r="M243" s="633"/>
      <c r="N243" s="633">
        <v>140690</v>
      </c>
      <c r="O243" s="633">
        <v>729</v>
      </c>
      <c r="P243" s="633">
        <v>540368</v>
      </c>
      <c r="Q243" s="633">
        <v>0</v>
      </c>
      <c r="R243" s="633">
        <f t="shared" si="10"/>
        <v>681787</v>
      </c>
      <c r="S243" s="633"/>
      <c r="T243" s="633">
        <f t="shared" si="11"/>
        <v>97280</v>
      </c>
      <c r="U243" s="633">
        <v>105409</v>
      </c>
      <c r="V243" s="633">
        <v>202689</v>
      </c>
      <c r="W243" s="635"/>
      <c r="X243" s="635"/>
      <c r="Y243" s="635"/>
      <c r="Z243" s="635"/>
      <c r="AA243" s="635"/>
      <c r="AB243" s="635"/>
      <c r="AC243" s="635"/>
      <c r="AD243" s="635"/>
      <c r="AE243" s="636"/>
      <c r="AF243" s="636"/>
      <c r="AG243" s="636"/>
      <c r="AH243" s="636"/>
      <c r="AI243" s="636"/>
      <c r="AJ243" s="636"/>
      <c r="AK243" s="636"/>
      <c r="AL243" s="636"/>
    </row>
    <row r="244" spans="1:38" hidden="1" x14ac:dyDescent="0.25">
      <c r="A244" s="634">
        <v>37805</v>
      </c>
      <c r="B244" s="632" t="s">
        <v>1439</v>
      </c>
      <c r="C244" s="656">
        <v>5.8799999999999998E-4</v>
      </c>
      <c r="D244" s="656">
        <v>5.3200000000000003E-4</v>
      </c>
      <c r="E244" s="661">
        <v>561570</v>
      </c>
      <c r="F244" s="632">
        <v>25572087</v>
      </c>
      <c r="G244" s="633">
        <v>17457246</v>
      </c>
      <c r="H244" s="633">
        <v>0</v>
      </c>
      <c r="I244" s="633">
        <v>0</v>
      </c>
      <c r="J244" s="633">
        <v>0</v>
      </c>
      <c r="K244" s="633">
        <v>0</v>
      </c>
      <c r="L244" s="633">
        <f t="shared" si="9"/>
        <v>0</v>
      </c>
      <c r="M244" s="633"/>
      <c r="N244" s="633">
        <v>1251717</v>
      </c>
      <c r="O244" s="633">
        <v>6488</v>
      </c>
      <c r="P244" s="633">
        <v>4807646</v>
      </c>
      <c r="Q244" s="633">
        <v>1960770</v>
      </c>
      <c r="R244" s="633">
        <f t="shared" si="10"/>
        <v>8026621</v>
      </c>
      <c r="S244" s="633"/>
      <c r="T244" s="633">
        <f t="shared" si="11"/>
        <v>865502</v>
      </c>
      <c r="U244" s="633">
        <v>-392153</v>
      </c>
      <c r="V244" s="633">
        <v>473349</v>
      </c>
      <c r="W244" s="635"/>
      <c r="X244" s="635"/>
      <c r="Y244" s="635"/>
      <c r="Z244" s="635"/>
      <c r="AA244" s="635"/>
      <c r="AB244" s="635"/>
      <c r="AC244" s="635"/>
      <c r="AD244" s="635"/>
      <c r="AE244" s="636"/>
      <c r="AF244" s="636"/>
      <c r="AG244" s="636"/>
      <c r="AH244" s="636"/>
      <c r="AI244" s="636"/>
      <c r="AJ244" s="636"/>
      <c r="AK244" s="636"/>
      <c r="AL244" s="636"/>
    </row>
    <row r="245" spans="1:38" hidden="1" x14ac:dyDescent="0.25">
      <c r="A245" s="634">
        <v>37900</v>
      </c>
      <c r="B245" s="632" t="s">
        <v>1440</v>
      </c>
      <c r="C245" s="656">
        <v>3.9039999999999999E-3</v>
      </c>
      <c r="D245" s="656">
        <v>3.9630000000000004E-3</v>
      </c>
      <c r="E245" s="661">
        <v>3653834</v>
      </c>
      <c r="F245" s="632">
        <v>169844587</v>
      </c>
      <c r="G245" s="633">
        <v>129941774</v>
      </c>
      <c r="H245" s="633">
        <v>0</v>
      </c>
      <c r="I245" s="633">
        <v>0</v>
      </c>
      <c r="J245" s="633">
        <v>0</v>
      </c>
      <c r="K245" s="633">
        <v>2049535</v>
      </c>
      <c r="L245" s="633">
        <f t="shared" si="9"/>
        <v>2049535</v>
      </c>
      <c r="M245" s="633"/>
      <c r="N245" s="633">
        <v>9317064</v>
      </c>
      <c r="O245" s="633">
        <v>48292</v>
      </c>
      <c r="P245" s="633">
        <v>35785371</v>
      </c>
      <c r="Q245" s="633">
        <v>0</v>
      </c>
      <c r="R245" s="633">
        <f t="shared" si="10"/>
        <v>45150727</v>
      </c>
      <c r="S245" s="633"/>
      <c r="T245" s="633">
        <f t="shared" si="11"/>
        <v>6442305</v>
      </c>
      <c r="U245" s="633">
        <v>409909</v>
      </c>
      <c r="V245" s="633">
        <v>6852214</v>
      </c>
      <c r="W245" s="635"/>
      <c r="X245" s="635"/>
      <c r="Y245" s="635"/>
      <c r="Z245" s="635"/>
      <c r="AA245" s="635"/>
      <c r="AB245" s="635"/>
      <c r="AC245" s="635"/>
      <c r="AD245" s="635"/>
      <c r="AE245" s="636"/>
      <c r="AF245" s="636"/>
      <c r="AG245" s="636"/>
      <c r="AH245" s="636"/>
      <c r="AI245" s="636"/>
      <c r="AJ245" s="636"/>
      <c r="AK245" s="636"/>
      <c r="AL245" s="636"/>
    </row>
    <row r="246" spans="1:38" hidden="1" x14ac:dyDescent="0.25">
      <c r="A246" s="634">
        <v>37901</v>
      </c>
      <c r="B246" s="632" t="s">
        <v>1441</v>
      </c>
      <c r="C246" s="656">
        <v>5.8E-5</v>
      </c>
      <c r="D246" s="656">
        <v>5.5000000000000002E-5</v>
      </c>
      <c r="E246" s="661">
        <v>50525</v>
      </c>
      <c r="F246" s="632">
        <v>2507213</v>
      </c>
      <c r="G246" s="633">
        <v>1789948</v>
      </c>
      <c r="H246" s="633">
        <v>0</v>
      </c>
      <c r="I246" s="633">
        <v>0</v>
      </c>
      <c r="J246" s="633">
        <v>0</v>
      </c>
      <c r="K246" s="633">
        <v>0</v>
      </c>
      <c r="L246" s="633">
        <f t="shared" si="9"/>
        <v>0</v>
      </c>
      <c r="M246" s="633"/>
      <c r="N246" s="633">
        <v>128343</v>
      </c>
      <c r="O246" s="633">
        <v>665</v>
      </c>
      <c r="P246" s="633">
        <v>492943</v>
      </c>
      <c r="Q246" s="633">
        <v>111280</v>
      </c>
      <c r="R246" s="633">
        <f t="shared" si="10"/>
        <v>733231</v>
      </c>
      <c r="S246" s="633"/>
      <c r="T246" s="633">
        <f t="shared" si="11"/>
        <v>88743</v>
      </c>
      <c r="U246" s="633">
        <v>-22251</v>
      </c>
      <c r="V246" s="633">
        <v>66492</v>
      </c>
      <c r="W246" s="635"/>
      <c r="X246" s="635"/>
      <c r="Y246" s="635"/>
      <c r="Z246" s="635"/>
      <c r="AA246" s="635"/>
      <c r="AB246" s="635"/>
      <c r="AC246" s="635"/>
      <c r="AD246" s="635"/>
      <c r="AE246" s="636"/>
      <c r="AF246" s="636"/>
      <c r="AG246" s="636"/>
      <c r="AH246" s="636"/>
      <c r="AI246" s="636"/>
      <c r="AJ246" s="636"/>
      <c r="AK246" s="636"/>
      <c r="AL246" s="636"/>
    </row>
    <row r="247" spans="1:38" hidden="1" x14ac:dyDescent="0.25">
      <c r="A247" s="634">
        <v>37905</v>
      </c>
      <c r="B247" s="632" t="s">
        <v>1442</v>
      </c>
      <c r="C247" s="656">
        <v>4.4499999999999997E-4</v>
      </c>
      <c r="D247" s="656">
        <v>4.4299999999999998E-4</v>
      </c>
      <c r="E247" s="661">
        <v>485688</v>
      </c>
      <c r="F247" s="632">
        <v>19343653</v>
      </c>
      <c r="G247" s="633">
        <v>14524188</v>
      </c>
      <c r="H247" s="633">
        <v>0</v>
      </c>
      <c r="I247" s="633">
        <v>0</v>
      </c>
      <c r="J247" s="633">
        <v>0</v>
      </c>
      <c r="K247" s="633">
        <v>0</v>
      </c>
      <c r="L247" s="633">
        <f t="shared" si="9"/>
        <v>0</v>
      </c>
      <c r="M247" s="633"/>
      <c r="N247" s="633">
        <v>1041411</v>
      </c>
      <c r="O247" s="633">
        <v>5398</v>
      </c>
      <c r="P247" s="633">
        <v>3999895</v>
      </c>
      <c r="Q247" s="633">
        <v>5970</v>
      </c>
      <c r="R247" s="633">
        <f t="shared" si="10"/>
        <v>5052674</v>
      </c>
      <c r="S247" s="633"/>
      <c r="T247" s="633">
        <f t="shared" si="11"/>
        <v>720086</v>
      </c>
      <c r="U247" s="633">
        <v>-1188</v>
      </c>
      <c r="V247" s="633">
        <v>718898</v>
      </c>
      <c r="W247" s="635"/>
      <c r="X247" s="635"/>
      <c r="Y247" s="635"/>
      <c r="Z247" s="635"/>
      <c r="AA247" s="635"/>
      <c r="AB247" s="635"/>
      <c r="AC247" s="635"/>
      <c r="AD247" s="635"/>
      <c r="AE247" s="636"/>
      <c r="AF247" s="636"/>
      <c r="AG247" s="636"/>
      <c r="AH247" s="636"/>
      <c r="AI247" s="636"/>
      <c r="AJ247" s="636"/>
      <c r="AK247" s="636"/>
      <c r="AL247" s="636"/>
    </row>
    <row r="248" spans="1:38" hidden="1" x14ac:dyDescent="0.25">
      <c r="A248" s="634">
        <v>38000</v>
      </c>
      <c r="B248" s="632" t="s">
        <v>1443</v>
      </c>
      <c r="C248" s="656">
        <v>6.2469999999999999E-3</v>
      </c>
      <c r="D248" s="656">
        <v>6.5360000000000001E-3</v>
      </c>
      <c r="E248" s="661">
        <v>5844900</v>
      </c>
      <c r="F248" s="632">
        <v>271770267</v>
      </c>
      <c r="G248" s="633">
        <v>214289224</v>
      </c>
      <c r="H248" s="633">
        <v>0</v>
      </c>
      <c r="I248" s="633">
        <v>0</v>
      </c>
      <c r="J248" s="633">
        <v>0</v>
      </c>
      <c r="K248" s="633">
        <v>10165490</v>
      </c>
      <c r="L248" s="633">
        <f t="shared" si="9"/>
        <v>10165490</v>
      </c>
      <c r="M248" s="633"/>
      <c r="N248" s="633">
        <v>15364932</v>
      </c>
      <c r="O248" s="633">
        <v>79639</v>
      </c>
      <c r="P248" s="633">
        <v>59014274</v>
      </c>
      <c r="Q248" s="633">
        <v>0</v>
      </c>
      <c r="R248" s="633">
        <f t="shared" si="10"/>
        <v>74458845</v>
      </c>
      <c r="S248" s="633"/>
      <c r="T248" s="633">
        <f t="shared" si="11"/>
        <v>10624116</v>
      </c>
      <c r="U248" s="633">
        <v>2033096</v>
      </c>
      <c r="V248" s="633">
        <v>12657212</v>
      </c>
      <c r="W248" s="635"/>
      <c r="X248" s="635"/>
      <c r="Y248" s="635"/>
      <c r="Z248" s="635"/>
      <c r="AA248" s="635"/>
      <c r="AB248" s="635"/>
      <c r="AC248" s="635"/>
      <c r="AD248" s="635"/>
      <c r="AE248" s="636"/>
      <c r="AF248" s="636"/>
      <c r="AG248" s="636"/>
      <c r="AH248" s="636"/>
      <c r="AI248" s="636"/>
      <c r="AJ248" s="636"/>
      <c r="AK248" s="636"/>
      <c r="AL248" s="636"/>
    </row>
    <row r="249" spans="1:38" hidden="1" x14ac:dyDescent="0.25">
      <c r="A249" s="634">
        <v>38005</v>
      </c>
      <c r="B249" s="632" t="s">
        <v>1444</v>
      </c>
      <c r="C249" s="656">
        <v>1.33E-3</v>
      </c>
      <c r="D249" s="656">
        <v>1.17E-3</v>
      </c>
      <c r="E249" s="661">
        <v>1170005</v>
      </c>
      <c r="F249" s="632">
        <v>57857134</v>
      </c>
      <c r="G249" s="633">
        <v>38369410</v>
      </c>
      <c r="H249" s="633">
        <v>0</v>
      </c>
      <c r="I249" s="633">
        <v>0</v>
      </c>
      <c r="J249" s="633">
        <v>0</v>
      </c>
      <c r="K249" s="633">
        <v>0</v>
      </c>
      <c r="L249" s="633">
        <f t="shared" si="9"/>
        <v>0</v>
      </c>
      <c r="M249" s="633"/>
      <c r="N249" s="633">
        <v>2751157</v>
      </c>
      <c r="O249" s="633">
        <v>14260</v>
      </c>
      <c r="P249" s="633">
        <v>10566760</v>
      </c>
      <c r="Q249" s="633">
        <v>5739865</v>
      </c>
      <c r="R249" s="633">
        <f t="shared" si="10"/>
        <v>19072042</v>
      </c>
      <c r="S249" s="633"/>
      <c r="T249" s="633">
        <f t="shared" si="11"/>
        <v>1902294</v>
      </c>
      <c r="U249" s="633">
        <v>-1147971</v>
      </c>
      <c r="V249" s="633">
        <v>754323</v>
      </c>
      <c r="W249" s="635"/>
      <c r="X249" s="635"/>
      <c r="Y249" s="635"/>
      <c r="Z249" s="635"/>
      <c r="AA249" s="635"/>
      <c r="AB249" s="635"/>
      <c r="AC249" s="635"/>
      <c r="AD249" s="635"/>
      <c r="AE249" s="636"/>
      <c r="AF249" s="636"/>
      <c r="AG249" s="636"/>
      <c r="AH249" s="636"/>
      <c r="AI249" s="636"/>
      <c r="AJ249" s="636"/>
      <c r="AK249" s="636"/>
      <c r="AL249" s="636"/>
    </row>
    <row r="250" spans="1:38" hidden="1" x14ac:dyDescent="0.25">
      <c r="A250" s="634">
        <v>38100</v>
      </c>
      <c r="B250" s="632" t="s">
        <v>1445</v>
      </c>
      <c r="C250" s="656">
        <v>2.8410000000000002E-3</v>
      </c>
      <c r="D250" s="656">
        <v>2.8770000000000002E-3</v>
      </c>
      <c r="E250" s="661">
        <v>2716002</v>
      </c>
      <c r="F250" s="632">
        <v>123590538</v>
      </c>
      <c r="G250" s="633">
        <v>94338193</v>
      </c>
      <c r="H250" s="633">
        <v>0</v>
      </c>
      <c r="I250" s="633">
        <v>0</v>
      </c>
      <c r="J250" s="633">
        <v>0</v>
      </c>
      <c r="K250" s="633">
        <v>1305095</v>
      </c>
      <c r="L250" s="633">
        <f t="shared" si="9"/>
        <v>1305095</v>
      </c>
      <c r="M250" s="633"/>
      <c r="N250" s="633">
        <v>6764222</v>
      </c>
      <c r="O250" s="633">
        <v>35060</v>
      </c>
      <c r="P250" s="633">
        <v>25980308</v>
      </c>
      <c r="Q250" s="633">
        <v>0</v>
      </c>
      <c r="R250" s="633">
        <f t="shared" si="10"/>
        <v>32779590</v>
      </c>
      <c r="S250" s="633"/>
      <c r="T250" s="633">
        <f t="shared" si="11"/>
        <v>4677136</v>
      </c>
      <c r="U250" s="633">
        <v>261016</v>
      </c>
      <c r="V250" s="633">
        <v>4938152</v>
      </c>
      <c r="W250" s="635"/>
      <c r="X250" s="635"/>
      <c r="Y250" s="635"/>
      <c r="Z250" s="635"/>
      <c r="AA250" s="635"/>
      <c r="AB250" s="635"/>
      <c r="AC250" s="635"/>
      <c r="AD250" s="635"/>
      <c r="AE250" s="636"/>
      <c r="AF250" s="636"/>
      <c r="AG250" s="636"/>
      <c r="AH250" s="636"/>
      <c r="AI250" s="636"/>
      <c r="AJ250" s="636"/>
      <c r="AK250" s="636"/>
      <c r="AL250" s="636"/>
    </row>
    <row r="251" spans="1:38" hidden="1" x14ac:dyDescent="0.25">
      <c r="A251" s="634">
        <v>38105</v>
      </c>
      <c r="B251" s="632" t="s">
        <v>1446</v>
      </c>
      <c r="C251" s="656">
        <v>5.9900000000000003E-4</v>
      </c>
      <c r="D251" s="656">
        <v>5.5199999999999997E-4</v>
      </c>
      <c r="E251" s="661">
        <v>549124</v>
      </c>
      <c r="F251" s="632">
        <v>26060507</v>
      </c>
      <c r="G251" s="633">
        <v>18100313</v>
      </c>
      <c r="H251" s="633">
        <v>0</v>
      </c>
      <c r="I251" s="633">
        <v>0</v>
      </c>
      <c r="J251" s="633">
        <v>0</v>
      </c>
      <c r="K251" s="633">
        <v>0</v>
      </c>
      <c r="L251" s="633">
        <f t="shared" si="9"/>
        <v>0</v>
      </c>
      <c r="M251" s="633"/>
      <c r="N251" s="633">
        <v>1297826</v>
      </c>
      <c r="O251" s="633">
        <v>6727</v>
      </c>
      <c r="P251" s="633">
        <v>4984744</v>
      </c>
      <c r="Q251" s="633">
        <v>1682635</v>
      </c>
      <c r="R251" s="633">
        <f t="shared" si="10"/>
        <v>7971932</v>
      </c>
      <c r="S251" s="633"/>
      <c r="T251" s="633">
        <f t="shared" si="11"/>
        <v>897384</v>
      </c>
      <c r="U251" s="633">
        <v>-336523</v>
      </c>
      <c r="V251" s="633">
        <v>560861</v>
      </c>
      <c r="W251" s="635"/>
      <c r="X251" s="635"/>
      <c r="Y251" s="635"/>
      <c r="Z251" s="635"/>
      <c r="AA251" s="635"/>
      <c r="AB251" s="635"/>
      <c r="AC251" s="635"/>
      <c r="AD251" s="635"/>
      <c r="AE251" s="636"/>
      <c r="AF251" s="636"/>
      <c r="AG251" s="636"/>
      <c r="AH251" s="636"/>
      <c r="AI251" s="636"/>
      <c r="AJ251" s="636"/>
      <c r="AK251" s="636"/>
      <c r="AL251" s="636"/>
    </row>
    <row r="252" spans="1:38" hidden="1" x14ac:dyDescent="0.25">
      <c r="A252" s="634">
        <v>38200</v>
      </c>
      <c r="B252" s="632" t="s">
        <v>1447</v>
      </c>
      <c r="C252" s="656">
        <v>2.797E-3</v>
      </c>
      <c r="D252" s="656">
        <v>2.8119999999999998E-3</v>
      </c>
      <c r="E252" s="661">
        <v>2497736</v>
      </c>
      <c r="F252" s="632">
        <v>121689310</v>
      </c>
      <c r="G252" s="633">
        <v>92211906</v>
      </c>
      <c r="H252" s="633">
        <v>0</v>
      </c>
      <c r="I252" s="633">
        <v>0</v>
      </c>
      <c r="J252" s="633">
        <v>0</v>
      </c>
      <c r="K252" s="633">
        <v>407825</v>
      </c>
      <c r="L252" s="633">
        <f t="shared" si="9"/>
        <v>407825</v>
      </c>
      <c r="M252" s="633"/>
      <c r="N252" s="633">
        <v>6611763</v>
      </c>
      <c r="O252" s="633">
        <v>34270</v>
      </c>
      <c r="P252" s="633">
        <v>25394738</v>
      </c>
      <c r="Q252" s="633">
        <v>0</v>
      </c>
      <c r="R252" s="633">
        <f t="shared" si="10"/>
        <v>32040771</v>
      </c>
      <c r="S252" s="633"/>
      <c r="T252" s="633">
        <f t="shared" si="11"/>
        <v>4571718</v>
      </c>
      <c r="U252" s="633">
        <v>81561</v>
      </c>
      <c r="V252" s="633">
        <v>4653279</v>
      </c>
      <c r="W252" s="635"/>
      <c r="X252" s="635"/>
      <c r="Y252" s="635"/>
      <c r="Z252" s="635"/>
      <c r="AA252" s="635"/>
      <c r="AB252" s="635"/>
      <c r="AC252" s="635"/>
      <c r="AD252" s="635"/>
      <c r="AE252" s="636"/>
      <c r="AF252" s="636"/>
      <c r="AG252" s="636"/>
      <c r="AH252" s="636"/>
      <c r="AI252" s="636"/>
      <c r="AJ252" s="636"/>
      <c r="AK252" s="636"/>
      <c r="AL252" s="636"/>
    </row>
    <row r="253" spans="1:38" hidden="1" x14ac:dyDescent="0.25">
      <c r="A253" s="634">
        <v>38205</v>
      </c>
      <c r="B253" s="632" t="s">
        <v>1448</v>
      </c>
      <c r="C253" s="656">
        <v>3.8299999999999999E-4</v>
      </c>
      <c r="D253" s="656">
        <v>3.7199999999999999E-4</v>
      </c>
      <c r="E253" s="661">
        <v>412565</v>
      </c>
      <c r="F253" s="632">
        <v>16656452</v>
      </c>
      <c r="G253" s="633">
        <v>12184541</v>
      </c>
      <c r="H253" s="633">
        <v>0</v>
      </c>
      <c r="I253" s="633">
        <v>0</v>
      </c>
      <c r="J253" s="633">
        <v>0</v>
      </c>
      <c r="K253" s="633">
        <v>0</v>
      </c>
      <c r="L253" s="633">
        <f t="shared" si="9"/>
        <v>0</v>
      </c>
      <c r="M253" s="633"/>
      <c r="N253" s="633">
        <v>873654</v>
      </c>
      <c r="O253" s="633">
        <v>4528</v>
      </c>
      <c r="P253" s="633">
        <v>3355567</v>
      </c>
      <c r="Q253" s="633">
        <v>358075</v>
      </c>
      <c r="R253" s="633">
        <f t="shared" si="10"/>
        <v>4591824</v>
      </c>
      <c r="S253" s="633"/>
      <c r="T253" s="633">
        <f t="shared" si="11"/>
        <v>604090</v>
      </c>
      <c r="U253" s="633">
        <v>-71611</v>
      </c>
      <c r="V253" s="633">
        <v>532479</v>
      </c>
      <c r="W253" s="635"/>
      <c r="X253" s="635"/>
      <c r="Y253" s="635"/>
      <c r="Z253" s="635"/>
      <c r="AA253" s="635"/>
      <c r="AB253" s="635"/>
      <c r="AC253" s="635"/>
      <c r="AD253" s="635"/>
      <c r="AE253" s="636"/>
      <c r="AF253" s="636"/>
      <c r="AG253" s="636"/>
      <c r="AH253" s="636"/>
      <c r="AI253" s="636"/>
      <c r="AJ253" s="636"/>
      <c r="AK253" s="636"/>
      <c r="AL253" s="636"/>
    </row>
    <row r="254" spans="1:38" hidden="1" x14ac:dyDescent="0.25">
      <c r="A254" s="634">
        <v>38210</v>
      </c>
      <c r="B254" s="632" t="s">
        <v>1449</v>
      </c>
      <c r="C254" s="656">
        <v>1.023E-3</v>
      </c>
      <c r="D254" s="656">
        <v>1.0640000000000001E-3</v>
      </c>
      <c r="E254" s="661">
        <v>937828</v>
      </c>
      <c r="F254" s="632">
        <v>44480417</v>
      </c>
      <c r="G254" s="633">
        <v>34900169</v>
      </c>
      <c r="H254" s="633">
        <v>0</v>
      </c>
      <c r="I254" s="633">
        <v>0</v>
      </c>
      <c r="J254" s="633">
        <v>0</v>
      </c>
      <c r="K254" s="633">
        <v>1461675</v>
      </c>
      <c r="L254" s="633">
        <f t="shared" si="9"/>
        <v>1461675</v>
      </c>
      <c r="M254" s="633"/>
      <c r="N254" s="633">
        <v>2502406</v>
      </c>
      <c r="O254" s="633">
        <v>12970</v>
      </c>
      <c r="P254" s="633">
        <v>9611347</v>
      </c>
      <c r="Q254" s="633">
        <v>0</v>
      </c>
      <c r="R254" s="633">
        <f t="shared" si="10"/>
        <v>12126723</v>
      </c>
      <c r="S254" s="633"/>
      <c r="T254" s="633">
        <f t="shared" si="11"/>
        <v>1730294</v>
      </c>
      <c r="U254" s="633">
        <v>292335</v>
      </c>
      <c r="V254" s="633">
        <v>2022629</v>
      </c>
      <c r="W254" s="635"/>
      <c r="X254" s="635"/>
      <c r="Y254" s="635"/>
      <c r="Z254" s="635"/>
      <c r="AA254" s="635"/>
      <c r="AB254" s="635"/>
      <c r="AC254" s="635"/>
      <c r="AD254" s="635"/>
      <c r="AE254" s="636"/>
      <c r="AF254" s="636"/>
      <c r="AG254" s="636"/>
      <c r="AH254" s="636"/>
      <c r="AI254" s="636"/>
      <c r="AJ254" s="636"/>
      <c r="AK254" s="636"/>
      <c r="AL254" s="636"/>
    </row>
    <row r="255" spans="1:38" hidden="1" x14ac:dyDescent="0.25">
      <c r="A255" s="634">
        <v>38300</v>
      </c>
      <c r="B255" s="632" t="s">
        <v>1450</v>
      </c>
      <c r="C255" s="656">
        <v>2.1689999999999999E-3</v>
      </c>
      <c r="D255" s="656">
        <v>2.209E-3</v>
      </c>
      <c r="E255" s="661">
        <v>1996570</v>
      </c>
      <c r="F255" s="632">
        <v>94376328</v>
      </c>
      <c r="G255" s="633">
        <v>72417487</v>
      </c>
      <c r="H255" s="633">
        <v>0</v>
      </c>
      <c r="I255" s="633">
        <v>0</v>
      </c>
      <c r="J255" s="633">
        <v>0</v>
      </c>
      <c r="K255" s="633">
        <v>1341840</v>
      </c>
      <c r="L255" s="633">
        <f t="shared" si="9"/>
        <v>1341840</v>
      </c>
      <c r="M255" s="633"/>
      <c r="N255" s="633">
        <v>5192467</v>
      </c>
      <c r="O255" s="633">
        <v>26913</v>
      </c>
      <c r="P255" s="633">
        <v>19943445</v>
      </c>
      <c r="Q255" s="633">
        <v>0</v>
      </c>
      <c r="R255" s="633">
        <f t="shared" si="10"/>
        <v>25162825</v>
      </c>
      <c r="S255" s="633"/>
      <c r="T255" s="633">
        <f t="shared" si="11"/>
        <v>3590343</v>
      </c>
      <c r="U255" s="633">
        <v>268371</v>
      </c>
      <c r="V255" s="633">
        <v>3858714</v>
      </c>
      <c r="W255" s="635"/>
      <c r="X255" s="635"/>
      <c r="Y255" s="635"/>
      <c r="Z255" s="635"/>
      <c r="AA255" s="635"/>
      <c r="AB255" s="635"/>
      <c r="AC255" s="635"/>
      <c r="AD255" s="635"/>
      <c r="AE255" s="636"/>
      <c r="AF255" s="636"/>
      <c r="AG255" s="636"/>
      <c r="AH255" s="636"/>
      <c r="AI255" s="636"/>
      <c r="AJ255" s="636"/>
      <c r="AK255" s="636"/>
      <c r="AL255" s="636"/>
    </row>
    <row r="256" spans="1:38" hidden="1" x14ac:dyDescent="0.25">
      <c r="A256" s="634">
        <v>38400</v>
      </c>
      <c r="B256" s="632" t="s">
        <v>1451</v>
      </c>
      <c r="C256" s="656">
        <v>2.6940000000000002E-3</v>
      </c>
      <c r="D256" s="656">
        <v>2.7390000000000001E-3</v>
      </c>
      <c r="E256" s="661">
        <v>2484314</v>
      </c>
      <c r="F256" s="632">
        <v>117184989</v>
      </c>
      <c r="G256" s="633">
        <v>89804118</v>
      </c>
      <c r="H256" s="633">
        <v>0</v>
      </c>
      <c r="I256" s="633">
        <v>0</v>
      </c>
      <c r="J256" s="633">
        <v>0</v>
      </c>
      <c r="K256" s="633">
        <v>1546035</v>
      </c>
      <c r="L256" s="633">
        <f t="shared" si="9"/>
        <v>1546035</v>
      </c>
      <c r="M256" s="633"/>
      <c r="N256" s="633">
        <v>6439120</v>
      </c>
      <c r="O256" s="633">
        <v>33375</v>
      </c>
      <c r="P256" s="633">
        <v>24731644</v>
      </c>
      <c r="Q256" s="633">
        <v>0</v>
      </c>
      <c r="R256" s="633">
        <f t="shared" si="10"/>
        <v>31204139</v>
      </c>
      <c r="S256" s="633"/>
      <c r="T256" s="633">
        <f t="shared" si="11"/>
        <v>4452344</v>
      </c>
      <c r="U256" s="633">
        <v>309203</v>
      </c>
      <c r="V256" s="633">
        <v>4761547</v>
      </c>
      <c r="W256" s="635"/>
      <c r="X256" s="635"/>
      <c r="Y256" s="635"/>
      <c r="Z256" s="635"/>
      <c r="AA256" s="635"/>
      <c r="AB256" s="635"/>
      <c r="AC256" s="635"/>
      <c r="AD256" s="635"/>
      <c r="AE256" s="636"/>
      <c r="AF256" s="636"/>
      <c r="AG256" s="636"/>
      <c r="AH256" s="636"/>
      <c r="AI256" s="636"/>
      <c r="AJ256" s="636"/>
      <c r="AK256" s="636"/>
      <c r="AL256" s="636"/>
    </row>
    <row r="257" spans="1:38" hidden="1" x14ac:dyDescent="0.25">
      <c r="A257" s="634">
        <v>38402</v>
      </c>
      <c r="B257" s="632" t="s">
        <v>1452</v>
      </c>
      <c r="C257" s="656">
        <v>9.6000000000000002E-5</v>
      </c>
      <c r="D257" s="656">
        <v>1.12E-4</v>
      </c>
      <c r="E257" s="661">
        <v>90608</v>
      </c>
      <c r="F257" s="632">
        <v>4190856</v>
      </c>
      <c r="G257" s="633">
        <v>3680058</v>
      </c>
      <c r="H257" s="633">
        <v>0</v>
      </c>
      <c r="I257" s="633">
        <v>0</v>
      </c>
      <c r="J257" s="633">
        <v>0</v>
      </c>
      <c r="K257" s="633">
        <v>563385</v>
      </c>
      <c r="L257" s="633">
        <f t="shared" si="9"/>
        <v>563385</v>
      </c>
      <c r="M257" s="633"/>
      <c r="N257" s="633">
        <v>263867</v>
      </c>
      <c r="O257" s="633">
        <v>1368</v>
      </c>
      <c r="P257" s="633">
        <v>1013471</v>
      </c>
      <c r="Q257" s="633">
        <v>0</v>
      </c>
      <c r="R257" s="633">
        <f t="shared" si="10"/>
        <v>1278706</v>
      </c>
      <c r="S257" s="633"/>
      <c r="T257" s="633">
        <f t="shared" si="11"/>
        <v>182451</v>
      </c>
      <c r="U257" s="633">
        <v>112680</v>
      </c>
      <c r="V257" s="633">
        <v>295131</v>
      </c>
      <c r="W257" s="635"/>
      <c r="X257" s="635"/>
      <c r="Y257" s="635"/>
      <c r="Z257" s="635"/>
      <c r="AA257" s="635"/>
      <c r="AB257" s="635"/>
      <c r="AC257" s="635"/>
      <c r="AD257" s="635"/>
      <c r="AE257" s="636"/>
      <c r="AF257" s="636"/>
      <c r="AG257" s="636"/>
      <c r="AH257" s="636"/>
      <c r="AI257" s="636"/>
      <c r="AJ257" s="636"/>
      <c r="AK257" s="636"/>
      <c r="AL257" s="636"/>
    </row>
    <row r="258" spans="1:38" hidden="1" x14ac:dyDescent="0.25">
      <c r="A258" s="634">
        <v>38405</v>
      </c>
      <c r="B258" s="632" t="s">
        <v>1453</v>
      </c>
      <c r="C258" s="656">
        <v>6.8800000000000003E-4</v>
      </c>
      <c r="D258" s="656">
        <v>6.5700000000000003E-4</v>
      </c>
      <c r="E258" s="661">
        <v>625735</v>
      </c>
      <c r="F258" s="632">
        <v>29907353</v>
      </c>
      <c r="G258" s="633">
        <v>21532223</v>
      </c>
      <c r="H258" s="633">
        <v>0</v>
      </c>
      <c r="I258" s="633">
        <v>0</v>
      </c>
      <c r="J258" s="633">
        <v>0</v>
      </c>
      <c r="K258" s="633">
        <v>0</v>
      </c>
      <c r="L258" s="633">
        <f t="shared" si="9"/>
        <v>0</v>
      </c>
      <c r="M258" s="633"/>
      <c r="N258" s="633">
        <v>1543900</v>
      </c>
      <c r="O258" s="633">
        <v>8002</v>
      </c>
      <c r="P258" s="633">
        <v>5929876</v>
      </c>
      <c r="Q258" s="633">
        <v>1112625</v>
      </c>
      <c r="R258" s="633">
        <f t="shared" si="10"/>
        <v>8594403</v>
      </c>
      <c r="S258" s="633"/>
      <c r="T258" s="633">
        <f t="shared" si="11"/>
        <v>1067533</v>
      </c>
      <c r="U258" s="633">
        <v>-222525</v>
      </c>
      <c r="V258" s="633">
        <v>845008</v>
      </c>
      <c r="W258" s="635"/>
      <c r="X258" s="635"/>
      <c r="Y258" s="635"/>
      <c r="Z258" s="635"/>
      <c r="AA258" s="635"/>
      <c r="AB258" s="635"/>
      <c r="AC258" s="635"/>
      <c r="AD258" s="635"/>
      <c r="AE258" s="636"/>
      <c r="AF258" s="636"/>
      <c r="AG258" s="636"/>
      <c r="AH258" s="636"/>
      <c r="AI258" s="636"/>
      <c r="AJ258" s="636"/>
      <c r="AK258" s="636"/>
      <c r="AL258" s="636"/>
    </row>
    <row r="259" spans="1:38" hidden="1" x14ac:dyDescent="0.25">
      <c r="A259" s="634">
        <v>38500</v>
      </c>
      <c r="B259" s="632" t="s">
        <v>1454</v>
      </c>
      <c r="C259" s="656">
        <v>2.16E-3</v>
      </c>
      <c r="D259" s="656">
        <v>2.14E-3</v>
      </c>
      <c r="E259" s="661">
        <v>1945416</v>
      </c>
      <c r="F259" s="632">
        <v>93954563</v>
      </c>
      <c r="G259" s="633">
        <v>70162741</v>
      </c>
      <c r="H259" s="633">
        <v>0</v>
      </c>
      <c r="I259" s="633">
        <v>0</v>
      </c>
      <c r="J259" s="633">
        <v>0</v>
      </c>
      <c r="K259" s="633">
        <v>0</v>
      </c>
      <c r="L259" s="633">
        <f t="shared" si="9"/>
        <v>0</v>
      </c>
      <c r="M259" s="633"/>
      <c r="N259" s="633">
        <v>5030798</v>
      </c>
      <c r="O259" s="633">
        <v>26076</v>
      </c>
      <c r="P259" s="633">
        <v>19322498</v>
      </c>
      <c r="Q259" s="633">
        <v>787990</v>
      </c>
      <c r="R259" s="633">
        <f t="shared" si="10"/>
        <v>25167362</v>
      </c>
      <c r="S259" s="633"/>
      <c r="T259" s="633">
        <f t="shared" si="11"/>
        <v>3478556</v>
      </c>
      <c r="U259" s="633">
        <v>-157600</v>
      </c>
      <c r="V259" s="633">
        <v>3320956</v>
      </c>
      <c r="W259" s="635"/>
      <c r="X259" s="635"/>
      <c r="Y259" s="635"/>
      <c r="Z259" s="635"/>
      <c r="AA259" s="635"/>
      <c r="AB259" s="635"/>
      <c r="AC259" s="635"/>
      <c r="AD259" s="635"/>
      <c r="AE259" s="636"/>
      <c r="AF259" s="636"/>
      <c r="AG259" s="636"/>
      <c r="AH259" s="636"/>
      <c r="AI259" s="636"/>
      <c r="AJ259" s="636"/>
      <c r="AK259" s="636"/>
      <c r="AL259" s="636"/>
    </row>
    <row r="260" spans="1:38" hidden="1" x14ac:dyDescent="0.25">
      <c r="A260" s="634">
        <v>38600</v>
      </c>
      <c r="B260" s="632" t="s">
        <v>1455</v>
      </c>
      <c r="C260" s="656">
        <v>2.643E-3</v>
      </c>
      <c r="D260" s="656">
        <v>2.7550000000000001E-3</v>
      </c>
      <c r="E260" s="661">
        <v>2470058</v>
      </c>
      <c r="F260" s="632">
        <v>114968913</v>
      </c>
      <c r="G260" s="633">
        <v>90312846</v>
      </c>
      <c r="H260" s="633">
        <v>0</v>
      </c>
      <c r="I260" s="633">
        <v>0</v>
      </c>
      <c r="J260" s="633">
        <v>0</v>
      </c>
      <c r="K260" s="633">
        <v>3931110</v>
      </c>
      <c r="L260" s="633">
        <f t="shared" si="9"/>
        <v>3931110</v>
      </c>
      <c r="M260" s="633"/>
      <c r="N260" s="633">
        <v>6475597</v>
      </c>
      <c r="O260" s="633">
        <v>33564</v>
      </c>
      <c r="P260" s="633">
        <v>24871745</v>
      </c>
      <c r="Q260" s="633">
        <v>0</v>
      </c>
      <c r="R260" s="633">
        <f t="shared" si="10"/>
        <v>31380906</v>
      </c>
      <c r="S260" s="633"/>
      <c r="T260" s="633">
        <f t="shared" si="11"/>
        <v>4477566</v>
      </c>
      <c r="U260" s="633">
        <v>786222</v>
      </c>
      <c r="V260" s="633">
        <v>5263788</v>
      </c>
      <c r="W260" s="635"/>
      <c r="X260" s="635"/>
      <c r="Y260" s="635"/>
      <c r="Z260" s="635"/>
      <c r="AA260" s="635"/>
      <c r="AB260" s="635"/>
      <c r="AC260" s="635"/>
      <c r="AD260" s="635"/>
      <c r="AE260" s="636"/>
      <c r="AF260" s="636"/>
      <c r="AG260" s="636"/>
      <c r="AH260" s="636"/>
      <c r="AI260" s="636"/>
      <c r="AJ260" s="636"/>
      <c r="AK260" s="636"/>
      <c r="AL260" s="636"/>
    </row>
    <row r="261" spans="1:38" hidden="1" x14ac:dyDescent="0.25">
      <c r="A261" s="634">
        <v>38601</v>
      </c>
      <c r="B261" s="632" t="s">
        <v>1456</v>
      </c>
      <c r="C261" s="656">
        <v>3.6999999999999998E-5</v>
      </c>
      <c r="D261" s="656">
        <v>3.1999999999999999E-5</v>
      </c>
      <c r="E261" s="661">
        <v>26911</v>
      </c>
      <c r="F261" s="632">
        <v>1620423</v>
      </c>
      <c r="G261" s="633">
        <v>1053326</v>
      </c>
      <c r="H261" s="633">
        <v>0</v>
      </c>
      <c r="I261" s="633">
        <v>0</v>
      </c>
      <c r="J261" s="633">
        <v>0</v>
      </c>
      <c r="K261" s="633">
        <v>0</v>
      </c>
      <c r="L261" s="633">
        <f t="shared" si="9"/>
        <v>0</v>
      </c>
      <c r="M261" s="633"/>
      <c r="N261" s="633">
        <v>75525</v>
      </c>
      <c r="O261" s="633">
        <v>391</v>
      </c>
      <c r="P261" s="633">
        <v>290081</v>
      </c>
      <c r="Q261" s="633">
        <v>188675</v>
      </c>
      <c r="R261" s="633">
        <f t="shared" si="10"/>
        <v>554672</v>
      </c>
      <c r="S261" s="633"/>
      <c r="T261" s="633">
        <f t="shared" si="11"/>
        <v>52222</v>
      </c>
      <c r="U261" s="633">
        <v>-37735</v>
      </c>
      <c r="V261" s="633">
        <v>14487</v>
      </c>
      <c r="W261" s="635"/>
      <c r="X261" s="635"/>
      <c r="Y261" s="635"/>
      <c r="Z261" s="635"/>
      <c r="AA261" s="635"/>
      <c r="AB261" s="635"/>
      <c r="AC261" s="635"/>
      <c r="AD261" s="635"/>
      <c r="AE261" s="636"/>
      <c r="AF261" s="636"/>
      <c r="AG261" s="636"/>
      <c r="AH261" s="636"/>
      <c r="AI261" s="636"/>
      <c r="AJ261" s="636"/>
      <c r="AK261" s="636"/>
      <c r="AL261" s="636"/>
    </row>
    <row r="262" spans="1:38" hidden="1" x14ac:dyDescent="0.25">
      <c r="A262" s="634">
        <v>38602</v>
      </c>
      <c r="B262" s="632" t="s">
        <v>1457</v>
      </c>
      <c r="C262" s="656">
        <v>1.6699999999999999E-4</v>
      </c>
      <c r="D262" s="656">
        <v>2.0000000000000001E-4</v>
      </c>
      <c r="E262" s="661">
        <v>175880</v>
      </c>
      <c r="F262" s="632">
        <v>7250522</v>
      </c>
      <c r="G262" s="633">
        <v>6551021</v>
      </c>
      <c r="H262" s="633">
        <v>0</v>
      </c>
      <c r="I262" s="633">
        <v>0</v>
      </c>
      <c r="J262" s="633">
        <v>0</v>
      </c>
      <c r="K262" s="633">
        <v>1189890</v>
      </c>
      <c r="L262" s="633">
        <f t="shared" si="9"/>
        <v>1189890</v>
      </c>
      <c r="M262" s="633"/>
      <c r="N262" s="633">
        <v>469720</v>
      </c>
      <c r="O262" s="633">
        <v>2435</v>
      </c>
      <c r="P262" s="633">
        <v>1804121</v>
      </c>
      <c r="Q262" s="633">
        <v>0</v>
      </c>
      <c r="R262" s="633">
        <f t="shared" si="10"/>
        <v>2276276</v>
      </c>
      <c r="S262" s="633"/>
      <c r="T262" s="633">
        <f t="shared" si="11"/>
        <v>324789</v>
      </c>
      <c r="U262" s="633">
        <v>237976</v>
      </c>
      <c r="V262" s="633">
        <v>562765</v>
      </c>
      <c r="W262" s="635"/>
      <c r="X262" s="635"/>
      <c r="Y262" s="635"/>
      <c r="Z262" s="635"/>
      <c r="AA262" s="635"/>
      <c r="AB262" s="635"/>
      <c r="AC262" s="635"/>
      <c r="AD262" s="635"/>
      <c r="AE262" s="636"/>
      <c r="AF262" s="636"/>
      <c r="AG262" s="636"/>
      <c r="AH262" s="636"/>
      <c r="AI262" s="636"/>
      <c r="AJ262" s="636"/>
      <c r="AK262" s="636"/>
      <c r="AL262" s="636"/>
    </row>
    <row r="263" spans="1:38" hidden="1" x14ac:dyDescent="0.25">
      <c r="A263" s="634">
        <v>38605</v>
      </c>
      <c r="B263" s="632" t="s">
        <v>1458</v>
      </c>
      <c r="C263" s="656">
        <v>7.45E-4</v>
      </c>
      <c r="D263" s="656">
        <v>7.0600000000000003E-4</v>
      </c>
      <c r="E263" s="661">
        <v>694092</v>
      </c>
      <c r="F263" s="632">
        <v>32427483</v>
      </c>
      <c r="G263" s="633">
        <v>23144077</v>
      </c>
      <c r="H263" s="633">
        <v>0</v>
      </c>
      <c r="I263" s="633">
        <v>0</v>
      </c>
      <c r="J263" s="633">
        <v>0</v>
      </c>
      <c r="K263" s="633">
        <v>0</v>
      </c>
      <c r="L263" s="633">
        <f t="shared" si="9"/>
        <v>0</v>
      </c>
      <c r="M263" s="633"/>
      <c r="N263" s="633">
        <v>1659473</v>
      </c>
      <c r="O263" s="633">
        <v>8601</v>
      </c>
      <c r="P263" s="633">
        <v>6373773</v>
      </c>
      <c r="Q263" s="633">
        <v>1412430</v>
      </c>
      <c r="R263" s="633">
        <f t="shared" si="10"/>
        <v>9454277</v>
      </c>
      <c r="S263" s="633"/>
      <c r="T263" s="633">
        <f t="shared" si="11"/>
        <v>1147446</v>
      </c>
      <c r="U263" s="633">
        <v>-282484</v>
      </c>
      <c r="V263" s="633">
        <v>864962</v>
      </c>
      <c r="W263" s="635"/>
      <c r="X263" s="635"/>
      <c r="Y263" s="635"/>
      <c r="Z263" s="635"/>
      <c r="AA263" s="635"/>
      <c r="AB263" s="635"/>
      <c r="AC263" s="635"/>
      <c r="AD263" s="635"/>
      <c r="AE263" s="636"/>
      <c r="AF263" s="636"/>
      <c r="AG263" s="636"/>
      <c r="AH263" s="636"/>
      <c r="AI263" s="636"/>
      <c r="AJ263" s="636"/>
      <c r="AK263" s="636"/>
      <c r="AL263" s="636"/>
    </row>
    <row r="264" spans="1:38" hidden="1" x14ac:dyDescent="0.25">
      <c r="A264" s="634">
        <v>38610</v>
      </c>
      <c r="B264" s="632" t="s">
        <v>1459</v>
      </c>
      <c r="C264" s="656">
        <v>5.53E-4</v>
      </c>
      <c r="D264" s="656">
        <v>5.4799999999999998E-4</v>
      </c>
      <c r="E264" s="661">
        <v>525350</v>
      </c>
      <c r="F264" s="632">
        <v>24051086</v>
      </c>
      <c r="G264" s="633">
        <v>17980947</v>
      </c>
      <c r="H264" s="633">
        <v>0</v>
      </c>
      <c r="I264" s="633">
        <v>0</v>
      </c>
      <c r="J264" s="633">
        <v>0</v>
      </c>
      <c r="K264" s="633">
        <v>0</v>
      </c>
      <c r="L264" s="633">
        <f t="shared" ref="L264:L310" si="12">SUM(H264:K264)</f>
        <v>0</v>
      </c>
      <c r="M264" s="633"/>
      <c r="N264" s="633">
        <v>1289267</v>
      </c>
      <c r="O264" s="633">
        <v>6682</v>
      </c>
      <c r="P264" s="633">
        <v>4951871</v>
      </c>
      <c r="Q264" s="633">
        <v>157030</v>
      </c>
      <c r="R264" s="633">
        <f t="shared" ref="R264:R310" si="13">SUM(N264:Q264)</f>
        <v>6404850</v>
      </c>
      <c r="S264" s="633"/>
      <c r="T264" s="633">
        <f t="shared" ref="T264:T312" si="14">V264-U264</f>
        <v>891466</v>
      </c>
      <c r="U264" s="633">
        <v>-31406</v>
      </c>
      <c r="V264" s="633">
        <v>860060</v>
      </c>
      <c r="W264" s="635"/>
      <c r="X264" s="635"/>
      <c r="Y264" s="635"/>
      <c r="Z264" s="635"/>
      <c r="AA264" s="635"/>
      <c r="AB264" s="635"/>
      <c r="AC264" s="635"/>
      <c r="AD264" s="635"/>
      <c r="AE264" s="636"/>
      <c r="AF264" s="636"/>
      <c r="AG264" s="636"/>
      <c r="AH264" s="636"/>
      <c r="AI264" s="636"/>
      <c r="AJ264" s="636"/>
      <c r="AK264" s="636"/>
      <c r="AL264" s="636"/>
    </row>
    <row r="265" spans="1:38" hidden="1" x14ac:dyDescent="0.25">
      <c r="A265" s="634">
        <v>38620</v>
      </c>
      <c r="B265" s="632" t="s">
        <v>1460</v>
      </c>
      <c r="C265" s="656">
        <v>4.5899999999999999E-4</v>
      </c>
      <c r="D265" s="656">
        <v>4.4700000000000002E-4</v>
      </c>
      <c r="E265" s="661">
        <v>414022</v>
      </c>
      <c r="F265" s="632">
        <v>19954570</v>
      </c>
      <c r="G265" s="633">
        <v>14646449</v>
      </c>
      <c r="H265" s="633">
        <v>0</v>
      </c>
      <c r="I265" s="633">
        <v>0</v>
      </c>
      <c r="J265" s="633">
        <v>0</v>
      </c>
      <c r="K265" s="633">
        <v>0</v>
      </c>
      <c r="L265" s="633">
        <f t="shared" si="12"/>
        <v>0</v>
      </c>
      <c r="M265" s="633"/>
      <c r="N265" s="633">
        <v>1050177</v>
      </c>
      <c r="O265" s="633">
        <v>5443</v>
      </c>
      <c r="P265" s="633">
        <v>4033565</v>
      </c>
      <c r="Q265" s="633">
        <v>442550</v>
      </c>
      <c r="R265" s="633">
        <f t="shared" si="13"/>
        <v>5531735</v>
      </c>
      <c r="S265" s="633"/>
      <c r="T265" s="633">
        <f t="shared" si="14"/>
        <v>726147</v>
      </c>
      <c r="U265" s="633">
        <v>-88511</v>
      </c>
      <c r="V265" s="633">
        <v>637636</v>
      </c>
      <c r="W265" s="635"/>
      <c r="X265" s="635"/>
      <c r="Y265" s="635"/>
      <c r="Z265" s="635"/>
      <c r="AA265" s="635"/>
      <c r="AB265" s="635"/>
      <c r="AC265" s="635"/>
      <c r="AD265" s="635"/>
      <c r="AE265" s="636"/>
      <c r="AF265" s="636"/>
      <c r="AG265" s="636"/>
      <c r="AH265" s="636"/>
      <c r="AI265" s="636"/>
      <c r="AJ265" s="636"/>
      <c r="AK265" s="636"/>
      <c r="AL265" s="636"/>
    </row>
    <row r="266" spans="1:38" hidden="1" x14ac:dyDescent="0.25">
      <c r="A266" s="634">
        <v>38700</v>
      </c>
      <c r="B266" s="632" t="s">
        <v>1461</v>
      </c>
      <c r="C266" s="656">
        <v>7.9100000000000004E-4</v>
      </c>
      <c r="D266" s="656">
        <v>8.2299999999999995E-4</v>
      </c>
      <c r="E266" s="661">
        <v>711406</v>
      </c>
      <c r="F266" s="632">
        <v>34389251</v>
      </c>
      <c r="G266" s="633">
        <v>26980726</v>
      </c>
      <c r="H266" s="633">
        <v>0</v>
      </c>
      <c r="I266" s="633">
        <v>0</v>
      </c>
      <c r="J266" s="633">
        <v>0</v>
      </c>
      <c r="K266" s="633">
        <v>1116820</v>
      </c>
      <c r="L266" s="633">
        <f t="shared" si="12"/>
        <v>1116820</v>
      </c>
      <c r="M266" s="633"/>
      <c r="N266" s="633">
        <v>1934568</v>
      </c>
      <c r="O266" s="633">
        <v>10027</v>
      </c>
      <c r="P266" s="633">
        <v>7430369</v>
      </c>
      <c r="Q266" s="633">
        <v>0</v>
      </c>
      <c r="R266" s="633">
        <f t="shared" si="13"/>
        <v>9374964</v>
      </c>
      <c r="S266" s="633"/>
      <c r="T266" s="633">
        <f t="shared" si="14"/>
        <v>1337661</v>
      </c>
      <c r="U266" s="633">
        <v>223364</v>
      </c>
      <c r="V266" s="633">
        <v>1561025</v>
      </c>
      <c r="W266" s="635"/>
      <c r="X266" s="635"/>
      <c r="Y266" s="635"/>
      <c r="Z266" s="635"/>
      <c r="AA266" s="635"/>
      <c r="AB266" s="635"/>
      <c r="AC266" s="635"/>
      <c r="AD266" s="635"/>
      <c r="AE266" s="636"/>
      <c r="AF266" s="636"/>
      <c r="AG266" s="636"/>
      <c r="AH266" s="636"/>
      <c r="AI266" s="636"/>
      <c r="AJ266" s="636"/>
      <c r="AK266" s="636"/>
      <c r="AL266" s="636"/>
    </row>
    <row r="267" spans="1:38" hidden="1" x14ac:dyDescent="0.25">
      <c r="A267" s="634">
        <v>38701</v>
      </c>
      <c r="B267" s="632" t="s">
        <v>1462</v>
      </c>
      <c r="C267" s="656">
        <v>5.1E-5</v>
      </c>
      <c r="D267" s="656">
        <v>4.8000000000000001E-5</v>
      </c>
      <c r="E267" s="661">
        <v>47671</v>
      </c>
      <c r="F267" s="632">
        <v>2200294</v>
      </c>
      <c r="G267" s="633">
        <v>1581166</v>
      </c>
      <c r="H267" s="633">
        <v>0</v>
      </c>
      <c r="I267" s="633">
        <v>0</v>
      </c>
      <c r="J267" s="633">
        <v>0</v>
      </c>
      <c r="K267" s="633">
        <v>0</v>
      </c>
      <c r="L267" s="633">
        <f t="shared" si="12"/>
        <v>0</v>
      </c>
      <c r="M267" s="633"/>
      <c r="N267" s="633">
        <v>113372</v>
      </c>
      <c r="O267" s="633">
        <v>588</v>
      </c>
      <c r="P267" s="633">
        <v>435446</v>
      </c>
      <c r="Q267" s="633">
        <v>83700</v>
      </c>
      <c r="R267" s="633">
        <f t="shared" si="13"/>
        <v>633106</v>
      </c>
      <c r="S267" s="633"/>
      <c r="T267" s="633">
        <f t="shared" si="14"/>
        <v>78392</v>
      </c>
      <c r="U267" s="633">
        <v>-16743</v>
      </c>
      <c r="V267" s="633">
        <v>61649</v>
      </c>
      <c r="W267" s="635"/>
      <c r="X267" s="635"/>
      <c r="Y267" s="635"/>
      <c r="Z267" s="635"/>
      <c r="AA267" s="635"/>
      <c r="AB267" s="635"/>
      <c r="AC267" s="635"/>
      <c r="AD267" s="635"/>
      <c r="AE267" s="636"/>
      <c r="AF267" s="636"/>
      <c r="AG267" s="636"/>
      <c r="AH267" s="636"/>
      <c r="AI267" s="636"/>
      <c r="AJ267" s="636"/>
      <c r="AK267" s="636"/>
      <c r="AL267" s="636"/>
    </row>
    <row r="268" spans="1:38" hidden="1" x14ac:dyDescent="0.25">
      <c r="A268" s="634">
        <v>38800</v>
      </c>
      <c r="B268" s="632" t="s">
        <v>1463</v>
      </c>
      <c r="C268" s="656">
        <v>1.3760000000000001E-3</v>
      </c>
      <c r="D268" s="656">
        <v>1.4E-3</v>
      </c>
      <c r="E268" s="661">
        <v>1240318</v>
      </c>
      <c r="F268" s="632">
        <v>59847902</v>
      </c>
      <c r="G268" s="633">
        <v>45915902</v>
      </c>
      <c r="H268" s="633">
        <v>0</v>
      </c>
      <c r="I268" s="633">
        <v>0</v>
      </c>
      <c r="J268" s="633">
        <v>0</v>
      </c>
      <c r="K268" s="633">
        <v>821860</v>
      </c>
      <c r="L268" s="633">
        <f t="shared" si="12"/>
        <v>821860</v>
      </c>
      <c r="M268" s="633"/>
      <c r="N268" s="633">
        <v>3292255</v>
      </c>
      <c r="O268" s="633">
        <v>17064</v>
      </c>
      <c r="P268" s="633">
        <v>12645030</v>
      </c>
      <c r="Q268" s="633">
        <v>0</v>
      </c>
      <c r="R268" s="633">
        <f t="shared" si="13"/>
        <v>15954349</v>
      </c>
      <c r="S268" s="633"/>
      <c r="T268" s="633">
        <f t="shared" si="14"/>
        <v>2276437</v>
      </c>
      <c r="U268" s="633">
        <v>164369</v>
      </c>
      <c r="V268" s="633">
        <v>2440806</v>
      </c>
      <c r="W268" s="635"/>
      <c r="X268" s="635"/>
      <c r="Y268" s="635"/>
      <c r="Z268" s="635"/>
      <c r="AA268" s="635"/>
      <c r="AB268" s="635"/>
      <c r="AC268" s="635"/>
      <c r="AD268" s="635"/>
      <c r="AE268" s="636"/>
      <c r="AF268" s="636"/>
      <c r="AG268" s="636"/>
      <c r="AH268" s="636"/>
      <c r="AI268" s="636"/>
      <c r="AJ268" s="636"/>
      <c r="AK268" s="636"/>
      <c r="AL268" s="636"/>
    </row>
    <row r="269" spans="1:38" hidden="1" x14ac:dyDescent="0.25">
      <c r="A269" s="634">
        <v>38801</v>
      </c>
      <c r="B269" s="632" t="s">
        <v>1464</v>
      </c>
      <c r="C269" s="656">
        <v>9.3999999999999994E-5</v>
      </c>
      <c r="D269" s="656">
        <v>1.16E-4</v>
      </c>
      <c r="E269" s="661">
        <v>88033</v>
      </c>
      <c r="F269" s="632">
        <v>4079205</v>
      </c>
      <c r="G269" s="633">
        <v>3788251</v>
      </c>
      <c r="H269" s="633">
        <v>0</v>
      </c>
      <c r="I269" s="633">
        <v>0</v>
      </c>
      <c r="J269" s="633">
        <v>0</v>
      </c>
      <c r="K269" s="633">
        <v>771305</v>
      </c>
      <c r="L269" s="633">
        <f t="shared" si="12"/>
        <v>771305</v>
      </c>
      <c r="M269" s="633"/>
      <c r="N269" s="633">
        <v>271625</v>
      </c>
      <c r="O269" s="633">
        <v>1408</v>
      </c>
      <c r="P269" s="633">
        <v>1043267</v>
      </c>
      <c r="Q269" s="633">
        <v>0</v>
      </c>
      <c r="R269" s="633">
        <f t="shared" si="13"/>
        <v>1316300</v>
      </c>
      <c r="S269" s="633"/>
      <c r="T269" s="633">
        <f t="shared" si="14"/>
        <v>187815</v>
      </c>
      <c r="U269" s="633">
        <v>154258</v>
      </c>
      <c r="V269" s="633">
        <v>342073</v>
      </c>
      <c r="W269" s="635"/>
      <c r="X269" s="635"/>
      <c r="Y269" s="635"/>
      <c r="Z269" s="635"/>
      <c r="AA269" s="635"/>
      <c r="AB269" s="635"/>
      <c r="AC269" s="635"/>
      <c r="AD269" s="635"/>
      <c r="AE269" s="636"/>
      <c r="AF269" s="636"/>
      <c r="AG269" s="636"/>
      <c r="AH269" s="636"/>
      <c r="AI269" s="636"/>
      <c r="AJ269" s="636"/>
      <c r="AK269" s="636"/>
      <c r="AL269" s="636"/>
    </row>
    <row r="270" spans="1:38" hidden="1" x14ac:dyDescent="0.25">
      <c r="A270" s="634">
        <v>38900</v>
      </c>
      <c r="B270" s="632" t="s">
        <v>1465</v>
      </c>
      <c r="C270" s="656">
        <v>3.0699999999999998E-4</v>
      </c>
      <c r="D270" s="656">
        <v>2.9399999999999999E-4</v>
      </c>
      <c r="E270" s="661">
        <v>277856</v>
      </c>
      <c r="F270" s="632">
        <v>13342686</v>
      </c>
      <c r="G270" s="633">
        <v>9625201</v>
      </c>
      <c r="H270" s="633">
        <v>0</v>
      </c>
      <c r="I270" s="633">
        <v>0</v>
      </c>
      <c r="J270" s="633">
        <v>0</v>
      </c>
      <c r="K270" s="633">
        <v>0</v>
      </c>
      <c r="L270" s="633">
        <f t="shared" si="12"/>
        <v>0</v>
      </c>
      <c r="M270" s="633"/>
      <c r="N270" s="633">
        <v>690145</v>
      </c>
      <c r="O270" s="633">
        <v>3577</v>
      </c>
      <c r="P270" s="633">
        <v>2650736</v>
      </c>
      <c r="Q270" s="633">
        <v>476975</v>
      </c>
      <c r="R270" s="633">
        <f t="shared" si="13"/>
        <v>3821433</v>
      </c>
      <c r="S270" s="633"/>
      <c r="T270" s="633">
        <f t="shared" si="14"/>
        <v>477202</v>
      </c>
      <c r="U270" s="633">
        <v>-95398</v>
      </c>
      <c r="V270" s="633">
        <v>381804</v>
      </c>
      <c r="W270" s="635"/>
      <c r="X270" s="635"/>
      <c r="Y270" s="635"/>
      <c r="Z270" s="635"/>
      <c r="AA270" s="635"/>
      <c r="AB270" s="635"/>
      <c r="AC270" s="635"/>
      <c r="AD270" s="635"/>
      <c r="AE270" s="636"/>
      <c r="AF270" s="636"/>
      <c r="AG270" s="636"/>
      <c r="AH270" s="636"/>
      <c r="AI270" s="636"/>
      <c r="AJ270" s="636"/>
      <c r="AK270" s="636"/>
      <c r="AL270" s="636"/>
    </row>
    <row r="271" spans="1:38" hidden="1" x14ac:dyDescent="0.25">
      <c r="A271" s="634">
        <v>39000</v>
      </c>
      <c r="B271" s="632" t="s">
        <v>1466</v>
      </c>
      <c r="C271" s="656">
        <v>1.3912000000000001E-2</v>
      </c>
      <c r="D271" s="656">
        <v>1.4548999999999999E-2</v>
      </c>
      <c r="E271" s="661">
        <v>12173982</v>
      </c>
      <c r="F271" s="632">
        <v>605230565</v>
      </c>
      <c r="G271" s="633">
        <v>477021010</v>
      </c>
      <c r="H271" s="633">
        <v>0</v>
      </c>
      <c r="I271" s="633">
        <v>0</v>
      </c>
      <c r="J271" s="633">
        <v>0</v>
      </c>
      <c r="K271" s="633">
        <v>21720385</v>
      </c>
      <c r="L271" s="633">
        <f t="shared" si="12"/>
        <v>21720385</v>
      </c>
      <c r="M271" s="633"/>
      <c r="N271" s="633">
        <v>34203284</v>
      </c>
      <c r="O271" s="633">
        <v>177282</v>
      </c>
      <c r="P271" s="633">
        <v>131369408</v>
      </c>
      <c r="Q271" s="633">
        <v>0</v>
      </c>
      <c r="R271" s="633">
        <f t="shared" si="13"/>
        <v>165749974</v>
      </c>
      <c r="S271" s="633"/>
      <c r="T271" s="633">
        <f t="shared" si="14"/>
        <v>23649936</v>
      </c>
      <c r="U271" s="633">
        <v>4344080</v>
      </c>
      <c r="V271" s="633">
        <v>27994016</v>
      </c>
      <c r="W271" s="635"/>
      <c r="X271" s="635"/>
      <c r="Y271" s="635"/>
      <c r="Z271" s="635"/>
      <c r="AA271" s="635"/>
      <c r="AB271" s="635"/>
      <c r="AC271" s="635"/>
      <c r="AD271" s="635"/>
      <c r="AE271" s="636"/>
      <c r="AF271" s="636"/>
      <c r="AG271" s="636"/>
      <c r="AH271" s="636"/>
      <c r="AI271" s="636"/>
      <c r="AJ271" s="636"/>
      <c r="AK271" s="636"/>
      <c r="AL271" s="636"/>
    </row>
    <row r="272" spans="1:38" hidden="1" x14ac:dyDescent="0.25">
      <c r="A272" s="634">
        <v>39100</v>
      </c>
      <c r="B272" s="632" t="s">
        <v>1467</v>
      </c>
      <c r="C272" s="656">
        <v>2.134E-3</v>
      </c>
      <c r="D272" s="656">
        <v>2.0960000000000002E-3</v>
      </c>
      <c r="E272" s="661">
        <v>2059060</v>
      </c>
      <c r="F272" s="632">
        <v>92849888</v>
      </c>
      <c r="G272" s="633">
        <v>68727085</v>
      </c>
      <c r="H272" s="633">
        <v>0</v>
      </c>
      <c r="I272" s="633">
        <v>0</v>
      </c>
      <c r="J272" s="633">
        <v>0</v>
      </c>
      <c r="K272" s="633">
        <v>0</v>
      </c>
      <c r="L272" s="633">
        <f t="shared" si="12"/>
        <v>0</v>
      </c>
      <c r="M272" s="633"/>
      <c r="N272" s="633">
        <v>4927858</v>
      </c>
      <c r="O272" s="633">
        <v>25542</v>
      </c>
      <c r="P272" s="633">
        <v>18927125</v>
      </c>
      <c r="Q272" s="633">
        <v>1325495</v>
      </c>
      <c r="R272" s="633">
        <f t="shared" si="13"/>
        <v>25206020</v>
      </c>
      <c r="S272" s="633"/>
      <c r="T272" s="633">
        <f t="shared" si="14"/>
        <v>3407379</v>
      </c>
      <c r="U272" s="633">
        <v>-265101</v>
      </c>
      <c r="V272" s="633">
        <v>3142278</v>
      </c>
      <c r="W272" s="635"/>
      <c r="X272" s="635"/>
      <c r="Y272" s="635"/>
      <c r="Z272" s="635"/>
      <c r="AA272" s="635"/>
      <c r="AB272" s="635"/>
      <c r="AC272" s="635"/>
      <c r="AD272" s="635"/>
      <c r="AE272" s="636"/>
      <c r="AF272" s="636"/>
      <c r="AG272" s="636"/>
      <c r="AH272" s="636"/>
      <c r="AI272" s="636"/>
      <c r="AJ272" s="636"/>
      <c r="AK272" s="636"/>
      <c r="AL272" s="636"/>
    </row>
    <row r="273" spans="1:38" hidden="1" x14ac:dyDescent="0.25">
      <c r="A273" s="634">
        <v>39101</v>
      </c>
      <c r="B273" s="632" t="s">
        <v>1468</v>
      </c>
      <c r="C273" s="656">
        <v>1.5200000000000001E-4</v>
      </c>
      <c r="D273" s="656">
        <v>1.7699999999999999E-4</v>
      </c>
      <c r="E273" s="661">
        <v>164659</v>
      </c>
      <c r="F273" s="632">
        <v>6619367</v>
      </c>
      <c r="G273" s="633">
        <v>5792209</v>
      </c>
      <c r="H273" s="633">
        <v>0</v>
      </c>
      <c r="I273" s="633">
        <v>0</v>
      </c>
      <c r="J273" s="633">
        <v>0</v>
      </c>
      <c r="K273" s="633">
        <v>885790</v>
      </c>
      <c r="L273" s="633">
        <f t="shared" si="12"/>
        <v>885790</v>
      </c>
      <c r="M273" s="633"/>
      <c r="N273" s="633">
        <v>415312</v>
      </c>
      <c r="O273" s="633">
        <v>2153</v>
      </c>
      <c r="P273" s="633">
        <v>1595148</v>
      </c>
      <c r="Q273" s="633">
        <v>0</v>
      </c>
      <c r="R273" s="633">
        <f t="shared" si="13"/>
        <v>2012613</v>
      </c>
      <c r="S273" s="633"/>
      <c r="T273" s="633">
        <f t="shared" si="14"/>
        <v>287168</v>
      </c>
      <c r="U273" s="633">
        <v>177155</v>
      </c>
      <c r="V273" s="633">
        <v>464323</v>
      </c>
      <c r="W273" s="635"/>
      <c r="X273" s="635"/>
      <c r="Y273" s="635"/>
      <c r="Z273" s="635"/>
      <c r="AA273" s="635"/>
      <c r="AB273" s="635"/>
      <c r="AC273" s="635"/>
      <c r="AD273" s="635"/>
      <c r="AE273" s="636"/>
      <c r="AF273" s="636"/>
      <c r="AG273" s="636"/>
      <c r="AH273" s="636"/>
      <c r="AI273" s="636"/>
      <c r="AJ273" s="636"/>
      <c r="AK273" s="636"/>
      <c r="AL273" s="636"/>
    </row>
    <row r="274" spans="1:38" hidden="1" x14ac:dyDescent="0.25">
      <c r="A274" s="634">
        <v>39105</v>
      </c>
      <c r="B274" s="632" t="s">
        <v>1469</v>
      </c>
      <c r="C274" s="656">
        <v>8.8099999999999995E-4</v>
      </c>
      <c r="D274" s="656">
        <v>8.1700000000000002E-4</v>
      </c>
      <c r="E274" s="661">
        <v>818634</v>
      </c>
      <c r="F274" s="632">
        <v>38339685</v>
      </c>
      <c r="G274" s="633">
        <v>26774696</v>
      </c>
      <c r="H274" s="633">
        <v>0</v>
      </c>
      <c r="I274" s="633">
        <v>0</v>
      </c>
      <c r="J274" s="633">
        <v>0</v>
      </c>
      <c r="K274" s="633">
        <v>0</v>
      </c>
      <c r="L274" s="633">
        <f t="shared" si="12"/>
        <v>0</v>
      </c>
      <c r="M274" s="633"/>
      <c r="N274" s="633">
        <v>1919795</v>
      </c>
      <c r="O274" s="633">
        <v>9951</v>
      </c>
      <c r="P274" s="633">
        <v>7373629</v>
      </c>
      <c r="Q274" s="633">
        <v>2308690</v>
      </c>
      <c r="R274" s="633">
        <f t="shared" si="13"/>
        <v>11612065</v>
      </c>
      <c r="S274" s="633"/>
      <c r="T274" s="633">
        <f t="shared" si="14"/>
        <v>1327446</v>
      </c>
      <c r="U274" s="633">
        <v>-461737</v>
      </c>
      <c r="V274" s="633">
        <v>865709</v>
      </c>
      <c r="W274" s="635"/>
      <c r="X274" s="635"/>
      <c r="Y274" s="635"/>
      <c r="Z274" s="635"/>
      <c r="AA274" s="635"/>
      <c r="AB274" s="635"/>
      <c r="AC274" s="635"/>
      <c r="AD274" s="635"/>
      <c r="AE274" s="636"/>
      <c r="AF274" s="636"/>
      <c r="AG274" s="636"/>
      <c r="AH274" s="636"/>
      <c r="AI274" s="636"/>
      <c r="AJ274" s="636"/>
      <c r="AK274" s="636"/>
      <c r="AL274" s="636"/>
    </row>
    <row r="275" spans="1:38" hidden="1" x14ac:dyDescent="0.25">
      <c r="A275" s="634">
        <v>39200</v>
      </c>
      <c r="B275" s="632" t="s">
        <v>1470</v>
      </c>
      <c r="C275" s="656">
        <v>5.6204999999999998E-2</v>
      </c>
      <c r="D275" s="656">
        <v>6.0130000000000003E-2</v>
      </c>
      <c r="E275" s="661">
        <v>50854448</v>
      </c>
      <c r="F275" s="632">
        <v>2445108788</v>
      </c>
      <c r="G275" s="633">
        <v>1971459508</v>
      </c>
      <c r="H275" s="633">
        <v>0</v>
      </c>
      <c r="I275" s="633">
        <v>0</v>
      </c>
      <c r="J275" s="633">
        <v>0</v>
      </c>
      <c r="K275" s="633">
        <v>137070230</v>
      </c>
      <c r="L275" s="633">
        <f t="shared" si="12"/>
        <v>137070230</v>
      </c>
      <c r="M275" s="633"/>
      <c r="N275" s="633">
        <v>141357273</v>
      </c>
      <c r="O275" s="633">
        <v>732680</v>
      </c>
      <c r="P275" s="633">
        <v>542930948</v>
      </c>
      <c r="Q275" s="633">
        <v>0</v>
      </c>
      <c r="R275" s="633">
        <f t="shared" si="13"/>
        <v>685020901</v>
      </c>
      <c r="S275" s="633"/>
      <c r="T275" s="633">
        <f t="shared" si="14"/>
        <v>97741798</v>
      </c>
      <c r="U275" s="633">
        <v>27414041</v>
      </c>
      <c r="V275" s="633">
        <v>125155839</v>
      </c>
      <c r="W275" s="635"/>
      <c r="X275" s="635"/>
      <c r="Y275" s="635"/>
      <c r="Z275" s="635"/>
      <c r="AA275" s="635"/>
      <c r="AB275" s="635"/>
      <c r="AC275" s="635"/>
      <c r="AD275" s="635"/>
      <c r="AE275" s="636"/>
      <c r="AF275" s="636"/>
      <c r="AG275" s="636"/>
      <c r="AH275" s="636"/>
      <c r="AI275" s="636"/>
      <c r="AJ275" s="636"/>
      <c r="AK275" s="636"/>
      <c r="AL275" s="636"/>
    </row>
    <row r="276" spans="1:38" hidden="1" x14ac:dyDescent="0.25">
      <c r="A276" s="634">
        <v>39201</v>
      </c>
      <c r="B276" s="632" t="s">
        <v>1471</v>
      </c>
      <c r="C276" s="656">
        <v>1.7899999999999999E-4</v>
      </c>
      <c r="D276" s="656">
        <v>1.84E-4</v>
      </c>
      <c r="E276" s="661">
        <v>124848</v>
      </c>
      <c r="F276" s="632">
        <v>7789433</v>
      </c>
      <c r="G276" s="633">
        <v>6046700</v>
      </c>
      <c r="H276" s="633">
        <v>0</v>
      </c>
      <c r="I276" s="633">
        <v>0</v>
      </c>
      <c r="J276" s="633">
        <v>0</v>
      </c>
      <c r="K276" s="633">
        <v>152810</v>
      </c>
      <c r="L276" s="633">
        <f t="shared" si="12"/>
        <v>152810</v>
      </c>
      <c r="M276" s="633"/>
      <c r="N276" s="633">
        <v>433560</v>
      </c>
      <c r="O276" s="633">
        <v>2247</v>
      </c>
      <c r="P276" s="633">
        <v>1665234</v>
      </c>
      <c r="Q276" s="633">
        <v>0</v>
      </c>
      <c r="R276" s="633">
        <f t="shared" si="13"/>
        <v>2101041</v>
      </c>
      <c r="S276" s="633"/>
      <c r="T276" s="633">
        <f t="shared" si="14"/>
        <v>299786</v>
      </c>
      <c r="U276" s="633">
        <v>30560</v>
      </c>
      <c r="V276" s="633">
        <v>330346</v>
      </c>
      <c r="W276" s="635"/>
      <c r="X276" s="635"/>
      <c r="Y276" s="635"/>
      <c r="Z276" s="635"/>
      <c r="AA276" s="635"/>
      <c r="AB276" s="635"/>
      <c r="AC276" s="635"/>
      <c r="AD276" s="635"/>
      <c r="AE276" s="636"/>
      <c r="AF276" s="636"/>
      <c r="AG276" s="636"/>
      <c r="AH276" s="636"/>
      <c r="AI276" s="636"/>
      <c r="AJ276" s="636"/>
      <c r="AK276" s="636"/>
      <c r="AL276" s="636"/>
    </row>
    <row r="277" spans="1:38" hidden="1" x14ac:dyDescent="0.25">
      <c r="A277" s="634">
        <v>39204</v>
      </c>
      <c r="B277" s="632" t="s">
        <v>1472</v>
      </c>
      <c r="C277" s="656">
        <v>1.17E-4</v>
      </c>
      <c r="D277" s="656">
        <v>1.5699999999999999E-4</v>
      </c>
      <c r="E277" s="661">
        <v>126793</v>
      </c>
      <c r="F277" s="632">
        <v>5067074</v>
      </c>
      <c r="G277" s="633">
        <v>5162785</v>
      </c>
      <c r="H277" s="633">
        <v>0</v>
      </c>
      <c r="I277" s="633">
        <v>0</v>
      </c>
      <c r="J277" s="633">
        <v>0</v>
      </c>
      <c r="K277" s="633">
        <v>1467040</v>
      </c>
      <c r="L277" s="633">
        <f t="shared" si="12"/>
        <v>1467040</v>
      </c>
      <c r="M277" s="633"/>
      <c r="N277" s="633">
        <v>370181</v>
      </c>
      <c r="O277" s="633">
        <v>1919</v>
      </c>
      <c r="P277" s="633">
        <v>1421807</v>
      </c>
      <c r="Q277" s="633">
        <v>0</v>
      </c>
      <c r="R277" s="633">
        <f t="shared" si="13"/>
        <v>1793907</v>
      </c>
      <c r="S277" s="633"/>
      <c r="T277" s="633">
        <f t="shared" si="14"/>
        <v>255963</v>
      </c>
      <c r="U277" s="633">
        <v>293408</v>
      </c>
      <c r="V277" s="633">
        <v>549371</v>
      </c>
      <c r="W277" s="635"/>
      <c r="X277" s="635"/>
      <c r="Y277" s="635"/>
      <c r="Z277" s="635"/>
      <c r="AA277" s="635"/>
      <c r="AB277" s="635"/>
      <c r="AC277" s="635"/>
      <c r="AD277" s="635"/>
      <c r="AE277" s="636"/>
      <c r="AF277" s="636"/>
      <c r="AG277" s="636"/>
      <c r="AH277" s="636"/>
      <c r="AI277" s="636"/>
      <c r="AJ277" s="636"/>
      <c r="AK277" s="636"/>
      <c r="AL277" s="636"/>
    </row>
    <row r="278" spans="1:38" hidden="1" x14ac:dyDescent="0.25">
      <c r="A278" s="634">
        <v>39205</v>
      </c>
      <c r="B278" s="632" t="s">
        <v>1473</v>
      </c>
      <c r="C278" s="656">
        <v>4.3779999999999999E-3</v>
      </c>
      <c r="D278" s="656">
        <v>4.4520000000000002E-3</v>
      </c>
      <c r="E278" s="661">
        <v>4505955</v>
      </c>
      <c r="F278" s="632">
        <v>190464576</v>
      </c>
      <c r="G278" s="633">
        <v>145956593</v>
      </c>
      <c r="H278" s="633">
        <v>0</v>
      </c>
      <c r="I278" s="633">
        <v>0</v>
      </c>
      <c r="J278" s="633">
        <v>0</v>
      </c>
      <c r="K278" s="633">
        <v>2897545</v>
      </c>
      <c r="L278" s="633">
        <f t="shared" si="12"/>
        <v>2897545</v>
      </c>
      <c r="M278" s="633"/>
      <c r="N278" s="633">
        <v>10465356</v>
      </c>
      <c r="O278" s="633">
        <v>54244</v>
      </c>
      <c r="P278" s="633">
        <v>40195779</v>
      </c>
      <c r="Q278" s="633">
        <v>0</v>
      </c>
      <c r="R278" s="633">
        <f t="shared" si="13"/>
        <v>50715379</v>
      </c>
      <c r="S278" s="633"/>
      <c r="T278" s="633">
        <f t="shared" si="14"/>
        <v>7236294</v>
      </c>
      <c r="U278" s="633">
        <v>579513</v>
      </c>
      <c r="V278" s="633">
        <v>7815807</v>
      </c>
      <c r="W278" s="635"/>
      <c r="X278" s="635"/>
      <c r="Y278" s="635"/>
      <c r="Z278" s="635"/>
      <c r="AA278" s="635"/>
      <c r="AB278" s="635"/>
      <c r="AC278" s="635"/>
      <c r="AD278" s="635"/>
      <c r="AE278" s="636"/>
      <c r="AF278" s="636"/>
      <c r="AG278" s="636"/>
      <c r="AH278" s="636"/>
      <c r="AI278" s="636"/>
      <c r="AJ278" s="636"/>
      <c r="AK278" s="636"/>
      <c r="AL278" s="636"/>
    </row>
    <row r="279" spans="1:38" hidden="1" x14ac:dyDescent="0.25">
      <c r="A279" s="634">
        <v>39208</v>
      </c>
      <c r="B279" s="632" t="s">
        <v>1474</v>
      </c>
      <c r="C279" s="656">
        <v>3.6099999999999999E-4</v>
      </c>
      <c r="D279" s="656">
        <v>3.6200000000000002E-4</v>
      </c>
      <c r="E279" s="661">
        <v>269680</v>
      </c>
      <c r="F279" s="632">
        <v>15695302</v>
      </c>
      <c r="G279" s="633">
        <v>11860088</v>
      </c>
      <c r="H279" s="633">
        <v>0</v>
      </c>
      <c r="I279" s="633">
        <v>0</v>
      </c>
      <c r="J279" s="633">
        <v>0</v>
      </c>
      <c r="K279" s="633">
        <v>0</v>
      </c>
      <c r="L279" s="633">
        <f t="shared" si="12"/>
        <v>0</v>
      </c>
      <c r="M279" s="633"/>
      <c r="N279" s="633">
        <v>850390</v>
      </c>
      <c r="O279" s="633">
        <v>4408</v>
      </c>
      <c r="P279" s="633">
        <v>3266214</v>
      </c>
      <c r="Q279" s="633">
        <v>27105</v>
      </c>
      <c r="R279" s="633">
        <f t="shared" si="13"/>
        <v>4148117</v>
      </c>
      <c r="S279" s="633"/>
      <c r="T279" s="633">
        <f t="shared" si="14"/>
        <v>588004</v>
      </c>
      <c r="U279" s="633">
        <v>-5422</v>
      </c>
      <c r="V279" s="633">
        <v>582582</v>
      </c>
      <c r="W279" s="635"/>
      <c r="X279" s="635"/>
      <c r="Y279" s="635"/>
      <c r="Z279" s="635"/>
      <c r="AA279" s="635"/>
      <c r="AB279" s="635"/>
      <c r="AC279" s="635"/>
      <c r="AD279" s="635"/>
      <c r="AE279" s="636"/>
      <c r="AF279" s="636"/>
      <c r="AG279" s="636"/>
      <c r="AH279" s="636"/>
      <c r="AI279" s="636"/>
      <c r="AJ279" s="636"/>
      <c r="AK279" s="636"/>
      <c r="AL279" s="636"/>
    </row>
    <row r="280" spans="1:38" hidden="1" x14ac:dyDescent="0.25">
      <c r="A280" s="634">
        <v>39209</v>
      </c>
      <c r="B280" s="632" t="s">
        <v>1475</v>
      </c>
      <c r="C280" s="656">
        <v>1.7799999999999999E-4</v>
      </c>
      <c r="D280" s="656">
        <v>1.8599999999999999E-4</v>
      </c>
      <c r="E280" s="661">
        <v>140661</v>
      </c>
      <c r="F280" s="632">
        <v>7736162</v>
      </c>
      <c r="G280" s="633">
        <v>6111570</v>
      </c>
      <c r="H280" s="633">
        <v>0</v>
      </c>
      <c r="I280" s="633">
        <v>0</v>
      </c>
      <c r="J280" s="633">
        <v>0</v>
      </c>
      <c r="K280" s="633">
        <v>280540</v>
      </c>
      <c r="L280" s="633">
        <f t="shared" si="12"/>
        <v>280540</v>
      </c>
      <c r="M280" s="633"/>
      <c r="N280" s="633">
        <v>438211</v>
      </c>
      <c r="O280" s="633">
        <v>2271</v>
      </c>
      <c r="P280" s="633">
        <v>1683099</v>
      </c>
      <c r="Q280" s="633">
        <v>0</v>
      </c>
      <c r="R280" s="633">
        <f t="shared" si="13"/>
        <v>2123581</v>
      </c>
      <c r="S280" s="633"/>
      <c r="T280" s="633">
        <f t="shared" si="14"/>
        <v>303002</v>
      </c>
      <c r="U280" s="633">
        <v>56108</v>
      </c>
      <c r="V280" s="633">
        <v>359110</v>
      </c>
      <c r="W280" s="635"/>
      <c r="X280" s="635"/>
      <c r="Y280" s="635"/>
      <c r="Z280" s="635"/>
      <c r="AA280" s="635"/>
      <c r="AB280" s="635"/>
      <c r="AC280" s="635"/>
      <c r="AD280" s="635"/>
      <c r="AE280" s="636"/>
      <c r="AF280" s="636"/>
      <c r="AG280" s="636"/>
      <c r="AH280" s="636"/>
      <c r="AI280" s="636"/>
      <c r="AJ280" s="636"/>
      <c r="AK280" s="636"/>
      <c r="AL280" s="636"/>
    </row>
    <row r="281" spans="1:38" hidden="1" x14ac:dyDescent="0.25">
      <c r="A281" s="634">
        <v>39300</v>
      </c>
      <c r="B281" s="632" t="s">
        <v>1476</v>
      </c>
      <c r="C281" s="656">
        <v>8.4500000000000005E-4</v>
      </c>
      <c r="D281" s="656">
        <v>7.9799999999999999E-4</v>
      </c>
      <c r="E281" s="661">
        <v>751062</v>
      </c>
      <c r="F281" s="632">
        <v>36758380</v>
      </c>
      <c r="G281" s="633">
        <v>26150045</v>
      </c>
      <c r="H281" s="633">
        <v>0</v>
      </c>
      <c r="I281" s="633">
        <v>0</v>
      </c>
      <c r="J281" s="633">
        <v>0</v>
      </c>
      <c r="K281" s="633">
        <v>0</v>
      </c>
      <c r="L281" s="633">
        <f t="shared" si="12"/>
        <v>0</v>
      </c>
      <c r="M281" s="633"/>
      <c r="N281" s="633">
        <v>1875006</v>
      </c>
      <c r="O281" s="633">
        <v>9718</v>
      </c>
      <c r="P281" s="633">
        <v>7201603</v>
      </c>
      <c r="Q281" s="633">
        <v>1722850</v>
      </c>
      <c r="R281" s="633">
        <f t="shared" si="13"/>
        <v>10809177</v>
      </c>
      <c r="S281" s="633"/>
      <c r="T281" s="633">
        <f t="shared" si="14"/>
        <v>1296477</v>
      </c>
      <c r="U281" s="633">
        <v>-344573</v>
      </c>
      <c r="V281" s="633">
        <v>951904</v>
      </c>
      <c r="W281" s="635"/>
      <c r="X281" s="635"/>
      <c r="Y281" s="635"/>
      <c r="Z281" s="635"/>
      <c r="AA281" s="635"/>
      <c r="AB281" s="635"/>
      <c r="AC281" s="635"/>
      <c r="AD281" s="635"/>
      <c r="AE281" s="636"/>
      <c r="AF281" s="636"/>
      <c r="AG281" s="636"/>
      <c r="AH281" s="636"/>
      <c r="AI281" s="636"/>
      <c r="AJ281" s="636"/>
      <c r="AK281" s="636"/>
      <c r="AL281" s="636"/>
    </row>
    <row r="282" spans="1:38" hidden="1" x14ac:dyDescent="0.25">
      <c r="A282" s="634">
        <v>39301</v>
      </c>
      <c r="B282" s="632" t="s">
        <v>1477</v>
      </c>
      <c r="C282" s="656">
        <v>4.8000000000000001E-5</v>
      </c>
      <c r="D282" s="656">
        <v>5.7000000000000003E-5</v>
      </c>
      <c r="E282" s="661">
        <v>46898</v>
      </c>
      <c r="F282" s="632">
        <v>2106938</v>
      </c>
      <c r="G282" s="633">
        <v>1875079</v>
      </c>
      <c r="H282" s="633">
        <v>0</v>
      </c>
      <c r="I282" s="633">
        <v>0</v>
      </c>
      <c r="J282" s="633">
        <v>0</v>
      </c>
      <c r="K282" s="633">
        <v>311340</v>
      </c>
      <c r="L282" s="633">
        <f t="shared" si="12"/>
        <v>311340</v>
      </c>
      <c r="M282" s="633"/>
      <c r="N282" s="633">
        <v>134447</v>
      </c>
      <c r="O282" s="633">
        <v>697</v>
      </c>
      <c r="P282" s="633">
        <v>516388</v>
      </c>
      <c r="Q282" s="633">
        <v>0</v>
      </c>
      <c r="R282" s="633">
        <f t="shared" si="13"/>
        <v>651532</v>
      </c>
      <c r="S282" s="633"/>
      <c r="T282" s="633">
        <f t="shared" si="14"/>
        <v>92963</v>
      </c>
      <c r="U282" s="633">
        <v>62268</v>
      </c>
      <c r="V282" s="633">
        <v>155231</v>
      </c>
      <c r="W282" s="635"/>
      <c r="X282" s="635"/>
      <c r="Y282" s="635"/>
      <c r="Z282" s="635"/>
      <c r="AA282" s="635"/>
      <c r="AB282" s="635"/>
      <c r="AC282" s="635"/>
      <c r="AD282" s="635"/>
      <c r="AE282" s="636"/>
      <c r="AF282" s="636"/>
      <c r="AG282" s="636"/>
      <c r="AH282" s="636"/>
      <c r="AI282" s="636"/>
      <c r="AJ282" s="636"/>
      <c r="AK282" s="636"/>
      <c r="AL282" s="636"/>
    </row>
    <row r="283" spans="1:38" hidden="1" x14ac:dyDescent="0.25">
      <c r="A283" s="634">
        <v>39400</v>
      </c>
      <c r="B283" s="632" t="s">
        <v>1478</v>
      </c>
      <c r="C283" s="656">
        <v>5.6899999999999995E-4</v>
      </c>
      <c r="D283" s="656">
        <v>5.44E-4</v>
      </c>
      <c r="E283" s="661">
        <v>571664</v>
      </c>
      <c r="F283" s="632">
        <v>24740346</v>
      </c>
      <c r="G283" s="633">
        <v>17845774</v>
      </c>
      <c r="H283" s="633">
        <v>0</v>
      </c>
      <c r="I283" s="633">
        <v>0</v>
      </c>
      <c r="J283" s="633">
        <v>0</v>
      </c>
      <c r="K283" s="633">
        <v>0</v>
      </c>
      <c r="L283" s="633">
        <f t="shared" si="12"/>
        <v>0</v>
      </c>
      <c r="M283" s="633"/>
      <c r="N283" s="633">
        <v>1279575</v>
      </c>
      <c r="O283" s="633">
        <v>6632</v>
      </c>
      <c r="P283" s="633">
        <v>4914645</v>
      </c>
      <c r="Q283" s="633">
        <v>839020</v>
      </c>
      <c r="R283" s="633">
        <f t="shared" si="13"/>
        <v>7039872</v>
      </c>
      <c r="S283" s="633"/>
      <c r="T283" s="633">
        <f t="shared" si="14"/>
        <v>884765</v>
      </c>
      <c r="U283" s="633">
        <v>-167801</v>
      </c>
      <c r="V283" s="633">
        <v>716964</v>
      </c>
      <c r="W283" s="635"/>
      <c r="X283" s="635"/>
      <c r="Y283" s="635"/>
      <c r="Z283" s="635"/>
      <c r="AA283" s="635"/>
      <c r="AB283" s="635"/>
      <c r="AC283" s="635"/>
      <c r="AD283" s="635"/>
      <c r="AE283" s="636"/>
      <c r="AF283" s="636"/>
      <c r="AG283" s="636"/>
      <c r="AH283" s="636"/>
      <c r="AI283" s="636"/>
      <c r="AJ283" s="636"/>
      <c r="AK283" s="636"/>
      <c r="AL283" s="636"/>
    </row>
    <row r="284" spans="1:38" hidden="1" x14ac:dyDescent="0.25">
      <c r="A284" s="634">
        <v>39401</v>
      </c>
      <c r="B284" s="632" t="s">
        <v>1479</v>
      </c>
      <c r="C284" s="656">
        <v>1.9699999999999999E-4</v>
      </c>
      <c r="D284" s="656">
        <v>2.8499999999999999E-4</v>
      </c>
      <c r="E284" s="661">
        <v>204108</v>
      </c>
      <c r="F284" s="632">
        <v>8571277</v>
      </c>
      <c r="G284" s="633">
        <v>9358530</v>
      </c>
      <c r="H284" s="633">
        <v>0</v>
      </c>
      <c r="I284" s="633">
        <v>0</v>
      </c>
      <c r="J284" s="633">
        <v>0</v>
      </c>
      <c r="K284" s="633">
        <v>3149315</v>
      </c>
      <c r="L284" s="633">
        <f t="shared" si="12"/>
        <v>3149315</v>
      </c>
      <c r="M284" s="633"/>
      <c r="N284" s="633">
        <v>671024</v>
      </c>
      <c r="O284" s="633">
        <v>3478</v>
      </c>
      <c r="P284" s="633">
        <v>2577296</v>
      </c>
      <c r="Q284" s="633">
        <v>0</v>
      </c>
      <c r="R284" s="633">
        <f t="shared" si="13"/>
        <v>3251798</v>
      </c>
      <c r="S284" s="633"/>
      <c r="T284" s="633">
        <f t="shared" si="14"/>
        <v>463981</v>
      </c>
      <c r="U284" s="633">
        <v>629864</v>
      </c>
      <c r="V284" s="633">
        <v>1093845</v>
      </c>
      <c r="W284" s="635"/>
      <c r="X284" s="635"/>
      <c r="Y284" s="635"/>
      <c r="Z284" s="635"/>
      <c r="AA284" s="635"/>
      <c r="AB284" s="635"/>
      <c r="AC284" s="635"/>
      <c r="AD284" s="635"/>
      <c r="AE284" s="636"/>
      <c r="AF284" s="636"/>
      <c r="AG284" s="636"/>
      <c r="AH284" s="636"/>
      <c r="AI284" s="636"/>
      <c r="AJ284" s="636"/>
      <c r="AK284" s="636"/>
      <c r="AL284" s="636"/>
    </row>
    <row r="285" spans="1:38" hidden="1" x14ac:dyDescent="0.25">
      <c r="A285" s="634">
        <v>39500</v>
      </c>
      <c r="B285" s="632" t="s">
        <v>1480</v>
      </c>
      <c r="C285" s="656">
        <v>1.725E-3</v>
      </c>
      <c r="D285" s="656">
        <v>1.7979999999999999E-3</v>
      </c>
      <c r="E285" s="661">
        <v>1597594</v>
      </c>
      <c r="F285" s="632">
        <v>75034823</v>
      </c>
      <c r="G285" s="633">
        <v>58945383</v>
      </c>
      <c r="H285" s="633">
        <v>0</v>
      </c>
      <c r="I285" s="633">
        <v>0</v>
      </c>
      <c r="J285" s="633">
        <v>0</v>
      </c>
      <c r="K285" s="633">
        <v>2556185</v>
      </c>
      <c r="L285" s="633">
        <f t="shared" si="12"/>
        <v>2556185</v>
      </c>
      <c r="M285" s="633"/>
      <c r="N285" s="633">
        <v>4226492</v>
      </c>
      <c r="O285" s="633">
        <v>21907</v>
      </c>
      <c r="P285" s="633">
        <v>16233289</v>
      </c>
      <c r="Q285" s="633">
        <v>0</v>
      </c>
      <c r="R285" s="633">
        <f t="shared" si="13"/>
        <v>20481688</v>
      </c>
      <c r="S285" s="633"/>
      <c r="T285" s="633">
        <f t="shared" si="14"/>
        <v>2922417</v>
      </c>
      <c r="U285" s="633">
        <v>511240</v>
      </c>
      <c r="V285" s="633">
        <v>3433657</v>
      </c>
      <c r="W285" s="635"/>
      <c r="X285" s="635"/>
      <c r="Y285" s="635"/>
      <c r="Z285" s="635"/>
      <c r="AA285" s="635"/>
      <c r="AB285" s="635"/>
      <c r="AC285" s="635"/>
      <c r="AD285" s="635"/>
      <c r="AE285" s="636"/>
      <c r="AF285" s="636"/>
      <c r="AG285" s="636"/>
      <c r="AH285" s="636"/>
      <c r="AI285" s="636"/>
      <c r="AJ285" s="636"/>
      <c r="AK285" s="636"/>
      <c r="AL285" s="636"/>
    </row>
    <row r="286" spans="1:38" hidden="1" x14ac:dyDescent="0.25">
      <c r="A286" s="634">
        <v>39501</v>
      </c>
      <c r="B286" s="632" t="s">
        <v>1481</v>
      </c>
      <c r="C286" s="656">
        <v>5.7000000000000003E-5</v>
      </c>
      <c r="D286" s="656">
        <v>5.8E-5</v>
      </c>
      <c r="E286" s="661">
        <v>50228</v>
      </c>
      <c r="F286" s="632">
        <v>2469483</v>
      </c>
      <c r="G286" s="633">
        <v>1889920</v>
      </c>
      <c r="H286" s="633">
        <v>0</v>
      </c>
      <c r="I286" s="633">
        <v>0</v>
      </c>
      <c r="J286" s="633">
        <v>0</v>
      </c>
      <c r="K286" s="633">
        <v>28045</v>
      </c>
      <c r="L286" s="633">
        <f t="shared" si="12"/>
        <v>28045</v>
      </c>
      <c r="M286" s="633"/>
      <c r="N286" s="633">
        <v>135511</v>
      </c>
      <c r="O286" s="633">
        <v>702</v>
      </c>
      <c r="P286" s="633">
        <v>520475</v>
      </c>
      <c r="Q286" s="633">
        <v>0</v>
      </c>
      <c r="R286" s="633">
        <f t="shared" si="13"/>
        <v>656688</v>
      </c>
      <c r="S286" s="633"/>
      <c r="T286" s="633">
        <f t="shared" si="14"/>
        <v>93699</v>
      </c>
      <c r="U286" s="633">
        <v>5609</v>
      </c>
      <c r="V286" s="633">
        <v>99308</v>
      </c>
      <c r="W286" s="635"/>
      <c r="X286" s="635"/>
      <c r="Y286" s="635"/>
      <c r="Z286" s="635"/>
      <c r="AA286" s="635"/>
      <c r="AB286" s="635"/>
      <c r="AC286" s="635"/>
      <c r="AD286" s="635"/>
      <c r="AE286" s="636"/>
      <c r="AF286" s="636"/>
      <c r="AG286" s="636"/>
      <c r="AH286" s="636"/>
      <c r="AI286" s="636"/>
      <c r="AJ286" s="636"/>
      <c r="AK286" s="636"/>
      <c r="AL286" s="636"/>
    </row>
    <row r="287" spans="1:38" hidden="1" x14ac:dyDescent="0.25">
      <c r="A287" s="634">
        <v>39600</v>
      </c>
      <c r="B287" s="632" t="s">
        <v>1482</v>
      </c>
      <c r="C287" s="656">
        <v>5.574E-3</v>
      </c>
      <c r="D287" s="656">
        <v>5.8500000000000002E-3</v>
      </c>
      <c r="E287" s="661">
        <v>5456550</v>
      </c>
      <c r="F287" s="632">
        <v>242477716</v>
      </c>
      <c r="G287" s="633">
        <v>191786814</v>
      </c>
      <c r="H287" s="633">
        <v>0</v>
      </c>
      <c r="I287" s="633">
        <v>0</v>
      </c>
      <c r="J287" s="633">
        <v>0</v>
      </c>
      <c r="K287" s="633">
        <v>9914270</v>
      </c>
      <c r="L287" s="633">
        <f t="shared" si="12"/>
        <v>9914270</v>
      </c>
      <c r="M287" s="633"/>
      <c r="N287" s="633">
        <v>13751467</v>
      </c>
      <c r="O287" s="633">
        <v>71276</v>
      </c>
      <c r="P287" s="633">
        <v>52817213</v>
      </c>
      <c r="Q287" s="633">
        <v>0</v>
      </c>
      <c r="R287" s="633">
        <f t="shared" si="13"/>
        <v>66639956</v>
      </c>
      <c r="S287" s="633"/>
      <c r="T287" s="633">
        <f t="shared" si="14"/>
        <v>9508482</v>
      </c>
      <c r="U287" s="633">
        <v>1982853</v>
      </c>
      <c r="V287" s="633">
        <v>11491335</v>
      </c>
      <c r="W287" s="635"/>
      <c r="X287" s="635"/>
      <c r="Y287" s="635"/>
      <c r="Z287" s="635"/>
      <c r="AA287" s="635"/>
      <c r="AB287" s="635"/>
      <c r="AC287" s="635"/>
      <c r="AD287" s="635"/>
      <c r="AE287" s="636"/>
      <c r="AF287" s="636"/>
      <c r="AG287" s="636"/>
      <c r="AH287" s="636"/>
      <c r="AI287" s="636"/>
      <c r="AJ287" s="636"/>
      <c r="AK287" s="636"/>
      <c r="AL287" s="636"/>
    </row>
    <row r="288" spans="1:38" hidden="1" x14ac:dyDescent="0.25">
      <c r="A288" s="634">
        <v>39605</v>
      </c>
      <c r="B288" s="632" t="s">
        <v>1483</v>
      </c>
      <c r="C288" s="656">
        <v>8.0199999999999998E-4</v>
      </c>
      <c r="D288" s="656">
        <v>7.8799999999999996E-4</v>
      </c>
      <c r="E288" s="661">
        <v>808650</v>
      </c>
      <c r="F288" s="632">
        <v>34892598</v>
      </c>
      <c r="G288" s="633">
        <v>25826219</v>
      </c>
      <c r="H288" s="633">
        <v>0</v>
      </c>
      <c r="I288" s="633">
        <v>0</v>
      </c>
      <c r="J288" s="633">
        <v>0</v>
      </c>
      <c r="K288" s="633">
        <v>0</v>
      </c>
      <c r="L288" s="633">
        <f t="shared" si="12"/>
        <v>0</v>
      </c>
      <c r="M288" s="633"/>
      <c r="N288" s="633">
        <v>1851787</v>
      </c>
      <c r="O288" s="633">
        <v>9598</v>
      </c>
      <c r="P288" s="633">
        <v>7112423</v>
      </c>
      <c r="Q288" s="633">
        <v>470285</v>
      </c>
      <c r="R288" s="633">
        <f t="shared" si="13"/>
        <v>9444093</v>
      </c>
      <c r="S288" s="633"/>
      <c r="T288" s="633">
        <f t="shared" si="14"/>
        <v>1280422</v>
      </c>
      <c r="U288" s="633">
        <v>-94058</v>
      </c>
      <c r="V288" s="633">
        <v>1186364</v>
      </c>
      <c r="W288" s="635"/>
      <c r="X288" s="635"/>
      <c r="Y288" s="635"/>
      <c r="Z288" s="635"/>
      <c r="AA288" s="635"/>
      <c r="AB288" s="635"/>
      <c r="AC288" s="635"/>
      <c r="AD288" s="635"/>
      <c r="AE288" s="636"/>
      <c r="AF288" s="636"/>
      <c r="AG288" s="636"/>
      <c r="AH288" s="636"/>
      <c r="AI288" s="636"/>
      <c r="AJ288" s="636"/>
      <c r="AK288" s="636"/>
      <c r="AL288" s="636"/>
    </row>
    <row r="289" spans="1:38" hidden="1" x14ac:dyDescent="0.25">
      <c r="A289" s="634">
        <v>39700</v>
      </c>
      <c r="B289" s="632" t="s">
        <v>1484</v>
      </c>
      <c r="C289" s="656">
        <v>3.3779999999999999E-3</v>
      </c>
      <c r="D289" s="656">
        <v>3.4359999999999998E-3</v>
      </c>
      <c r="E289" s="661">
        <v>3011694</v>
      </c>
      <c r="F289" s="632">
        <v>146936988</v>
      </c>
      <c r="G289" s="633">
        <v>112661025</v>
      </c>
      <c r="H289" s="633">
        <v>0</v>
      </c>
      <c r="I289" s="633">
        <v>0</v>
      </c>
      <c r="J289" s="633">
        <v>0</v>
      </c>
      <c r="K289" s="633">
        <v>1913650</v>
      </c>
      <c r="L289" s="633">
        <f t="shared" si="12"/>
        <v>1913650</v>
      </c>
      <c r="M289" s="633"/>
      <c r="N289" s="633">
        <v>8078003</v>
      </c>
      <c r="O289" s="633">
        <v>41870</v>
      </c>
      <c r="P289" s="633">
        <v>31026332</v>
      </c>
      <c r="Q289" s="633">
        <v>0</v>
      </c>
      <c r="R289" s="633">
        <f t="shared" si="13"/>
        <v>39146205</v>
      </c>
      <c r="S289" s="633"/>
      <c r="T289" s="633">
        <f t="shared" si="14"/>
        <v>5585553</v>
      </c>
      <c r="U289" s="633">
        <v>382733</v>
      </c>
      <c r="V289" s="633">
        <v>5968286</v>
      </c>
      <c r="W289" s="635"/>
      <c r="X289" s="635"/>
      <c r="Y289" s="635"/>
      <c r="Z289" s="635"/>
      <c r="AA289" s="635"/>
      <c r="AB289" s="635"/>
      <c r="AC289" s="635"/>
      <c r="AD289" s="635"/>
      <c r="AE289" s="636"/>
      <c r="AF289" s="636"/>
      <c r="AG289" s="636"/>
      <c r="AH289" s="636"/>
      <c r="AI289" s="636"/>
      <c r="AJ289" s="636"/>
      <c r="AK289" s="636"/>
      <c r="AL289" s="636"/>
    </row>
    <row r="290" spans="1:38" hidden="1" x14ac:dyDescent="0.25">
      <c r="A290" s="634">
        <v>39703</v>
      </c>
      <c r="B290" s="632" t="s">
        <v>1485</v>
      </c>
      <c r="C290" s="656">
        <v>1.05E-4</v>
      </c>
      <c r="D290" s="656">
        <v>1.3999999999999999E-4</v>
      </c>
      <c r="E290" s="661">
        <v>103237</v>
      </c>
      <c r="F290" s="632">
        <v>4579289</v>
      </c>
      <c r="G290" s="633">
        <v>4599680</v>
      </c>
      <c r="H290" s="633">
        <v>0</v>
      </c>
      <c r="I290" s="633">
        <v>0</v>
      </c>
      <c r="J290" s="633">
        <v>0</v>
      </c>
      <c r="K290" s="633">
        <v>1244855</v>
      </c>
      <c r="L290" s="633">
        <f t="shared" si="12"/>
        <v>1244855</v>
      </c>
      <c r="M290" s="633"/>
      <c r="N290" s="633">
        <v>329805</v>
      </c>
      <c r="O290" s="633">
        <v>1709</v>
      </c>
      <c r="P290" s="633">
        <v>1266731</v>
      </c>
      <c r="Q290" s="633">
        <v>0</v>
      </c>
      <c r="R290" s="633">
        <f t="shared" si="13"/>
        <v>1598245</v>
      </c>
      <c r="S290" s="633"/>
      <c r="T290" s="633">
        <f t="shared" si="14"/>
        <v>228045</v>
      </c>
      <c r="U290" s="633">
        <v>248973</v>
      </c>
      <c r="V290" s="633">
        <v>477018</v>
      </c>
      <c r="W290" s="635"/>
      <c r="X290" s="635"/>
      <c r="Y290" s="635"/>
      <c r="Z290" s="635"/>
      <c r="AA290" s="635"/>
      <c r="AB290" s="635"/>
      <c r="AC290" s="635"/>
      <c r="AD290" s="635"/>
      <c r="AE290" s="636"/>
      <c r="AF290" s="636"/>
      <c r="AG290" s="636"/>
      <c r="AH290" s="636"/>
      <c r="AI290" s="636"/>
      <c r="AJ290" s="636"/>
      <c r="AK290" s="636"/>
      <c r="AL290" s="636"/>
    </row>
    <row r="291" spans="1:38" hidden="1" x14ac:dyDescent="0.25">
      <c r="A291" s="634">
        <v>39705</v>
      </c>
      <c r="B291" s="632" t="s">
        <v>1486</v>
      </c>
      <c r="C291" s="656">
        <v>7.9299999999999998E-4</v>
      </c>
      <c r="D291" s="656">
        <v>7.4700000000000005E-4</v>
      </c>
      <c r="E291" s="661">
        <v>792758</v>
      </c>
      <c r="F291" s="632">
        <v>34482795</v>
      </c>
      <c r="G291" s="633">
        <v>24476663</v>
      </c>
      <c r="H291" s="633">
        <v>0</v>
      </c>
      <c r="I291" s="633">
        <v>0</v>
      </c>
      <c r="J291" s="633">
        <v>0</v>
      </c>
      <c r="K291" s="633">
        <v>0</v>
      </c>
      <c r="L291" s="633">
        <f t="shared" si="12"/>
        <v>0</v>
      </c>
      <c r="M291" s="633"/>
      <c r="N291" s="633">
        <v>1755022</v>
      </c>
      <c r="O291" s="633">
        <v>9097</v>
      </c>
      <c r="P291" s="633">
        <v>6740761</v>
      </c>
      <c r="Q291" s="633">
        <v>1601675</v>
      </c>
      <c r="R291" s="633">
        <f t="shared" si="13"/>
        <v>10106555</v>
      </c>
      <c r="S291" s="633"/>
      <c r="T291" s="633">
        <f t="shared" si="14"/>
        <v>1213514</v>
      </c>
      <c r="U291" s="633">
        <v>-320334</v>
      </c>
      <c r="V291" s="633">
        <v>893180</v>
      </c>
      <c r="W291" s="635"/>
      <c r="X291" s="635"/>
      <c r="Y291" s="635"/>
      <c r="Z291" s="635"/>
      <c r="AA291" s="635"/>
      <c r="AB291" s="635"/>
      <c r="AC291" s="635"/>
      <c r="AD291" s="635"/>
      <c r="AE291" s="636"/>
      <c r="AF291" s="636"/>
      <c r="AG291" s="636"/>
      <c r="AH291" s="636"/>
      <c r="AI291" s="636"/>
      <c r="AJ291" s="636"/>
      <c r="AK291" s="636"/>
      <c r="AL291" s="636"/>
    </row>
    <row r="292" spans="1:38" hidden="1" x14ac:dyDescent="0.25">
      <c r="A292" s="634">
        <v>39800</v>
      </c>
      <c r="B292" s="632" t="s">
        <v>1487</v>
      </c>
      <c r="C292" s="656">
        <v>3.738E-3</v>
      </c>
      <c r="D292" s="656">
        <v>3.8010000000000001E-3</v>
      </c>
      <c r="E292" s="661">
        <v>3511032</v>
      </c>
      <c r="F292" s="632">
        <v>162616721</v>
      </c>
      <c r="G292" s="633">
        <v>124608101</v>
      </c>
      <c r="H292" s="633">
        <v>0</v>
      </c>
      <c r="I292" s="633">
        <v>0</v>
      </c>
      <c r="J292" s="633">
        <v>0</v>
      </c>
      <c r="K292" s="633">
        <v>2184990</v>
      </c>
      <c r="L292" s="633">
        <f t="shared" si="12"/>
        <v>2184990</v>
      </c>
      <c r="M292" s="633"/>
      <c r="N292" s="633">
        <v>8934630</v>
      </c>
      <c r="O292" s="633">
        <v>46310</v>
      </c>
      <c r="P292" s="633">
        <v>34316502</v>
      </c>
      <c r="Q292" s="633">
        <v>0</v>
      </c>
      <c r="R292" s="633">
        <f t="shared" si="13"/>
        <v>43297442</v>
      </c>
      <c r="S292" s="633"/>
      <c r="T292" s="633">
        <f t="shared" si="14"/>
        <v>6177870</v>
      </c>
      <c r="U292" s="633">
        <v>436994</v>
      </c>
      <c r="V292" s="633">
        <v>6614864</v>
      </c>
      <c r="W292" s="635"/>
      <c r="X292" s="635"/>
      <c r="Y292" s="635"/>
      <c r="Z292" s="635"/>
      <c r="AA292" s="635"/>
      <c r="AB292" s="635"/>
      <c r="AC292" s="635"/>
      <c r="AD292" s="635"/>
      <c r="AE292" s="636"/>
      <c r="AF292" s="636"/>
      <c r="AG292" s="636"/>
      <c r="AH292" s="636"/>
      <c r="AI292" s="636"/>
      <c r="AJ292" s="636"/>
      <c r="AK292" s="636"/>
      <c r="AL292" s="636"/>
    </row>
    <row r="293" spans="1:38" hidden="1" x14ac:dyDescent="0.25">
      <c r="A293" s="634">
        <v>39805</v>
      </c>
      <c r="B293" s="632" t="s">
        <v>1488</v>
      </c>
      <c r="C293" s="656">
        <v>4.2000000000000002E-4</v>
      </c>
      <c r="D293" s="656">
        <v>4.1399999999999998E-4</v>
      </c>
      <c r="E293" s="661">
        <v>444300</v>
      </c>
      <c r="F293" s="632">
        <v>18289854</v>
      </c>
      <c r="G293" s="633">
        <v>13581219</v>
      </c>
      <c r="H293" s="633">
        <v>0</v>
      </c>
      <c r="I293" s="633">
        <v>0</v>
      </c>
      <c r="J293" s="633">
        <v>0</v>
      </c>
      <c r="K293" s="633">
        <v>0</v>
      </c>
      <c r="L293" s="633">
        <f t="shared" si="12"/>
        <v>0</v>
      </c>
      <c r="M293" s="633"/>
      <c r="N293" s="633">
        <v>973798</v>
      </c>
      <c r="O293" s="633">
        <v>5047</v>
      </c>
      <c r="P293" s="633">
        <v>3740206</v>
      </c>
      <c r="Q293" s="633">
        <v>182180</v>
      </c>
      <c r="R293" s="633">
        <f t="shared" si="13"/>
        <v>4901231</v>
      </c>
      <c r="S293" s="633"/>
      <c r="T293" s="633">
        <f t="shared" si="14"/>
        <v>673335</v>
      </c>
      <c r="U293" s="633">
        <v>-36438</v>
      </c>
      <c r="V293" s="633">
        <v>636897</v>
      </c>
      <c r="W293" s="635"/>
      <c r="X293" s="635"/>
      <c r="Y293" s="635"/>
      <c r="Z293" s="635"/>
      <c r="AA293" s="635"/>
      <c r="AB293" s="635"/>
      <c r="AC293" s="635"/>
      <c r="AD293" s="635"/>
      <c r="AE293" s="636"/>
      <c r="AF293" s="636"/>
      <c r="AG293" s="636"/>
      <c r="AH293" s="636"/>
      <c r="AI293" s="636"/>
      <c r="AJ293" s="636"/>
      <c r="AK293" s="636"/>
      <c r="AL293" s="636"/>
    </row>
    <row r="294" spans="1:38" hidden="1" x14ac:dyDescent="0.25">
      <c r="A294" s="634">
        <v>39900</v>
      </c>
      <c r="B294" s="632" t="s">
        <v>1489</v>
      </c>
      <c r="C294" s="656">
        <v>1.846E-3</v>
      </c>
      <c r="D294" s="656">
        <v>1.933E-3</v>
      </c>
      <c r="E294" s="661">
        <v>1788994</v>
      </c>
      <c r="F294" s="632">
        <v>80317095</v>
      </c>
      <c r="G294" s="633">
        <v>63360414</v>
      </c>
      <c r="H294" s="633">
        <v>0</v>
      </c>
      <c r="I294" s="633">
        <v>0</v>
      </c>
      <c r="J294" s="633">
        <v>0</v>
      </c>
      <c r="K294" s="633">
        <v>3088980</v>
      </c>
      <c r="L294" s="633">
        <f t="shared" si="12"/>
        <v>3088980</v>
      </c>
      <c r="M294" s="633"/>
      <c r="N294" s="633">
        <v>4543058</v>
      </c>
      <c r="O294" s="633">
        <v>23547</v>
      </c>
      <c r="P294" s="633">
        <v>17449169</v>
      </c>
      <c r="Q294" s="633">
        <v>0</v>
      </c>
      <c r="R294" s="633">
        <f t="shared" si="13"/>
        <v>22015774</v>
      </c>
      <c r="S294" s="633"/>
      <c r="T294" s="633">
        <f t="shared" si="14"/>
        <v>3141308</v>
      </c>
      <c r="U294" s="633">
        <v>617800</v>
      </c>
      <c r="V294" s="633">
        <v>3759108</v>
      </c>
      <c r="W294" s="635"/>
      <c r="X294" s="635"/>
      <c r="Y294" s="635"/>
      <c r="Z294" s="635"/>
      <c r="AA294" s="635"/>
      <c r="AB294" s="635"/>
      <c r="AC294" s="635"/>
      <c r="AD294" s="635"/>
      <c r="AE294" s="636"/>
      <c r="AF294" s="636"/>
      <c r="AG294" s="636"/>
      <c r="AH294" s="636"/>
      <c r="AI294" s="636"/>
      <c r="AJ294" s="636"/>
      <c r="AK294" s="636"/>
      <c r="AL294" s="636"/>
    </row>
    <row r="295" spans="1:38" hidden="1" x14ac:dyDescent="0.25">
      <c r="A295" s="634">
        <v>40000</v>
      </c>
      <c r="B295" s="632" t="s">
        <v>1490</v>
      </c>
      <c r="C295" s="656">
        <v>2.9910000000000002E-3</v>
      </c>
      <c r="D295" s="656">
        <v>2.689E-3</v>
      </c>
      <c r="E295" s="661">
        <v>4229297</v>
      </c>
      <c r="F295" s="632">
        <v>130135168</v>
      </c>
      <c r="G295" s="633">
        <v>88177756</v>
      </c>
      <c r="H295" s="633">
        <v>0</v>
      </c>
      <c r="I295" s="633">
        <v>0</v>
      </c>
      <c r="J295" s="633">
        <v>0</v>
      </c>
      <c r="K295" s="633">
        <v>0</v>
      </c>
      <c r="L295" s="633">
        <f t="shared" si="12"/>
        <v>0</v>
      </c>
      <c r="M295" s="633"/>
      <c r="N295" s="633">
        <v>6322507</v>
      </c>
      <c r="O295" s="633">
        <v>32771</v>
      </c>
      <c r="P295" s="633">
        <v>24283751</v>
      </c>
      <c r="Q295" s="633">
        <v>9550665</v>
      </c>
      <c r="R295" s="633">
        <f t="shared" si="13"/>
        <v>40189694</v>
      </c>
      <c r="S295" s="633"/>
      <c r="T295" s="633">
        <f t="shared" si="14"/>
        <v>4371712</v>
      </c>
      <c r="U295" s="633">
        <v>-1910133</v>
      </c>
      <c r="V295" s="633">
        <v>2461579</v>
      </c>
      <c r="W295" s="635"/>
      <c r="X295" s="635"/>
      <c r="Y295" s="635"/>
      <c r="Z295" s="635"/>
      <c r="AA295" s="635"/>
      <c r="AB295" s="635"/>
      <c r="AC295" s="635"/>
      <c r="AD295" s="635"/>
      <c r="AE295" s="636"/>
      <c r="AF295" s="636"/>
      <c r="AG295" s="636"/>
      <c r="AH295" s="636"/>
      <c r="AI295" s="636"/>
      <c r="AJ295" s="636"/>
      <c r="AK295" s="636"/>
      <c r="AL295" s="636"/>
    </row>
    <row r="296" spans="1:38" hidden="1" x14ac:dyDescent="0.25">
      <c r="A296" s="634">
        <v>51000</v>
      </c>
      <c r="B296" s="632" t="s">
        <v>1491</v>
      </c>
      <c r="C296" s="656">
        <v>2.8162E-2</v>
      </c>
      <c r="D296" s="656">
        <v>2.6616999999999998E-2</v>
      </c>
      <c r="E296" s="661">
        <v>30722249</v>
      </c>
      <c r="F296" s="632">
        <v>1225158068</v>
      </c>
      <c r="G296" s="633">
        <v>872679928</v>
      </c>
      <c r="H296" s="633">
        <v>0</v>
      </c>
      <c r="I296" s="633">
        <v>0</v>
      </c>
      <c r="J296" s="633">
        <v>0</v>
      </c>
      <c r="K296" s="633">
        <v>0</v>
      </c>
      <c r="L296" s="633">
        <f t="shared" si="12"/>
        <v>0</v>
      </c>
      <c r="M296" s="633"/>
      <c r="N296" s="633">
        <v>62572756</v>
      </c>
      <c r="O296" s="633">
        <v>324326</v>
      </c>
      <c r="P296" s="633">
        <v>240332068</v>
      </c>
      <c r="Q296" s="633">
        <v>52120280</v>
      </c>
      <c r="R296" s="633">
        <f t="shared" si="13"/>
        <v>355349430</v>
      </c>
      <c r="S296" s="633"/>
      <c r="T296" s="633">
        <f t="shared" si="14"/>
        <v>43266070</v>
      </c>
      <c r="U296" s="633">
        <v>-10424057</v>
      </c>
      <c r="V296" s="633">
        <v>32842013</v>
      </c>
      <c r="W296" s="635"/>
      <c r="X296" s="635"/>
      <c r="Y296" s="635"/>
      <c r="Z296" s="635"/>
      <c r="AA296" s="635"/>
      <c r="AB296" s="635"/>
      <c r="AC296" s="635"/>
      <c r="AD296" s="635"/>
      <c r="AE296" s="636"/>
      <c r="AF296" s="636"/>
      <c r="AG296" s="636"/>
      <c r="AH296" s="636"/>
      <c r="AI296" s="636"/>
      <c r="AJ296" s="636"/>
      <c r="AK296" s="636"/>
      <c r="AL296" s="636"/>
    </row>
    <row r="297" spans="1:38" s="705" customFormat="1" hidden="1" x14ac:dyDescent="0.25">
      <c r="A297" s="637">
        <v>51000.1</v>
      </c>
      <c r="B297" s="638" t="s">
        <v>1492</v>
      </c>
      <c r="C297" s="701">
        <v>1.5E-5</v>
      </c>
      <c r="D297" s="701">
        <v>1.5999999999999999E-5</v>
      </c>
      <c r="E297" s="702">
        <v>0</v>
      </c>
      <c r="F297" s="638">
        <v>662298</v>
      </c>
      <c r="G297" s="639">
        <v>523596</v>
      </c>
      <c r="H297" s="639">
        <v>0</v>
      </c>
      <c r="I297" s="639">
        <v>0</v>
      </c>
      <c r="J297" s="639">
        <v>0</v>
      </c>
      <c r="K297" s="639">
        <v>35715</v>
      </c>
      <c r="L297" s="639">
        <f t="shared" si="12"/>
        <v>35715</v>
      </c>
      <c r="M297" s="639"/>
      <c r="N297" s="639">
        <v>37543</v>
      </c>
      <c r="O297" s="639">
        <v>195</v>
      </c>
      <c r="P297" s="639">
        <v>144196</v>
      </c>
      <c r="Q297" s="639">
        <v>0</v>
      </c>
      <c r="R297" s="639">
        <f t="shared" si="13"/>
        <v>181934</v>
      </c>
      <c r="S297" s="639"/>
      <c r="T297" s="639">
        <f t="shared" si="14"/>
        <v>25959</v>
      </c>
      <c r="U297" s="639">
        <v>7145</v>
      </c>
      <c r="V297" s="639">
        <v>33104</v>
      </c>
      <c r="W297" s="703"/>
      <c r="X297" s="703"/>
      <c r="Y297" s="703"/>
      <c r="Z297" s="703"/>
      <c r="AA297" s="703"/>
      <c r="AB297" s="703"/>
      <c r="AC297" s="703"/>
      <c r="AD297" s="703"/>
      <c r="AE297" s="704"/>
      <c r="AF297" s="704"/>
      <c r="AG297" s="704"/>
      <c r="AH297" s="704"/>
      <c r="AI297" s="704"/>
      <c r="AJ297" s="704"/>
      <c r="AK297" s="704"/>
      <c r="AL297" s="704"/>
    </row>
    <row r="298" spans="1:38" s="705" customFormat="1" hidden="1" x14ac:dyDescent="0.25">
      <c r="A298" s="637">
        <v>51000.2</v>
      </c>
      <c r="B298" s="638" t="s">
        <v>1493</v>
      </c>
      <c r="C298" s="701">
        <v>6.0599999999999998E-4</v>
      </c>
      <c r="D298" s="701">
        <v>6.1399999999999996E-4</v>
      </c>
      <c r="E298" s="702">
        <v>0</v>
      </c>
      <c r="F298" s="638">
        <v>26359384</v>
      </c>
      <c r="G298" s="639">
        <v>20123893</v>
      </c>
      <c r="H298" s="639">
        <v>0</v>
      </c>
      <c r="I298" s="639">
        <v>0</v>
      </c>
      <c r="J298" s="639">
        <v>0</v>
      </c>
      <c r="K298" s="639">
        <v>404300</v>
      </c>
      <c r="L298" s="639">
        <f t="shared" si="12"/>
        <v>404300</v>
      </c>
      <c r="M298" s="639"/>
      <c r="N298" s="639">
        <v>1442920</v>
      </c>
      <c r="O298" s="639">
        <v>7479</v>
      </c>
      <c r="P298" s="639">
        <v>5542028</v>
      </c>
      <c r="Q298" s="639">
        <v>0</v>
      </c>
      <c r="R298" s="639">
        <f t="shared" si="13"/>
        <v>6992427</v>
      </c>
      <c r="S298" s="639"/>
      <c r="T298" s="639">
        <f t="shared" si="14"/>
        <v>997710</v>
      </c>
      <c r="U298" s="639">
        <v>80863</v>
      </c>
      <c r="V298" s="639">
        <v>1078573</v>
      </c>
      <c r="W298" s="703"/>
      <c r="X298" s="703"/>
      <c r="Y298" s="703"/>
      <c r="Z298" s="703"/>
      <c r="AA298" s="703"/>
      <c r="AB298" s="703"/>
      <c r="AC298" s="703"/>
      <c r="AD298" s="703"/>
      <c r="AE298" s="704"/>
      <c r="AF298" s="704"/>
      <c r="AG298" s="704"/>
      <c r="AH298" s="704"/>
      <c r="AI298" s="704"/>
      <c r="AJ298" s="704"/>
      <c r="AK298" s="704"/>
      <c r="AL298" s="704"/>
    </row>
    <row r="299" spans="1:38" hidden="1" x14ac:dyDescent="0.25">
      <c r="A299" s="634">
        <v>60000</v>
      </c>
      <c r="B299" s="632" t="s">
        <v>1494</v>
      </c>
      <c r="C299" s="656">
        <v>1.44E-4</v>
      </c>
      <c r="D299" s="656">
        <v>1.1400000000000001E-4</v>
      </c>
      <c r="E299" s="661">
        <v>210031</v>
      </c>
      <c r="F299" s="632">
        <v>6242641</v>
      </c>
      <c r="G299" s="633">
        <v>3725775</v>
      </c>
      <c r="H299" s="633">
        <v>0</v>
      </c>
      <c r="I299" s="633">
        <v>0</v>
      </c>
      <c r="J299" s="633">
        <v>0</v>
      </c>
      <c r="K299" s="633">
        <v>0</v>
      </c>
      <c r="L299" s="633">
        <f t="shared" si="12"/>
        <v>0</v>
      </c>
      <c r="M299" s="633"/>
      <c r="N299" s="633">
        <v>267145</v>
      </c>
      <c r="O299" s="633">
        <v>1385</v>
      </c>
      <c r="P299" s="633">
        <v>1026061</v>
      </c>
      <c r="Q299" s="633">
        <v>997465</v>
      </c>
      <c r="R299" s="633">
        <f t="shared" si="13"/>
        <v>2292056</v>
      </c>
      <c r="S299" s="633"/>
      <c r="T299" s="633">
        <f t="shared" si="14"/>
        <v>184718</v>
      </c>
      <c r="U299" s="633">
        <v>-199497</v>
      </c>
      <c r="V299" s="633">
        <v>-14779</v>
      </c>
      <c r="W299" s="635"/>
      <c r="X299" s="635"/>
      <c r="Y299" s="635"/>
      <c r="Z299" s="635"/>
      <c r="AA299" s="635"/>
      <c r="AB299" s="635"/>
      <c r="AC299" s="635"/>
      <c r="AD299" s="635"/>
      <c r="AE299" s="636"/>
      <c r="AF299" s="636"/>
      <c r="AG299" s="636"/>
      <c r="AH299" s="636"/>
      <c r="AI299" s="636"/>
      <c r="AJ299" s="636"/>
      <c r="AK299" s="636"/>
      <c r="AL299" s="636"/>
    </row>
    <row r="300" spans="1:38" hidden="1" x14ac:dyDescent="0.25">
      <c r="A300" s="634">
        <v>90901</v>
      </c>
      <c r="B300" s="632" t="s">
        <v>1495</v>
      </c>
      <c r="C300" s="656">
        <v>7.1500000000000003E-4</v>
      </c>
      <c r="D300" s="656">
        <v>8.1599999999999999E-4</v>
      </c>
      <c r="E300" s="661">
        <v>775810</v>
      </c>
      <c r="F300" s="632">
        <v>31096883</v>
      </c>
      <c r="G300" s="633">
        <v>26753885</v>
      </c>
      <c r="H300" s="633">
        <v>0</v>
      </c>
      <c r="I300" s="633">
        <v>0</v>
      </c>
      <c r="J300" s="633">
        <v>0</v>
      </c>
      <c r="K300" s="633">
        <v>3668780</v>
      </c>
      <c r="L300" s="633">
        <f t="shared" si="12"/>
        <v>3668780</v>
      </c>
      <c r="M300" s="633"/>
      <c r="N300" s="633">
        <v>1918303</v>
      </c>
      <c r="O300" s="633">
        <v>9943</v>
      </c>
      <c r="P300" s="633">
        <v>7367898</v>
      </c>
      <c r="Q300" s="633">
        <v>0</v>
      </c>
      <c r="R300" s="633">
        <f t="shared" si="13"/>
        <v>9296144</v>
      </c>
      <c r="S300" s="633"/>
      <c r="T300" s="633">
        <f t="shared" si="14"/>
        <v>1326415</v>
      </c>
      <c r="U300" s="633">
        <v>733761</v>
      </c>
      <c r="V300" s="633">
        <v>2060176</v>
      </c>
      <c r="W300" s="635"/>
      <c r="X300" s="635"/>
      <c r="Y300" s="635"/>
      <c r="Z300" s="635"/>
      <c r="AA300" s="635"/>
      <c r="AB300" s="635"/>
      <c r="AC300" s="635"/>
      <c r="AD300" s="635"/>
      <c r="AE300" s="636"/>
      <c r="AF300" s="636"/>
      <c r="AG300" s="636"/>
      <c r="AH300" s="636"/>
      <c r="AI300" s="636"/>
      <c r="AJ300" s="636"/>
      <c r="AK300" s="636"/>
      <c r="AL300" s="636"/>
    </row>
    <row r="301" spans="1:38" hidden="1" x14ac:dyDescent="0.25">
      <c r="A301" s="634">
        <v>91041</v>
      </c>
      <c r="B301" s="632" t="s">
        <v>1496</v>
      </c>
      <c r="C301" s="656">
        <v>1.2999999999999999E-4</v>
      </c>
      <c r="D301" s="656">
        <v>1.4899999999999999E-4</v>
      </c>
      <c r="E301" s="661">
        <v>123098</v>
      </c>
      <c r="F301" s="632">
        <v>5639786</v>
      </c>
      <c r="G301" s="633">
        <v>4886483</v>
      </c>
      <c r="H301" s="633">
        <v>0</v>
      </c>
      <c r="I301" s="633">
        <v>0</v>
      </c>
      <c r="J301" s="633">
        <v>0</v>
      </c>
      <c r="K301" s="633">
        <v>687860</v>
      </c>
      <c r="L301" s="633">
        <f t="shared" si="12"/>
        <v>687860</v>
      </c>
      <c r="M301" s="633"/>
      <c r="N301" s="633">
        <v>350370</v>
      </c>
      <c r="O301" s="633">
        <v>1816</v>
      </c>
      <c r="P301" s="633">
        <v>1345715</v>
      </c>
      <c r="Q301" s="633">
        <v>0</v>
      </c>
      <c r="R301" s="633">
        <f t="shared" si="13"/>
        <v>1697901</v>
      </c>
      <c r="S301" s="633"/>
      <c r="T301" s="633">
        <f t="shared" si="14"/>
        <v>242264</v>
      </c>
      <c r="U301" s="633">
        <v>137572</v>
      </c>
      <c r="V301" s="633">
        <v>379836</v>
      </c>
      <c r="W301" s="635"/>
      <c r="X301" s="635"/>
      <c r="Y301" s="635"/>
      <c r="Z301" s="635"/>
      <c r="AA301" s="635"/>
      <c r="AB301" s="635"/>
      <c r="AC301" s="635"/>
      <c r="AD301" s="635"/>
      <c r="AE301" s="636"/>
      <c r="AF301" s="636"/>
      <c r="AG301" s="636"/>
      <c r="AH301" s="636"/>
      <c r="AI301" s="636"/>
      <c r="AJ301" s="636"/>
      <c r="AK301" s="636"/>
      <c r="AL301" s="636"/>
    </row>
    <row r="302" spans="1:38" hidden="1" x14ac:dyDescent="0.25">
      <c r="A302" s="634">
        <v>91111</v>
      </c>
      <c r="B302" s="632" t="s">
        <v>1497</v>
      </c>
      <c r="C302" s="656">
        <v>6.9999999999999994E-5</v>
      </c>
      <c r="D302" s="656">
        <v>8.3999999999999995E-5</v>
      </c>
      <c r="E302" s="661">
        <v>84491</v>
      </c>
      <c r="F302" s="632">
        <v>3047101</v>
      </c>
      <c r="G302" s="633">
        <v>2769848</v>
      </c>
      <c r="H302" s="633">
        <v>0</v>
      </c>
      <c r="I302" s="633">
        <v>0</v>
      </c>
      <c r="J302" s="633">
        <v>0</v>
      </c>
      <c r="K302" s="633">
        <v>526955</v>
      </c>
      <c r="L302" s="633">
        <f t="shared" si="12"/>
        <v>526955</v>
      </c>
      <c r="M302" s="633"/>
      <c r="N302" s="633">
        <v>198603</v>
      </c>
      <c r="O302" s="633">
        <v>1029</v>
      </c>
      <c r="P302" s="633">
        <v>762804</v>
      </c>
      <c r="Q302" s="633">
        <v>0</v>
      </c>
      <c r="R302" s="633">
        <f t="shared" si="13"/>
        <v>962436</v>
      </c>
      <c r="S302" s="633"/>
      <c r="T302" s="633">
        <f t="shared" si="14"/>
        <v>137325</v>
      </c>
      <c r="U302" s="633">
        <v>105395</v>
      </c>
      <c r="V302" s="633">
        <v>242720</v>
      </c>
      <c r="W302" s="635"/>
      <c r="X302" s="635"/>
      <c r="Y302" s="635"/>
      <c r="Z302" s="635"/>
      <c r="AA302" s="635"/>
      <c r="AB302" s="635"/>
      <c r="AC302" s="635"/>
      <c r="AD302" s="635"/>
      <c r="AE302" s="636"/>
      <c r="AF302" s="636"/>
      <c r="AG302" s="636"/>
      <c r="AH302" s="636"/>
      <c r="AI302" s="636"/>
      <c r="AJ302" s="636"/>
      <c r="AK302" s="636"/>
      <c r="AL302" s="636"/>
    </row>
    <row r="303" spans="1:38" hidden="1" x14ac:dyDescent="0.25">
      <c r="A303" s="634">
        <v>91151</v>
      </c>
      <c r="B303" s="632" t="s">
        <v>1498</v>
      </c>
      <c r="C303" s="656">
        <v>2.04E-4</v>
      </c>
      <c r="D303" s="656">
        <v>2.32E-4</v>
      </c>
      <c r="E303" s="661">
        <v>199971</v>
      </c>
      <c r="F303" s="632">
        <v>8868324</v>
      </c>
      <c r="G303" s="633">
        <v>7606034</v>
      </c>
      <c r="H303" s="633">
        <v>0</v>
      </c>
      <c r="I303" s="633">
        <v>0</v>
      </c>
      <c r="J303" s="633">
        <v>0</v>
      </c>
      <c r="K303" s="633">
        <v>1002870</v>
      </c>
      <c r="L303" s="633">
        <f t="shared" si="12"/>
        <v>1002870</v>
      </c>
      <c r="M303" s="633"/>
      <c r="N303" s="633">
        <v>545367</v>
      </c>
      <c r="O303" s="633">
        <v>2827</v>
      </c>
      <c r="P303" s="633">
        <v>2094667</v>
      </c>
      <c r="Q303" s="633">
        <v>0</v>
      </c>
      <c r="R303" s="633">
        <f t="shared" si="13"/>
        <v>2642861</v>
      </c>
      <c r="S303" s="633"/>
      <c r="T303" s="633">
        <f t="shared" si="14"/>
        <v>377095</v>
      </c>
      <c r="U303" s="633">
        <v>200576</v>
      </c>
      <c r="V303" s="633">
        <v>577671</v>
      </c>
      <c r="W303" s="635"/>
      <c r="X303" s="635"/>
      <c r="Y303" s="635"/>
      <c r="Z303" s="635"/>
      <c r="AA303" s="635"/>
      <c r="AB303" s="635"/>
      <c r="AC303" s="635"/>
      <c r="AD303" s="635"/>
      <c r="AE303" s="636"/>
      <c r="AF303" s="636"/>
      <c r="AG303" s="636"/>
      <c r="AH303" s="636"/>
      <c r="AI303" s="636"/>
      <c r="AJ303" s="636"/>
      <c r="AK303" s="636"/>
      <c r="AL303" s="636"/>
    </row>
    <row r="304" spans="1:38" hidden="1" x14ac:dyDescent="0.25">
      <c r="A304" s="634">
        <v>98101</v>
      </c>
      <c r="B304" s="632" t="s">
        <v>1499</v>
      </c>
      <c r="C304" s="656">
        <v>9.2599999999999996E-4</v>
      </c>
      <c r="D304" s="656">
        <v>1.042E-3</v>
      </c>
      <c r="E304" s="661">
        <v>951746</v>
      </c>
      <c r="F304" s="632">
        <v>40276690</v>
      </c>
      <c r="G304" s="633">
        <v>34160722</v>
      </c>
      <c r="H304" s="633">
        <v>0</v>
      </c>
      <c r="I304" s="633">
        <v>0</v>
      </c>
      <c r="J304" s="633">
        <v>0</v>
      </c>
      <c r="K304" s="633">
        <v>4176610</v>
      </c>
      <c r="L304" s="633">
        <f t="shared" si="12"/>
        <v>4176610</v>
      </c>
      <c r="M304" s="633"/>
      <c r="N304" s="633">
        <v>2449387</v>
      </c>
      <c r="O304" s="633">
        <v>12696</v>
      </c>
      <c r="P304" s="633">
        <v>9407707</v>
      </c>
      <c r="Q304" s="633">
        <v>0</v>
      </c>
      <c r="R304" s="633">
        <f t="shared" si="13"/>
        <v>11869790</v>
      </c>
      <c r="S304" s="633"/>
      <c r="T304" s="633">
        <f t="shared" si="14"/>
        <v>1693634</v>
      </c>
      <c r="U304" s="633">
        <v>835323</v>
      </c>
      <c r="V304" s="633">
        <v>2528957</v>
      </c>
      <c r="W304" s="635"/>
      <c r="X304" s="635"/>
      <c r="Y304" s="635"/>
      <c r="Z304" s="635"/>
      <c r="AA304" s="635"/>
      <c r="AB304" s="635"/>
      <c r="AC304" s="635"/>
      <c r="AD304" s="635"/>
      <c r="AE304" s="636"/>
      <c r="AF304" s="636"/>
      <c r="AG304" s="636"/>
      <c r="AH304" s="636"/>
      <c r="AI304" s="636"/>
      <c r="AJ304" s="636"/>
      <c r="AK304" s="636"/>
      <c r="AL304" s="636"/>
    </row>
    <row r="305" spans="1:38" hidden="1" x14ac:dyDescent="0.25">
      <c r="A305" s="634">
        <v>98103</v>
      </c>
      <c r="B305" s="632" t="s">
        <v>1500</v>
      </c>
      <c r="C305" s="656">
        <v>1.8599999999999999E-4</v>
      </c>
      <c r="D305" s="656">
        <v>1.92E-4</v>
      </c>
      <c r="E305" s="661">
        <v>204485</v>
      </c>
      <c r="F305" s="632">
        <v>8105226</v>
      </c>
      <c r="G305" s="633">
        <v>6289173</v>
      </c>
      <c r="H305" s="633">
        <v>0</v>
      </c>
      <c r="I305" s="633">
        <v>0</v>
      </c>
      <c r="J305" s="633">
        <v>0</v>
      </c>
      <c r="K305" s="633">
        <v>218265</v>
      </c>
      <c r="L305" s="633">
        <f t="shared" si="12"/>
        <v>218265</v>
      </c>
      <c r="M305" s="633"/>
      <c r="N305" s="633">
        <v>450945</v>
      </c>
      <c r="O305" s="633">
        <v>2337</v>
      </c>
      <c r="P305" s="633">
        <v>1732010</v>
      </c>
      <c r="Q305" s="633">
        <v>0</v>
      </c>
      <c r="R305" s="633">
        <f t="shared" si="13"/>
        <v>2185292</v>
      </c>
      <c r="S305" s="633"/>
      <c r="T305" s="633">
        <f t="shared" si="14"/>
        <v>311807</v>
      </c>
      <c r="U305" s="633">
        <v>43652</v>
      </c>
      <c r="V305" s="633">
        <v>355459</v>
      </c>
      <c r="W305" s="635"/>
      <c r="X305" s="635"/>
      <c r="Y305" s="635"/>
      <c r="Z305" s="635"/>
      <c r="AA305" s="635"/>
      <c r="AB305" s="635"/>
      <c r="AC305" s="635"/>
      <c r="AD305" s="635"/>
      <c r="AE305" s="636"/>
      <c r="AF305" s="636"/>
      <c r="AG305" s="636"/>
      <c r="AH305" s="636"/>
      <c r="AI305" s="636"/>
      <c r="AJ305" s="636"/>
      <c r="AK305" s="636"/>
      <c r="AL305" s="636"/>
    </row>
    <row r="306" spans="1:38" hidden="1" x14ac:dyDescent="0.25">
      <c r="A306" s="634">
        <v>98111</v>
      </c>
      <c r="B306" s="632" t="s">
        <v>1501</v>
      </c>
      <c r="C306" s="656">
        <v>3.5199999999999999E-4</v>
      </c>
      <c r="D306" s="656">
        <v>3.6999999999999999E-4</v>
      </c>
      <c r="E306" s="661">
        <v>339230</v>
      </c>
      <c r="F306" s="632">
        <v>15328314</v>
      </c>
      <c r="G306" s="633">
        <v>12123671</v>
      </c>
      <c r="H306" s="633">
        <v>0</v>
      </c>
      <c r="I306" s="633">
        <v>0</v>
      </c>
      <c r="J306" s="633">
        <v>0</v>
      </c>
      <c r="K306" s="633">
        <v>621765</v>
      </c>
      <c r="L306" s="633">
        <f t="shared" si="12"/>
        <v>621765</v>
      </c>
      <c r="M306" s="633"/>
      <c r="N306" s="633">
        <v>869290</v>
      </c>
      <c r="O306" s="633">
        <v>4506</v>
      </c>
      <c r="P306" s="633">
        <v>3338804</v>
      </c>
      <c r="Q306" s="633">
        <v>0</v>
      </c>
      <c r="R306" s="633">
        <f t="shared" si="13"/>
        <v>4212600</v>
      </c>
      <c r="S306" s="633"/>
      <c r="T306" s="633">
        <f t="shared" si="14"/>
        <v>601072</v>
      </c>
      <c r="U306" s="633">
        <v>124349</v>
      </c>
      <c r="V306" s="633">
        <v>725421</v>
      </c>
      <c r="W306" s="635"/>
      <c r="X306" s="635"/>
      <c r="Y306" s="635"/>
      <c r="Z306" s="635"/>
      <c r="AA306" s="635"/>
      <c r="AB306" s="635"/>
      <c r="AC306" s="635"/>
      <c r="AD306" s="635"/>
      <c r="AE306" s="636"/>
      <c r="AF306" s="636"/>
      <c r="AG306" s="636"/>
      <c r="AH306" s="636"/>
      <c r="AI306" s="636"/>
      <c r="AJ306" s="636"/>
      <c r="AK306" s="636"/>
      <c r="AL306" s="636"/>
    </row>
    <row r="307" spans="1:38" hidden="1" x14ac:dyDescent="0.25">
      <c r="A307" s="634">
        <v>98131</v>
      </c>
      <c r="B307" s="632" t="s">
        <v>1502</v>
      </c>
      <c r="C307" s="656">
        <v>9.8999999999999994E-5</v>
      </c>
      <c r="D307" s="656">
        <v>9.0000000000000006E-5</v>
      </c>
      <c r="E307" s="661">
        <v>93765</v>
      </c>
      <c r="F307" s="632">
        <v>4316628</v>
      </c>
      <c r="G307" s="633">
        <v>2950894</v>
      </c>
      <c r="H307" s="633">
        <v>0</v>
      </c>
      <c r="I307" s="633">
        <v>0</v>
      </c>
      <c r="J307" s="633">
        <v>0</v>
      </c>
      <c r="K307" s="633">
        <v>0</v>
      </c>
      <c r="L307" s="633">
        <f t="shared" si="12"/>
        <v>0</v>
      </c>
      <c r="M307" s="633"/>
      <c r="N307" s="633">
        <v>211585</v>
      </c>
      <c r="O307" s="633">
        <v>1097</v>
      </c>
      <c r="P307" s="633">
        <v>812663</v>
      </c>
      <c r="Q307" s="633">
        <v>327435</v>
      </c>
      <c r="R307" s="633">
        <f t="shared" si="13"/>
        <v>1352780</v>
      </c>
      <c r="S307" s="633"/>
      <c r="T307" s="633">
        <f t="shared" si="14"/>
        <v>146301</v>
      </c>
      <c r="U307" s="633">
        <v>-65490</v>
      </c>
      <c r="V307" s="633">
        <v>80811</v>
      </c>
      <c r="W307" s="635"/>
      <c r="X307" s="635"/>
      <c r="Y307" s="635"/>
      <c r="Z307" s="635"/>
      <c r="AA307" s="635"/>
      <c r="AB307" s="635"/>
      <c r="AC307" s="635"/>
      <c r="AD307" s="635"/>
      <c r="AE307" s="636"/>
      <c r="AF307" s="636"/>
      <c r="AG307" s="636"/>
      <c r="AH307" s="636"/>
      <c r="AI307" s="636"/>
      <c r="AJ307" s="636"/>
      <c r="AK307" s="636"/>
      <c r="AL307" s="636"/>
    </row>
    <row r="308" spans="1:38" hidden="1" x14ac:dyDescent="0.25">
      <c r="A308" s="634">
        <v>99401</v>
      </c>
      <c r="B308" s="632" t="s">
        <v>1503</v>
      </c>
      <c r="C308" s="656">
        <v>3.0400000000000002E-4</v>
      </c>
      <c r="D308" s="656">
        <v>3.3399999999999999E-4</v>
      </c>
      <c r="E308" s="661">
        <v>328714</v>
      </c>
      <c r="F308" s="632">
        <v>13222163</v>
      </c>
      <c r="G308" s="633">
        <v>10959935</v>
      </c>
      <c r="H308" s="633">
        <v>0</v>
      </c>
      <c r="I308" s="633">
        <v>0</v>
      </c>
      <c r="J308" s="633">
        <v>0</v>
      </c>
      <c r="K308" s="633">
        <v>1109455</v>
      </c>
      <c r="L308" s="633">
        <f t="shared" si="12"/>
        <v>1109455</v>
      </c>
      <c r="M308" s="633"/>
      <c r="N308" s="633">
        <v>785847</v>
      </c>
      <c r="O308" s="633">
        <v>4073</v>
      </c>
      <c r="P308" s="633">
        <v>3018316</v>
      </c>
      <c r="Q308" s="633">
        <v>0</v>
      </c>
      <c r="R308" s="633">
        <f t="shared" si="13"/>
        <v>3808236</v>
      </c>
      <c r="S308" s="633"/>
      <c r="T308" s="633">
        <f t="shared" si="14"/>
        <v>543376</v>
      </c>
      <c r="U308" s="633">
        <v>221891</v>
      </c>
      <c r="V308" s="633">
        <v>765267</v>
      </c>
      <c r="W308" s="635"/>
      <c r="X308" s="635"/>
      <c r="Y308" s="635"/>
      <c r="Z308" s="635"/>
      <c r="AA308" s="635"/>
      <c r="AB308" s="635"/>
      <c r="AC308" s="635"/>
      <c r="AD308" s="635"/>
      <c r="AE308" s="636"/>
      <c r="AF308" s="636"/>
      <c r="AG308" s="636"/>
      <c r="AH308" s="636"/>
      <c r="AI308" s="636"/>
      <c r="AJ308" s="636"/>
      <c r="AK308" s="636"/>
      <c r="AL308" s="636"/>
    </row>
    <row r="309" spans="1:38" hidden="1" x14ac:dyDescent="0.25">
      <c r="A309" s="634">
        <v>99521</v>
      </c>
      <c r="B309" s="632" t="s">
        <v>1504</v>
      </c>
      <c r="C309" s="656">
        <v>1.35E-4</v>
      </c>
      <c r="D309" s="656">
        <v>1.54E-4</v>
      </c>
      <c r="E309" s="661">
        <v>139509</v>
      </c>
      <c r="F309" s="632">
        <v>5884069</v>
      </c>
      <c r="G309" s="633">
        <v>5058674</v>
      </c>
      <c r="H309" s="633">
        <v>0</v>
      </c>
      <c r="I309" s="633">
        <v>0</v>
      </c>
      <c r="J309" s="633">
        <v>0</v>
      </c>
      <c r="K309" s="633">
        <v>684205</v>
      </c>
      <c r="L309" s="633">
        <f t="shared" si="12"/>
        <v>684205</v>
      </c>
      <c r="M309" s="633"/>
      <c r="N309" s="633">
        <v>362716</v>
      </c>
      <c r="O309" s="633">
        <v>1880</v>
      </c>
      <c r="P309" s="633">
        <v>1393136</v>
      </c>
      <c r="Q309" s="633">
        <v>0</v>
      </c>
      <c r="R309" s="633">
        <f t="shared" si="13"/>
        <v>1757732</v>
      </c>
      <c r="S309" s="633"/>
      <c r="T309" s="633">
        <f t="shared" si="14"/>
        <v>250801</v>
      </c>
      <c r="U309" s="633">
        <v>136840</v>
      </c>
      <c r="V309" s="633">
        <v>387641</v>
      </c>
      <c r="W309" s="635"/>
      <c r="X309" s="635"/>
      <c r="Y309" s="635"/>
      <c r="Z309" s="635"/>
      <c r="AA309" s="635"/>
      <c r="AB309" s="635"/>
      <c r="AC309" s="635"/>
      <c r="AD309" s="635"/>
      <c r="AE309" s="636"/>
      <c r="AF309" s="636"/>
      <c r="AG309" s="636"/>
      <c r="AH309" s="636"/>
      <c r="AI309" s="636"/>
      <c r="AJ309" s="636"/>
      <c r="AK309" s="636"/>
      <c r="AL309" s="636"/>
    </row>
    <row r="310" spans="1:38" hidden="1" x14ac:dyDescent="0.25">
      <c r="A310" s="634">
        <v>99831</v>
      </c>
      <c r="B310" s="632" t="s">
        <v>1505</v>
      </c>
      <c r="C310" s="656">
        <v>1.7E-5</v>
      </c>
      <c r="D310" s="656">
        <v>2.4000000000000001E-5</v>
      </c>
      <c r="E310" s="661">
        <v>22260</v>
      </c>
      <c r="F310" s="632">
        <v>749922</v>
      </c>
      <c r="G310" s="640">
        <v>771058</v>
      </c>
      <c r="H310" s="640">
        <v>0</v>
      </c>
      <c r="I310" s="640">
        <v>0</v>
      </c>
      <c r="J310" s="640">
        <v>0</v>
      </c>
      <c r="K310" s="640">
        <v>227575</v>
      </c>
      <c r="L310" s="640">
        <f t="shared" si="12"/>
        <v>227575</v>
      </c>
      <c r="M310" s="640"/>
      <c r="N310" s="640">
        <v>55286</v>
      </c>
      <c r="O310" s="640">
        <v>287</v>
      </c>
      <c r="P310" s="640">
        <v>212346</v>
      </c>
      <c r="Q310" s="640">
        <v>0</v>
      </c>
      <c r="R310" s="640">
        <f t="shared" si="13"/>
        <v>267919</v>
      </c>
      <c r="S310" s="640"/>
      <c r="T310" s="640">
        <f t="shared" si="14"/>
        <v>38228</v>
      </c>
      <c r="U310" s="640">
        <v>45512</v>
      </c>
      <c r="V310" s="640">
        <v>83740</v>
      </c>
      <c r="W310" s="635"/>
      <c r="X310" s="635"/>
      <c r="Y310" s="635"/>
      <c r="Z310" s="635"/>
      <c r="AA310" s="635"/>
      <c r="AB310" s="635"/>
      <c r="AC310" s="635"/>
      <c r="AD310" s="635"/>
      <c r="AE310" s="636"/>
      <c r="AF310" s="636"/>
      <c r="AG310" s="636"/>
      <c r="AH310" s="636"/>
      <c r="AI310" s="636"/>
      <c r="AJ310" s="636"/>
      <c r="AK310" s="636"/>
      <c r="AL310" s="636"/>
    </row>
    <row r="311" spans="1:38" x14ac:dyDescent="0.25">
      <c r="A311" s="741" t="s">
        <v>1508</v>
      </c>
      <c r="B311" s="632" t="s">
        <v>1145</v>
      </c>
      <c r="C311" s="656">
        <v>3.6999999999999998E-5</v>
      </c>
      <c r="D311" s="656">
        <v>3.6999999999999998E-5</v>
      </c>
      <c r="E311" s="661">
        <v>28290</v>
      </c>
      <c r="F311" s="632">
        <v>1598454</v>
      </c>
      <c r="G311" s="633">
        <v>1204359</v>
      </c>
      <c r="H311" s="633">
        <v>0</v>
      </c>
      <c r="I311" s="633">
        <v>0</v>
      </c>
      <c r="J311" s="633">
        <v>0</v>
      </c>
      <c r="K311" s="633">
        <v>0</v>
      </c>
      <c r="L311" s="633">
        <v>0</v>
      </c>
      <c r="M311" s="633"/>
      <c r="N311" s="633">
        <v>86355</v>
      </c>
      <c r="O311" s="633">
        <v>448</v>
      </c>
      <c r="P311" s="633">
        <v>331675</v>
      </c>
      <c r="Q311" s="633">
        <v>5865</v>
      </c>
      <c r="R311" s="633">
        <v>424343</v>
      </c>
      <c r="S311" s="633"/>
      <c r="T311" s="633">
        <v>59710</v>
      </c>
      <c r="U311" s="633">
        <v>-1173</v>
      </c>
      <c r="V311" s="633">
        <v>58537</v>
      </c>
      <c r="W311" s="635"/>
      <c r="X311" s="635"/>
      <c r="Y311" s="635"/>
      <c r="Z311" s="635"/>
      <c r="AA311" s="635"/>
      <c r="AB311" s="635"/>
      <c r="AC311" s="635"/>
      <c r="AD311" s="635"/>
      <c r="AE311" s="636"/>
      <c r="AF311" s="636"/>
      <c r="AG311" s="636"/>
      <c r="AH311" s="636"/>
      <c r="AI311" s="636"/>
      <c r="AJ311" s="636"/>
      <c r="AK311" s="636"/>
      <c r="AL311" s="636"/>
    </row>
    <row r="312" spans="1:38" ht="18" customHeight="1" x14ac:dyDescent="0.25">
      <c r="A312" s="641"/>
      <c r="B312" s="642" t="s">
        <v>457</v>
      </c>
      <c r="C312" s="657"/>
      <c r="D312" s="657"/>
      <c r="E312" s="661">
        <f>SUM(E6:E310)</f>
        <v>949949851</v>
      </c>
      <c r="F312" s="643">
        <f>SUM(F7:F310)</f>
        <v>43503399006</v>
      </c>
      <c r="G312" s="643">
        <f>SUM(G7:G310)</f>
        <v>32786624459</v>
      </c>
      <c r="H312" s="643">
        <v>0</v>
      </c>
      <c r="I312" s="643">
        <v>0</v>
      </c>
      <c r="J312" s="643">
        <v>0</v>
      </c>
      <c r="K312" s="643">
        <f>SUM(K7:K310)</f>
        <v>1069202810</v>
      </c>
      <c r="L312" s="633">
        <f>SUM(L7:L310)</f>
        <v>1069202810</v>
      </c>
      <c r="M312" s="633"/>
      <c r="N312" s="633">
        <f>SUM(N7:N310)</f>
        <v>2350861287</v>
      </c>
      <c r="O312" s="633">
        <f>SUM(O7:O310)</f>
        <v>12184938</v>
      </c>
      <c r="P312" s="633">
        <f>SUM(P7:P310)</f>
        <v>9029286691</v>
      </c>
      <c r="Q312" s="633">
        <f>SUM(Q7:Q310)</f>
        <v>1069202771</v>
      </c>
      <c r="R312" s="633">
        <f>SUM(R7:R310)</f>
        <v>12461535687</v>
      </c>
      <c r="S312" s="633"/>
      <c r="T312" s="633">
        <f t="shared" si="14"/>
        <v>1625508214</v>
      </c>
      <c r="U312" s="643">
        <f>SUM(U7:U310)</f>
        <v>-50</v>
      </c>
      <c r="V312" s="643">
        <f>SUM(V7:V310)</f>
        <v>1625508164</v>
      </c>
      <c r="W312" s="635"/>
      <c r="X312" s="635"/>
      <c r="Y312" s="635"/>
      <c r="Z312" s="635"/>
      <c r="AA312" s="635"/>
      <c r="AB312" s="635"/>
      <c r="AC312" s="635"/>
      <c r="AD312" s="635"/>
    </row>
    <row r="313" spans="1:38" ht="18" customHeight="1" x14ac:dyDescent="0.25">
      <c r="A313" s="644"/>
      <c r="B313" s="645"/>
      <c r="C313" s="658"/>
      <c r="D313" s="658"/>
      <c r="E313" s="658"/>
      <c r="F313" s="645"/>
      <c r="G313" s="646"/>
      <c r="I313" s="646"/>
      <c r="J313" s="646"/>
      <c r="K313" s="646"/>
      <c r="L313" s="646"/>
      <c r="M313" s="646"/>
      <c r="N313" s="646"/>
      <c r="O313" s="646"/>
      <c r="P313" s="646"/>
      <c r="Q313" s="646"/>
      <c r="R313" s="646"/>
      <c r="S313" s="646"/>
      <c r="T313" s="648"/>
      <c r="U313" s="646"/>
      <c r="V313" s="646"/>
      <c r="W313" s="646"/>
      <c r="X313" s="646"/>
      <c r="Y313" s="646"/>
      <c r="Z313" s="646"/>
      <c r="AA313" s="646"/>
      <c r="AB313" s="646"/>
      <c r="AC313" s="646"/>
      <c r="AD313" s="646"/>
    </row>
    <row r="314" spans="1:38" ht="18" customHeight="1" x14ac:dyDescent="0.25"/>
    <row r="315" spans="1:38" ht="18" customHeight="1" x14ac:dyDescent="0.25">
      <c r="B315" s="632" t="s">
        <v>1203</v>
      </c>
      <c r="C315" s="631" t="s">
        <v>521</v>
      </c>
    </row>
    <row r="316" spans="1:38" ht="18" customHeight="1" x14ac:dyDescent="0.25">
      <c r="B316" s="632" t="s">
        <v>1338</v>
      </c>
      <c r="C316" s="634">
        <v>33501</v>
      </c>
    </row>
    <row r="317" spans="1:38" ht="18" customHeight="1" x14ac:dyDescent="0.25">
      <c r="B317" s="632" t="s">
        <v>1400</v>
      </c>
      <c r="C317" s="634">
        <v>36301</v>
      </c>
      <c r="D317" s="656"/>
      <c r="E317" s="656"/>
      <c r="F317" s="631"/>
    </row>
    <row r="318" spans="1:38" ht="18" customHeight="1" x14ac:dyDescent="0.25">
      <c r="B318" s="632" t="s">
        <v>1208</v>
      </c>
      <c r="C318" s="634">
        <v>10800</v>
      </c>
      <c r="D318" s="656"/>
      <c r="E318" s="656"/>
      <c r="F318" s="634"/>
    </row>
    <row r="319" spans="1:38" ht="18" customHeight="1" x14ac:dyDescent="0.25">
      <c r="B319" s="632" t="s">
        <v>1262</v>
      </c>
      <c r="C319" s="634">
        <v>30105</v>
      </c>
      <c r="D319" s="656"/>
      <c r="E319" s="656"/>
      <c r="F319" s="634"/>
    </row>
    <row r="320" spans="1:38" ht="18" customHeight="1" x14ac:dyDescent="0.25">
      <c r="B320" s="632" t="s">
        <v>1258</v>
      </c>
      <c r="C320" s="634">
        <v>30100</v>
      </c>
      <c r="D320" s="656"/>
      <c r="E320" s="656"/>
      <c r="F320" s="634"/>
      <c r="V320" s="650"/>
    </row>
    <row r="321" spans="2:22" ht="18" customHeight="1" x14ac:dyDescent="0.25">
      <c r="B321" s="632" t="s">
        <v>1263</v>
      </c>
      <c r="C321" s="634">
        <v>30200</v>
      </c>
      <c r="D321" s="656"/>
      <c r="E321" s="656"/>
      <c r="F321" s="634"/>
    </row>
    <row r="322" spans="2:22" ht="18" customHeight="1" x14ac:dyDescent="0.25">
      <c r="B322" s="632" t="s">
        <v>1264</v>
      </c>
      <c r="C322" s="634">
        <v>30300</v>
      </c>
      <c r="D322" s="656"/>
      <c r="E322" s="656"/>
      <c r="F322" s="634"/>
    </row>
    <row r="323" spans="2:22" ht="18" customHeight="1" x14ac:dyDescent="0.25">
      <c r="B323" s="632" t="s">
        <v>1362</v>
      </c>
      <c r="C323" s="634">
        <v>34901</v>
      </c>
      <c r="D323" s="656"/>
      <c r="E323" s="656"/>
      <c r="F323" s="634"/>
    </row>
    <row r="324" spans="2:22" ht="18" customHeight="1" x14ac:dyDescent="0.25">
      <c r="B324" s="632" t="s">
        <v>1265</v>
      </c>
      <c r="C324" s="634">
        <v>30400</v>
      </c>
      <c r="D324" s="656"/>
      <c r="E324" s="656"/>
      <c r="F324" s="634"/>
    </row>
    <row r="325" spans="2:22" ht="18" customHeight="1" x14ac:dyDescent="0.25">
      <c r="B325" s="632" t="s">
        <v>1237</v>
      </c>
      <c r="C325" s="634">
        <v>20100</v>
      </c>
      <c r="D325" s="656"/>
      <c r="E325" s="656"/>
      <c r="F325" s="634"/>
    </row>
    <row r="326" spans="2:22" ht="18" customHeight="1" x14ac:dyDescent="0.25">
      <c r="B326" s="632" t="s">
        <v>1419</v>
      </c>
      <c r="C326" s="634">
        <v>36901</v>
      </c>
      <c r="D326" s="656"/>
      <c r="E326" s="656"/>
      <c r="F326" s="634"/>
    </row>
    <row r="327" spans="2:22" ht="18" customHeight="1" x14ac:dyDescent="0.25">
      <c r="B327" s="632" t="s">
        <v>1335</v>
      </c>
      <c r="C327" s="634">
        <v>33402</v>
      </c>
      <c r="D327" s="656"/>
      <c r="E327" s="656"/>
      <c r="F327" s="634"/>
    </row>
    <row r="328" spans="2:22" ht="18" customHeight="1" x14ac:dyDescent="0.25">
      <c r="B328" s="632" t="s">
        <v>1267</v>
      </c>
      <c r="C328" s="634">
        <v>30500</v>
      </c>
      <c r="D328" s="656"/>
      <c r="E328" s="656"/>
      <c r="F328" s="634"/>
      <c r="V328" s="650"/>
    </row>
    <row r="329" spans="2:22" ht="18" customHeight="1" x14ac:dyDescent="0.25">
      <c r="B329" s="632" t="s">
        <v>1434</v>
      </c>
      <c r="C329" s="634">
        <v>37610</v>
      </c>
      <c r="D329" s="656"/>
      <c r="E329" s="656"/>
      <c r="F329" s="634"/>
      <c r="V329" s="651"/>
    </row>
    <row r="330" spans="2:22" ht="18" customHeight="1" x14ac:dyDescent="0.25">
      <c r="B330" s="632" t="s">
        <v>1281</v>
      </c>
      <c r="C330" s="634">
        <v>31110</v>
      </c>
      <c r="D330" s="656"/>
      <c r="E330" s="656"/>
      <c r="F330" s="634"/>
      <c r="V330" s="650"/>
    </row>
    <row r="331" spans="2:22" ht="18" customHeight="1" x14ac:dyDescent="0.25">
      <c r="B331" s="632" t="s">
        <v>1280</v>
      </c>
      <c r="C331" s="634">
        <v>31105</v>
      </c>
      <c r="D331" s="656"/>
      <c r="E331" s="656"/>
      <c r="F331" s="634"/>
    </row>
    <row r="332" spans="2:22" ht="18" customHeight="1" x14ac:dyDescent="0.25">
      <c r="B332" s="632" t="s">
        <v>1268</v>
      </c>
      <c r="C332" s="634">
        <v>30600</v>
      </c>
      <c r="D332" s="656"/>
      <c r="E332" s="656"/>
      <c r="F332" s="634"/>
    </row>
    <row r="333" spans="2:22" ht="18" customHeight="1" x14ac:dyDescent="0.25">
      <c r="B333" s="632" t="s">
        <v>1231</v>
      </c>
      <c r="C333" s="634">
        <v>18600</v>
      </c>
      <c r="D333" s="656"/>
      <c r="E333" s="656"/>
      <c r="F333" s="634"/>
    </row>
    <row r="334" spans="2:22" ht="18" customHeight="1" x14ac:dyDescent="0.25">
      <c r="B334" s="632" t="s">
        <v>1328</v>
      </c>
      <c r="C334" s="634">
        <v>33206</v>
      </c>
      <c r="D334" s="656"/>
      <c r="E334" s="656"/>
      <c r="F334" s="634"/>
    </row>
    <row r="335" spans="2:22" ht="18" customHeight="1" x14ac:dyDescent="0.25">
      <c r="B335" s="632" t="s">
        <v>1271</v>
      </c>
      <c r="C335" s="634">
        <v>30705</v>
      </c>
      <c r="D335" s="656"/>
      <c r="E335" s="656"/>
      <c r="F335" s="634"/>
    </row>
    <row r="336" spans="2:22" ht="18" customHeight="1" x14ac:dyDescent="0.25">
      <c r="B336" s="632" t="s">
        <v>1270</v>
      </c>
      <c r="C336" s="634">
        <v>30700</v>
      </c>
      <c r="D336" s="656"/>
      <c r="E336" s="656"/>
      <c r="F336" s="634"/>
    </row>
    <row r="337" spans="2:38" ht="18" customHeight="1" x14ac:dyDescent="0.25">
      <c r="B337" s="632" t="s">
        <v>1272</v>
      </c>
      <c r="C337" s="634">
        <v>30800</v>
      </c>
      <c r="D337" s="656"/>
      <c r="E337" s="656"/>
      <c r="F337" s="634"/>
    </row>
    <row r="338" spans="2:38" ht="18" customHeight="1" x14ac:dyDescent="0.25">
      <c r="B338" s="632" t="s">
        <v>1441</v>
      </c>
      <c r="C338" s="634">
        <v>37901</v>
      </c>
      <c r="D338" s="656"/>
      <c r="E338" s="656"/>
      <c r="F338" s="634"/>
    </row>
    <row r="339" spans="2:38" s="649" customFormat="1" ht="18" customHeight="1" x14ac:dyDescent="0.25">
      <c r="B339" s="632" t="s">
        <v>1274</v>
      </c>
      <c r="C339" s="634">
        <v>30905</v>
      </c>
      <c r="D339" s="656"/>
      <c r="E339" s="656"/>
      <c r="F339" s="634"/>
      <c r="H339" s="647"/>
      <c r="I339" s="617"/>
      <c r="J339" s="617"/>
      <c r="K339" s="617"/>
      <c r="L339" s="617"/>
      <c r="M339" s="617"/>
      <c r="N339" s="617"/>
      <c r="O339" s="617"/>
      <c r="P339" s="617"/>
      <c r="Q339" s="617"/>
      <c r="R339" s="617"/>
      <c r="S339" s="617"/>
      <c r="T339" s="617"/>
      <c r="U339" s="617"/>
      <c r="V339" s="617"/>
      <c r="W339" s="617"/>
      <c r="X339" s="617"/>
      <c r="Y339" s="617"/>
      <c r="Z339" s="617"/>
      <c r="AA339" s="617"/>
      <c r="AB339" s="617"/>
      <c r="AC339" s="617"/>
      <c r="AD339" s="617"/>
      <c r="AE339" s="617"/>
      <c r="AF339" s="617"/>
      <c r="AG339" s="617"/>
      <c r="AH339" s="617"/>
      <c r="AI339" s="617"/>
      <c r="AJ339" s="617"/>
      <c r="AK339" s="617"/>
      <c r="AL339" s="617"/>
    </row>
    <row r="340" spans="2:38" s="649" customFormat="1" ht="18" customHeight="1" x14ac:dyDescent="0.25">
      <c r="B340" s="632" t="s">
        <v>1495</v>
      </c>
      <c r="C340" s="634">
        <v>90901</v>
      </c>
      <c r="D340" s="656"/>
      <c r="E340" s="656"/>
      <c r="F340" s="634"/>
      <c r="H340" s="647"/>
      <c r="I340" s="617"/>
      <c r="J340" s="617"/>
      <c r="K340" s="617"/>
      <c r="L340" s="617"/>
      <c r="M340" s="617"/>
      <c r="N340" s="617"/>
      <c r="O340" s="617"/>
      <c r="P340" s="617"/>
      <c r="Q340" s="617"/>
      <c r="R340" s="617"/>
      <c r="S340" s="617"/>
      <c r="T340" s="617"/>
      <c r="U340" s="617"/>
      <c r="V340" s="617"/>
      <c r="W340" s="617"/>
      <c r="X340" s="617"/>
      <c r="Y340" s="617"/>
      <c r="Z340" s="617"/>
      <c r="AA340" s="617"/>
      <c r="AB340" s="617"/>
      <c r="AC340" s="617"/>
      <c r="AD340" s="617"/>
      <c r="AE340" s="617"/>
      <c r="AF340" s="617"/>
      <c r="AG340" s="617"/>
      <c r="AH340" s="617"/>
      <c r="AI340" s="617"/>
      <c r="AJ340" s="617"/>
      <c r="AK340" s="617"/>
      <c r="AL340" s="617"/>
    </row>
    <row r="341" spans="2:38" s="649" customFormat="1" ht="18" customHeight="1" x14ac:dyDescent="0.25">
      <c r="B341" s="632" t="s">
        <v>1273</v>
      </c>
      <c r="C341" s="634">
        <v>30900</v>
      </c>
      <c r="D341" s="656"/>
      <c r="E341" s="656"/>
      <c r="F341" s="634"/>
      <c r="H341" s="647"/>
      <c r="I341" s="617"/>
      <c r="J341" s="617"/>
      <c r="K341" s="617"/>
      <c r="L341" s="617"/>
      <c r="M341" s="617"/>
      <c r="N341" s="617"/>
      <c r="O341" s="617"/>
      <c r="P341" s="617"/>
      <c r="Q341" s="617"/>
      <c r="R341" s="617"/>
      <c r="S341" s="617"/>
      <c r="T341" s="617"/>
      <c r="U341" s="617"/>
      <c r="V341" s="617"/>
      <c r="W341" s="617"/>
      <c r="X341" s="617"/>
      <c r="Y341" s="617"/>
      <c r="Z341" s="617"/>
      <c r="AA341" s="617"/>
      <c r="AB341" s="617"/>
      <c r="AC341" s="617"/>
      <c r="AD341" s="617"/>
      <c r="AE341" s="617"/>
      <c r="AF341" s="617"/>
      <c r="AG341" s="617"/>
      <c r="AH341" s="617"/>
      <c r="AI341" s="617"/>
      <c r="AJ341" s="617"/>
      <c r="AK341" s="617"/>
      <c r="AL341" s="617"/>
    </row>
    <row r="342" spans="2:38" s="649" customFormat="1" ht="36" customHeight="1" x14ac:dyDescent="0.25">
      <c r="B342" s="632" t="s">
        <v>1356</v>
      </c>
      <c r="C342" s="634">
        <v>34505</v>
      </c>
      <c r="D342" s="656"/>
      <c r="E342" s="656"/>
      <c r="F342" s="634"/>
      <c r="H342" s="647"/>
      <c r="I342" s="617"/>
      <c r="J342" s="617"/>
      <c r="K342" s="617"/>
      <c r="L342" s="617"/>
      <c r="M342" s="617"/>
      <c r="N342" s="617"/>
      <c r="O342" s="617"/>
      <c r="P342" s="617"/>
      <c r="Q342" s="617"/>
      <c r="R342" s="617"/>
      <c r="S342" s="617"/>
      <c r="T342" s="617"/>
      <c r="U342" s="617"/>
      <c r="V342" s="617"/>
      <c r="W342" s="617"/>
      <c r="X342" s="617"/>
      <c r="Y342" s="617"/>
      <c r="Z342" s="617"/>
      <c r="AA342" s="617"/>
      <c r="AB342" s="617"/>
      <c r="AC342" s="617"/>
      <c r="AD342" s="617"/>
      <c r="AE342" s="617"/>
      <c r="AF342" s="617"/>
      <c r="AG342" s="617"/>
      <c r="AH342" s="617"/>
      <c r="AI342" s="617"/>
      <c r="AJ342" s="617"/>
      <c r="AK342" s="617"/>
      <c r="AL342" s="617"/>
    </row>
    <row r="343" spans="2:38" s="649" customFormat="1" ht="18" customHeight="1" x14ac:dyDescent="0.25">
      <c r="B343" s="632" t="s">
        <v>1464</v>
      </c>
      <c r="C343" s="634">
        <v>38801</v>
      </c>
      <c r="D343" s="656"/>
      <c r="E343" s="656"/>
      <c r="F343" s="634"/>
      <c r="H343" s="647"/>
      <c r="I343" s="617"/>
      <c r="J343" s="617"/>
      <c r="K343" s="617"/>
      <c r="L343" s="617"/>
      <c r="M343" s="617"/>
      <c r="N343" s="617"/>
      <c r="O343" s="617"/>
      <c r="P343" s="617"/>
      <c r="Q343" s="617"/>
      <c r="R343" s="617"/>
      <c r="S343" s="617"/>
      <c r="T343" s="617"/>
      <c r="U343" s="617"/>
      <c r="V343" s="617"/>
      <c r="W343" s="617"/>
      <c r="X343" s="617"/>
      <c r="Y343" s="617"/>
      <c r="Z343" s="617"/>
      <c r="AA343" s="617"/>
      <c r="AB343" s="617"/>
      <c r="AC343" s="617"/>
      <c r="AD343" s="617"/>
      <c r="AE343" s="617"/>
      <c r="AF343" s="617"/>
      <c r="AG343" s="617"/>
      <c r="AH343" s="617"/>
      <c r="AI343" s="617"/>
      <c r="AJ343" s="617"/>
      <c r="AK343" s="617"/>
      <c r="AL343" s="617"/>
    </row>
    <row r="344" spans="2:38" s="649" customFormat="1" ht="18" customHeight="1" x14ac:dyDescent="0.25">
      <c r="B344" s="632" t="s">
        <v>1456</v>
      </c>
      <c r="C344" s="634">
        <v>38601</v>
      </c>
      <c r="D344" s="656"/>
      <c r="E344" s="656"/>
      <c r="F344" s="634"/>
      <c r="H344" s="647"/>
      <c r="I344" s="617"/>
      <c r="J344" s="617"/>
      <c r="K344" s="617"/>
      <c r="L344" s="617"/>
      <c r="M344" s="617"/>
      <c r="N344" s="617"/>
      <c r="O344" s="617"/>
      <c r="P344" s="617"/>
      <c r="Q344" s="617"/>
      <c r="R344" s="617"/>
      <c r="S344" s="617"/>
      <c r="T344" s="617"/>
      <c r="U344" s="617"/>
      <c r="V344" s="617"/>
      <c r="W344" s="617"/>
      <c r="X344" s="617"/>
      <c r="Y344" s="617"/>
      <c r="Z344" s="617"/>
      <c r="AA344" s="617"/>
      <c r="AB344" s="617"/>
      <c r="AC344" s="617"/>
      <c r="AD344" s="617"/>
      <c r="AE344" s="617"/>
      <c r="AF344" s="617"/>
      <c r="AG344" s="617"/>
      <c r="AH344" s="617"/>
      <c r="AI344" s="617"/>
      <c r="AJ344" s="617"/>
      <c r="AK344" s="617"/>
      <c r="AL344" s="617"/>
    </row>
    <row r="345" spans="2:38" s="649" customFormat="1" ht="18" customHeight="1" x14ac:dyDescent="0.25">
      <c r="B345" s="632" t="s">
        <v>1276</v>
      </c>
      <c r="C345" s="634">
        <v>31005</v>
      </c>
      <c r="D345" s="656"/>
      <c r="E345" s="656"/>
      <c r="F345" s="634"/>
      <c r="H345" s="647"/>
      <c r="I345" s="617"/>
      <c r="J345" s="617"/>
      <c r="K345" s="617"/>
      <c r="L345" s="617"/>
      <c r="M345" s="617"/>
      <c r="N345" s="617"/>
      <c r="O345" s="617"/>
      <c r="P345" s="617"/>
      <c r="Q345" s="617"/>
      <c r="R345" s="617"/>
      <c r="S345" s="617"/>
      <c r="T345" s="617"/>
      <c r="U345" s="617"/>
      <c r="V345" s="617"/>
      <c r="W345" s="617"/>
      <c r="X345" s="617"/>
      <c r="Y345" s="617"/>
      <c r="Z345" s="617"/>
      <c r="AA345" s="617"/>
      <c r="AB345" s="617"/>
      <c r="AC345" s="617"/>
      <c r="AD345" s="617"/>
      <c r="AE345" s="617"/>
      <c r="AF345" s="617"/>
      <c r="AG345" s="617"/>
      <c r="AH345" s="617"/>
      <c r="AI345" s="617"/>
      <c r="AJ345" s="617"/>
      <c r="AK345" s="617"/>
      <c r="AL345" s="617"/>
    </row>
    <row r="346" spans="2:38" s="649" customFormat="1" ht="18" customHeight="1" x14ac:dyDescent="0.25">
      <c r="B346" s="632" t="s">
        <v>1275</v>
      </c>
      <c r="C346" s="634">
        <v>31000</v>
      </c>
      <c r="D346" s="656"/>
      <c r="E346" s="656"/>
      <c r="F346" s="634"/>
      <c r="H346" s="647"/>
      <c r="I346" s="617"/>
      <c r="J346" s="617"/>
      <c r="K346" s="617"/>
      <c r="L346" s="617"/>
      <c r="M346" s="617"/>
      <c r="N346" s="617"/>
      <c r="O346" s="617"/>
      <c r="P346" s="617"/>
      <c r="Q346" s="617"/>
      <c r="R346" s="617"/>
      <c r="S346" s="617"/>
      <c r="T346" s="617"/>
      <c r="U346" s="617"/>
      <c r="V346" s="617"/>
      <c r="W346" s="617"/>
      <c r="X346" s="617"/>
      <c r="Y346" s="617"/>
      <c r="Z346" s="617"/>
      <c r="AA346" s="617"/>
      <c r="AB346" s="617"/>
      <c r="AC346" s="617"/>
      <c r="AD346" s="617"/>
      <c r="AE346" s="617"/>
      <c r="AF346" s="617"/>
      <c r="AG346" s="617"/>
      <c r="AH346" s="617"/>
      <c r="AI346" s="617"/>
      <c r="AJ346" s="617"/>
      <c r="AK346" s="617"/>
      <c r="AL346" s="617"/>
    </row>
    <row r="347" spans="2:38" s="649" customFormat="1" ht="18" customHeight="1" x14ac:dyDescent="0.25">
      <c r="B347" s="632" t="s">
        <v>1277</v>
      </c>
      <c r="C347" s="634">
        <v>31100</v>
      </c>
      <c r="D347" s="656"/>
      <c r="E347" s="656"/>
      <c r="F347" s="634"/>
      <c r="H347" s="647"/>
      <c r="I347" s="617"/>
      <c r="J347" s="617"/>
      <c r="K347" s="617"/>
      <c r="L347" s="617"/>
      <c r="M347" s="617"/>
      <c r="N347" s="617"/>
      <c r="O347" s="617"/>
      <c r="P347" s="617"/>
      <c r="Q347" s="617"/>
      <c r="R347" s="617"/>
      <c r="S347" s="617"/>
      <c r="T347" s="617"/>
      <c r="U347" s="617"/>
      <c r="V347" s="617"/>
      <c r="W347" s="617"/>
      <c r="X347" s="617"/>
      <c r="Y347" s="617"/>
      <c r="Z347" s="617"/>
      <c r="AA347" s="617"/>
      <c r="AB347" s="617"/>
      <c r="AC347" s="617"/>
      <c r="AD347" s="617"/>
      <c r="AE347" s="617"/>
      <c r="AF347" s="617"/>
      <c r="AG347" s="617"/>
      <c r="AH347" s="617"/>
      <c r="AI347" s="617"/>
      <c r="AJ347" s="617"/>
      <c r="AK347" s="617"/>
      <c r="AL347" s="617"/>
    </row>
    <row r="348" spans="2:38" s="649" customFormat="1" ht="18" customHeight="1" x14ac:dyDescent="0.25">
      <c r="B348" s="632" t="s">
        <v>1282</v>
      </c>
      <c r="C348" s="634">
        <v>31200</v>
      </c>
      <c r="D348" s="656"/>
      <c r="E348" s="656"/>
      <c r="F348" s="634"/>
      <c r="H348" s="647"/>
      <c r="I348" s="617"/>
      <c r="J348" s="617"/>
      <c r="K348" s="617"/>
      <c r="L348" s="617"/>
      <c r="M348" s="617"/>
      <c r="N348" s="617"/>
      <c r="O348" s="617"/>
      <c r="P348" s="617"/>
      <c r="Q348" s="617"/>
      <c r="R348" s="617"/>
      <c r="S348" s="617"/>
      <c r="T348" s="617"/>
      <c r="U348" s="617"/>
      <c r="V348" s="617"/>
      <c r="W348" s="617"/>
      <c r="X348" s="617"/>
      <c r="Y348" s="617"/>
      <c r="Z348" s="617"/>
      <c r="AA348" s="617"/>
      <c r="AB348" s="617"/>
      <c r="AC348" s="617"/>
      <c r="AD348" s="617"/>
      <c r="AE348" s="617"/>
      <c r="AF348" s="617"/>
      <c r="AG348" s="617"/>
      <c r="AH348" s="617"/>
      <c r="AI348" s="617"/>
      <c r="AJ348" s="617"/>
      <c r="AK348" s="617"/>
      <c r="AL348" s="617"/>
    </row>
    <row r="349" spans="2:38" s="649" customFormat="1" ht="18" customHeight="1" x14ac:dyDescent="0.25">
      <c r="B349" s="632" t="s">
        <v>1284</v>
      </c>
      <c r="C349" s="634">
        <v>31300</v>
      </c>
      <c r="D349" s="656"/>
      <c r="E349" s="656"/>
      <c r="F349" s="634"/>
      <c r="H349" s="647"/>
      <c r="I349" s="617"/>
      <c r="J349" s="617"/>
      <c r="K349" s="617"/>
      <c r="L349" s="617"/>
      <c r="M349" s="617"/>
      <c r="N349" s="617"/>
      <c r="O349" s="617"/>
      <c r="P349" s="617"/>
      <c r="Q349" s="617"/>
      <c r="R349" s="617"/>
      <c r="S349" s="617"/>
      <c r="T349" s="617"/>
      <c r="U349" s="617"/>
      <c r="V349" s="617"/>
      <c r="W349" s="617"/>
      <c r="X349" s="617"/>
      <c r="Y349" s="617"/>
      <c r="Z349" s="617"/>
      <c r="AA349" s="617"/>
      <c r="AB349" s="617"/>
      <c r="AC349" s="617"/>
      <c r="AD349" s="617"/>
      <c r="AE349" s="617"/>
      <c r="AF349" s="617"/>
      <c r="AG349" s="617"/>
      <c r="AH349" s="617"/>
      <c r="AI349" s="617"/>
      <c r="AJ349" s="617"/>
      <c r="AK349" s="617"/>
      <c r="AL349" s="617"/>
    </row>
    <row r="350" spans="2:38" s="649" customFormat="1" ht="18" customHeight="1" x14ac:dyDescent="0.25">
      <c r="B350" s="632" t="s">
        <v>1288</v>
      </c>
      <c r="C350" s="634">
        <v>31405</v>
      </c>
      <c r="D350" s="656"/>
      <c r="E350" s="656"/>
      <c r="F350" s="634"/>
      <c r="H350" s="647"/>
      <c r="I350" s="617"/>
      <c r="J350" s="617"/>
      <c r="K350" s="617"/>
      <c r="L350" s="617"/>
      <c r="M350" s="617"/>
      <c r="N350" s="617"/>
      <c r="O350" s="617"/>
      <c r="P350" s="617"/>
      <c r="Q350" s="617"/>
      <c r="R350" s="617"/>
      <c r="S350" s="617"/>
      <c r="T350" s="617"/>
      <c r="U350" s="617"/>
      <c r="V350" s="617"/>
      <c r="W350" s="617"/>
      <c r="X350" s="617"/>
      <c r="Y350" s="617"/>
      <c r="Z350" s="617"/>
      <c r="AA350" s="617"/>
      <c r="AB350" s="617"/>
      <c r="AC350" s="617"/>
      <c r="AD350" s="617"/>
      <c r="AE350" s="617"/>
      <c r="AF350" s="617"/>
      <c r="AG350" s="617"/>
      <c r="AH350" s="617"/>
      <c r="AI350" s="617"/>
      <c r="AJ350" s="617"/>
      <c r="AK350" s="617"/>
      <c r="AL350" s="617"/>
    </row>
    <row r="351" spans="2:38" s="649" customFormat="1" ht="18" customHeight="1" x14ac:dyDescent="0.25">
      <c r="B351" s="632" t="s">
        <v>1287</v>
      </c>
      <c r="C351" s="634">
        <v>31400</v>
      </c>
      <c r="D351" s="656"/>
      <c r="E351" s="656"/>
      <c r="F351" s="634"/>
      <c r="H351" s="647"/>
      <c r="I351" s="617"/>
      <c r="J351" s="617"/>
      <c r="K351" s="617"/>
      <c r="L351" s="617"/>
      <c r="M351" s="617"/>
      <c r="N351" s="617"/>
      <c r="O351" s="617"/>
      <c r="P351" s="617"/>
      <c r="Q351" s="617"/>
      <c r="R351" s="617"/>
      <c r="S351" s="617"/>
      <c r="T351" s="617"/>
      <c r="U351" s="617"/>
      <c r="V351" s="617"/>
      <c r="W351" s="617"/>
      <c r="X351" s="617"/>
      <c r="Y351" s="617"/>
      <c r="Z351" s="617"/>
      <c r="AA351" s="617"/>
      <c r="AB351" s="617"/>
      <c r="AC351" s="617"/>
      <c r="AD351" s="617"/>
      <c r="AE351" s="617"/>
      <c r="AF351" s="617"/>
      <c r="AG351" s="617"/>
      <c r="AH351" s="617"/>
      <c r="AI351" s="617"/>
      <c r="AJ351" s="617"/>
      <c r="AK351" s="617"/>
      <c r="AL351" s="617"/>
    </row>
    <row r="352" spans="2:38" s="649" customFormat="1" ht="18" customHeight="1" x14ac:dyDescent="0.25">
      <c r="B352" s="632" t="s">
        <v>1289</v>
      </c>
      <c r="C352" s="634">
        <v>31500</v>
      </c>
      <c r="D352" s="656"/>
      <c r="E352" s="656"/>
      <c r="F352" s="634"/>
      <c r="H352" s="647"/>
      <c r="I352" s="617"/>
      <c r="J352" s="617"/>
      <c r="K352" s="617"/>
      <c r="L352" s="617"/>
      <c r="M352" s="617"/>
      <c r="N352" s="617"/>
      <c r="O352" s="617"/>
      <c r="P352" s="617"/>
      <c r="Q352" s="617"/>
      <c r="R352" s="617"/>
      <c r="S352" s="617"/>
      <c r="T352" s="617"/>
      <c r="U352" s="617"/>
      <c r="V352" s="617"/>
      <c r="W352" s="617"/>
      <c r="X352" s="617"/>
      <c r="Y352" s="617"/>
      <c r="Z352" s="617"/>
      <c r="AA352" s="617"/>
      <c r="AB352" s="617"/>
      <c r="AC352" s="617"/>
      <c r="AD352" s="617"/>
      <c r="AE352" s="617"/>
      <c r="AF352" s="617"/>
      <c r="AG352" s="617"/>
      <c r="AH352" s="617"/>
      <c r="AI352" s="617"/>
      <c r="AJ352" s="617"/>
      <c r="AK352" s="617"/>
      <c r="AL352" s="617"/>
    </row>
    <row r="353" spans="2:38" s="649" customFormat="1" ht="18" customHeight="1" x14ac:dyDescent="0.25">
      <c r="B353" s="632" t="s">
        <v>1407</v>
      </c>
      <c r="C353" s="634">
        <v>36501</v>
      </c>
      <c r="D353" s="656"/>
      <c r="E353" s="656"/>
      <c r="F353" s="634"/>
      <c r="H353" s="647"/>
      <c r="I353" s="617"/>
      <c r="J353" s="617"/>
      <c r="K353" s="617"/>
      <c r="L353" s="617"/>
      <c r="M353" s="617"/>
      <c r="N353" s="617"/>
      <c r="O353" s="617"/>
      <c r="P353" s="617"/>
      <c r="Q353" s="617"/>
      <c r="R353" s="617"/>
      <c r="S353" s="617"/>
      <c r="T353" s="617"/>
      <c r="U353" s="617"/>
      <c r="V353" s="617"/>
      <c r="W353" s="617"/>
      <c r="X353" s="617"/>
      <c r="Y353" s="617"/>
      <c r="Z353" s="617"/>
      <c r="AA353" s="617"/>
      <c r="AB353" s="617"/>
      <c r="AC353" s="617"/>
      <c r="AD353" s="617"/>
      <c r="AE353" s="617"/>
      <c r="AF353" s="617"/>
      <c r="AG353" s="617"/>
      <c r="AH353" s="617"/>
      <c r="AI353" s="617"/>
      <c r="AJ353" s="617"/>
      <c r="AK353" s="617"/>
      <c r="AL353" s="617"/>
    </row>
    <row r="354" spans="2:38" s="649" customFormat="1" ht="18" customHeight="1" x14ac:dyDescent="0.25">
      <c r="B354" s="632" t="s">
        <v>1409</v>
      </c>
      <c r="C354" s="634">
        <v>36505</v>
      </c>
      <c r="D354" s="656"/>
      <c r="E354" s="656"/>
      <c r="F354" s="634"/>
      <c r="H354" s="647"/>
      <c r="I354" s="617"/>
      <c r="J354" s="617"/>
      <c r="K354" s="617"/>
      <c r="L354" s="617"/>
      <c r="M354" s="617"/>
      <c r="N354" s="617"/>
      <c r="O354" s="617"/>
      <c r="P354" s="617"/>
      <c r="Q354" s="617"/>
      <c r="R354" s="617"/>
      <c r="S354" s="617"/>
      <c r="T354" s="617"/>
      <c r="U354" s="617"/>
      <c r="V354" s="617"/>
      <c r="W354" s="617"/>
      <c r="X354" s="617"/>
      <c r="Y354" s="617"/>
      <c r="Z354" s="617"/>
      <c r="AA354" s="617"/>
      <c r="AB354" s="617"/>
      <c r="AC354" s="617"/>
      <c r="AD354" s="617"/>
      <c r="AE354" s="617"/>
      <c r="AF354" s="617"/>
      <c r="AG354" s="617"/>
      <c r="AH354" s="617"/>
      <c r="AI354" s="617"/>
      <c r="AJ354" s="617"/>
      <c r="AK354" s="617"/>
      <c r="AL354" s="617"/>
    </row>
    <row r="355" spans="2:38" s="649" customFormat="1" ht="18" customHeight="1" x14ac:dyDescent="0.25">
      <c r="B355" s="632" t="s">
        <v>1285</v>
      </c>
      <c r="C355" s="634">
        <v>31301</v>
      </c>
      <c r="D355" s="656"/>
      <c r="E355" s="656"/>
      <c r="F355" s="634"/>
      <c r="H355" s="647"/>
      <c r="I355" s="617"/>
      <c r="J355" s="617"/>
      <c r="K355" s="617"/>
      <c r="L355" s="617"/>
      <c r="M355" s="617"/>
      <c r="N355" s="617"/>
      <c r="O355" s="617"/>
      <c r="P355" s="617"/>
      <c r="Q355" s="617"/>
      <c r="R355" s="617"/>
      <c r="S355" s="617"/>
      <c r="T355" s="617"/>
      <c r="U355" s="617"/>
      <c r="V355" s="617"/>
      <c r="W355" s="617"/>
      <c r="X355" s="617"/>
      <c r="Y355" s="617"/>
      <c r="Z355" s="617"/>
      <c r="AA355" s="617"/>
      <c r="AB355" s="617"/>
      <c r="AC355" s="617"/>
      <c r="AD355" s="617"/>
      <c r="AE355" s="617"/>
      <c r="AF355" s="617"/>
      <c r="AG355" s="617"/>
      <c r="AH355" s="617"/>
      <c r="AI355" s="617"/>
      <c r="AJ355" s="617"/>
      <c r="AK355" s="617"/>
      <c r="AL355" s="617"/>
    </row>
    <row r="356" spans="2:38" s="649" customFormat="1" ht="54" customHeight="1" x14ac:dyDescent="0.25">
      <c r="B356" s="632" t="s">
        <v>1291</v>
      </c>
      <c r="C356" s="634">
        <v>31605</v>
      </c>
      <c r="D356" s="656"/>
      <c r="E356" s="656"/>
      <c r="F356" s="634"/>
      <c r="H356" s="647"/>
      <c r="I356" s="617"/>
      <c r="J356" s="617"/>
      <c r="K356" s="617"/>
      <c r="L356" s="617"/>
      <c r="M356" s="617"/>
      <c r="N356" s="617"/>
      <c r="O356" s="617"/>
      <c r="P356" s="617"/>
      <c r="Q356" s="617"/>
      <c r="R356" s="617"/>
      <c r="S356" s="617"/>
      <c r="T356" s="617"/>
      <c r="U356" s="617"/>
      <c r="V356" s="617"/>
      <c r="W356" s="617"/>
      <c r="X356" s="617"/>
      <c r="Y356" s="617"/>
      <c r="Z356" s="617"/>
      <c r="AA356" s="617"/>
      <c r="AB356" s="617"/>
      <c r="AC356" s="617"/>
      <c r="AD356" s="617"/>
      <c r="AE356" s="617"/>
      <c r="AF356" s="617"/>
      <c r="AG356" s="617"/>
      <c r="AH356" s="617"/>
      <c r="AI356" s="617"/>
      <c r="AJ356" s="617"/>
      <c r="AK356" s="617"/>
      <c r="AL356" s="617"/>
    </row>
    <row r="357" spans="2:38" s="649" customFormat="1" ht="18" customHeight="1" x14ac:dyDescent="0.25">
      <c r="B357" s="632" t="s">
        <v>1290</v>
      </c>
      <c r="C357" s="634">
        <v>31600</v>
      </c>
      <c r="D357" s="656"/>
      <c r="E357" s="656"/>
      <c r="F357" s="634"/>
      <c r="H357" s="647"/>
      <c r="I357" s="617"/>
      <c r="J357" s="617"/>
      <c r="K357" s="617"/>
      <c r="L357" s="617"/>
      <c r="M357" s="617"/>
      <c r="N357" s="617"/>
      <c r="O357" s="617"/>
      <c r="P357" s="617"/>
      <c r="Q357" s="617"/>
      <c r="R357" s="617"/>
      <c r="S357" s="617"/>
      <c r="T357" s="617"/>
      <c r="U357" s="617"/>
      <c r="V357" s="617"/>
      <c r="W357" s="617"/>
      <c r="X357" s="617"/>
      <c r="Y357" s="617"/>
      <c r="Z357" s="617"/>
      <c r="AA357" s="617"/>
      <c r="AB357" s="617"/>
      <c r="AC357" s="617"/>
      <c r="AD357" s="617"/>
      <c r="AE357" s="617"/>
      <c r="AF357" s="617"/>
      <c r="AG357" s="617"/>
      <c r="AH357" s="617"/>
      <c r="AI357" s="617"/>
      <c r="AJ357" s="617"/>
      <c r="AK357" s="617"/>
      <c r="AL357" s="617"/>
    </row>
    <row r="358" spans="2:38" s="649" customFormat="1" ht="18" customHeight="1" x14ac:dyDescent="0.25">
      <c r="B358" s="632" t="s">
        <v>1475</v>
      </c>
      <c r="C358" s="634">
        <v>39209</v>
      </c>
      <c r="D358" s="656"/>
      <c r="E358" s="656"/>
      <c r="F358" s="634"/>
      <c r="H358" s="647"/>
      <c r="I358" s="617"/>
      <c r="J358" s="617"/>
      <c r="K358" s="617"/>
      <c r="L358" s="617"/>
      <c r="M358" s="617"/>
      <c r="N358" s="617"/>
      <c r="O358" s="617"/>
      <c r="P358" s="617"/>
      <c r="Q358" s="617"/>
      <c r="R358" s="617"/>
      <c r="S358" s="617"/>
      <c r="T358" s="617"/>
      <c r="U358" s="617"/>
      <c r="V358" s="617"/>
      <c r="W358" s="617"/>
      <c r="X358" s="617"/>
      <c r="Y358" s="617"/>
      <c r="Z358" s="617"/>
      <c r="AA358" s="617"/>
      <c r="AB358" s="617"/>
      <c r="AC358" s="617"/>
      <c r="AD358" s="617"/>
      <c r="AE358" s="617"/>
      <c r="AF358" s="617"/>
      <c r="AG358" s="617"/>
      <c r="AH358" s="617"/>
      <c r="AI358" s="617"/>
      <c r="AJ358" s="617"/>
      <c r="AK358" s="617"/>
      <c r="AL358" s="617"/>
    </row>
    <row r="359" spans="2:38" s="649" customFormat="1" ht="18" customHeight="1" x14ac:dyDescent="0.25">
      <c r="B359" s="632" t="s">
        <v>1292</v>
      </c>
      <c r="C359" s="634">
        <v>31700</v>
      </c>
      <c r="D359" s="656"/>
      <c r="E359" s="656"/>
      <c r="F359" s="634"/>
      <c r="H359" s="647"/>
      <c r="I359" s="617"/>
      <c r="J359" s="617"/>
      <c r="K359" s="617"/>
      <c r="L359" s="617"/>
      <c r="M359" s="617"/>
      <c r="N359" s="617"/>
      <c r="O359" s="617"/>
      <c r="P359" s="617"/>
      <c r="Q359" s="617"/>
      <c r="R359" s="617"/>
      <c r="S359" s="617"/>
      <c r="T359" s="617"/>
      <c r="U359" s="617"/>
      <c r="V359" s="617"/>
      <c r="W359" s="617"/>
      <c r="X359" s="617"/>
      <c r="Y359" s="617"/>
      <c r="Z359" s="617"/>
      <c r="AA359" s="617"/>
      <c r="AB359" s="617"/>
      <c r="AC359" s="617"/>
      <c r="AD359" s="617"/>
      <c r="AE359" s="617"/>
      <c r="AF359" s="617"/>
      <c r="AG359" s="617"/>
      <c r="AH359" s="617"/>
      <c r="AI359" s="617"/>
      <c r="AJ359" s="617"/>
      <c r="AK359" s="617"/>
      <c r="AL359" s="617"/>
    </row>
    <row r="360" spans="2:38" s="649" customFormat="1" ht="18" customHeight="1" x14ac:dyDescent="0.25">
      <c r="B360" s="632" t="s">
        <v>1293</v>
      </c>
      <c r="C360" s="634">
        <v>31800</v>
      </c>
      <c r="D360" s="656"/>
      <c r="E360" s="656"/>
      <c r="F360" s="634"/>
      <c r="H360" s="647"/>
      <c r="I360" s="617"/>
      <c r="J360" s="617"/>
      <c r="K360" s="617"/>
      <c r="L360" s="617"/>
      <c r="M360" s="617"/>
      <c r="N360" s="617"/>
      <c r="O360" s="617"/>
      <c r="P360" s="617"/>
      <c r="Q360" s="617"/>
      <c r="R360" s="617"/>
      <c r="S360" s="617"/>
      <c r="T360" s="617"/>
      <c r="U360" s="617"/>
      <c r="V360" s="617"/>
      <c r="W360" s="617"/>
      <c r="X360" s="617"/>
      <c r="Y360" s="617"/>
      <c r="Z360" s="617"/>
      <c r="AA360" s="617"/>
      <c r="AB360" s="617"/>
      <c r="AC360" s="617"/>
      <c r="AD360" s="617"/>
      <c r="AE360" s="617"/>
      <c r="AF360" s="617"/>
      <c r="AG360" s="617"/>
      <c r="AH360" s="617"/>
      <c r="AI360" s="617"/>
      <c r="AJ360" s="617"/>
      <c r="AK360" s="617"/>
      <c r="AL360" s="617"/>
    </row>
    <row r="361" spans="2:38" s="649" customFormat="1" ht="18" customHeight="1" x14ac:dyDescent="0.25">
      <c r="B361" s="632" t="s">
        <v>1294</v>
      </c>
      <c r="C361" s="634">
        <v>31805</v>
      </c>
      <c r="D361" s="656"/>
      <c r="E361" s="656"/>
      <c r="F361" s="634"/>
      <c r="H361" s="647"/>
      <c r="I361" s="617"/>
      <c r="J361" s="617"/>
      <c r="K361" s="617"/>
      <c r="L361" s="617"/>
      <c r="M361" s="617"/>
      <c r="N361" s="617"/>
      <c r="O361" s="617"/>
      <c r="P361" s="617"/>
      <c r="Q361" s="617"/>
      <c r="R361" s="617"/>
      <c r="S361" s="617"/>
      <c r="T361" s="617"/>
      <c r="U361" s="617"/>
      <c r="V361" s="617"/>
      <c r="W361" s="617"/>
      <c r="X361" s="617"/>
      <c r="Y361" s="617"/>
      <c r="Z361" s="617"/>
      <c r="AA361" s="617"/>
      <c r="AB361" s="617"/>
      <c r="AC361" s="617"/>
      <c r="AD361" s="617"/>
      <c r="AE361" s="617"/>
      <c r="AF361" s="617"/>
      <c r="AG361" s="617"/>
      <c r="AH361" s="617"/>
      <c r="AI361" s="617"/>
      <c r="AJ361" s="617"/>
      <c r="AK361" s="617"/>
      <c r="AL361" s="617"/>
    </row>
    <row r="362" spans="2:38" s="649" customFormat="1" ht="18" customHeight="1" x14ac:dyDescent="0.25">
      <c r="B362" s="632" t="s">
        <v>1373</v>
      </c>
      <c r="C362" s="634">
        <v>35305</v>
      </c>
      <c r="D362" s="656"/>
      <c r="E362" s="656"/>
      <c r="F362" s="634"/>
      <c r="H362" s="647"/>
      <c r="I362" s="617"/>
      <c r="J362" s="617"/>
      <c r="K362" s="617"/>
      <c r="L362" s="617"/>
      <c r="M362" s="617"/>
      <c r="N362" s="617"/>
      <c r="O362" s="617"/>
      <c r="P362" s="617"/>
      <c r="Q362" s="617"/>
      <c r="R362" s="617"/>
      <c r="S362" s="617"/>
      <c r="T362" s="617"/>
      <c r="U362" s="617"/>
      <c r="V362" s="617"/>
      <c r="W362" s="617"/>
      <c r="X362" s="617"/>
      <c r="Y362" s="617"/>
      <c r="Z362" s="617"/>
      <c r="AA362" s="617"/>
      <c r="AB362" s="617"/>
      <c r="AC362" s="617"/>
      <c r="AD362" s="617"/>
      <c r="AE362" s="617"/>
      <c r="AF362" s="617"/>
      <c r="AG362" s="617"/>
      <c r="AH362" s="617"/>
      <c r="AI362" s="617"/>
      <c r="AJ362" s="617"/>
      <c r="AK362" s="617"/>
      <c r="AL362" s="617"/>
    </row>
    <row r="363" spans="2:38" s="649" customFormat="1" ht="18" customHeight="1" x14ac:dyDescent="0.25">
      <c r="B363" s="632" t="s">
        <v>1324</v>
      </c>
      <c r="C363" s="634">
        <v>33202</v>
      </c>
      <c r="D363" s="656"/>
      <c r="E363" s="656"/>
      <c r="F363" s="634"/>
      <c r="H363" s="647"/>
      <c r="I363" s="617"/>
      <c r="J363" s="617"/>
      <c r="K363" s="617"/>
      <c r="L363" s="617"/>
      <c r="M363" s="617"/>
      <c r="N363" s="617"/>
      <c r="O363" s="617"/>
      <c r="P363" s="617"/>
      <c r="Q363" s="617"/>
      <c r="R363" s="617"/>
      <c r="S363" s="617"/>
      <c r="T363" s="617"/>
      <c r="U363" s="617"/>
      <c r="V363" s="617"/>
      <c r="W363" s="617"/>
      <c r="X363" s="617"/>
      <c r="Y363" s="617"/>
      <c r="Z363" s="617"/>
      <c r="AA363" s="617"/>
      <c r="AB363" s="617"/>
      <c r="AC363" s="617"/>
      <c r="AD363" s="617"/>
      <c r="AE363" s="617"/>
      <c r="AF363" s="617"/>
      <c r="AG363" s="617"/>
      <c r="AH363" s="617"/>
      <c r="AI363" s="617"/>
      <c r="AJ363" s="617"/>
      <c r="AK363" s="617"/>
      <c r="AL363" s="617"/>
    </row>
    <row r="364" spans="2:38" s="649" customFormat="1" ht="18" customHeight="1" x14ac:dyDescent="0.25">
      <c r="B364" s="632" t="s">
        <v>1389</v>
      </c>
      <c r="C364" s="634">
        <v>36005</v>
      </c>
      <c r="D364" s="656"/>
      <c r="E364" s="656"/>
      <c r="F364" s="634"/>
      <c r="H364" s="647"/>
      <c r="I364" s="617"/>
      <c r="J364" s="617"/>
      <c r="K364" s="617"/>
      <c r="L364" s="617"/>
      <c r="M364" s="617"/>
      <c r="N364" s="617"/>
      <c r="O364" s="617"/>
      <c r="P364" s="617"/>
      <c r="Q364" s="617"/>
      <c r="R364" s="617"/>
      <c r="S364" s="617"/>
      <c r="T364" s="617"/>
      <c r="U364" s="617"/>
      <c r="V364" s="617"/>
      <c r="W364" s="617"/>
      <c r="X364" s="617"/>
      <c r="Y364" s="617"/>
      <c r="Z364" s="617"/>
      <c r="AA364" s="617"/>
      <c r="AB364" s="617"/>
      <c r="AC364" s="617"/>
      <c r="AD364" s="617"/>
      <c r="AE364" s="617"/>
      <c r="AF364" s="617"/>
      <c r="AG364" s="617"/>
      <c r="AH364" s="617"/>
      <c r="AI364" s="617"/>
      <c r="AJ364" s="617"/>
      <c r="AK364" s="617"/>
      <c r="AL364" s="617"/>
    </row>
    <row r="365" spans="2:38" s="649" customFormat="1" ht="18" customHeight="1" x14ac:dyDescent="0.25">
      <c r="B365" s="632" t="s">
        <v>1417</v>
      </c>
      <c r="C365" s="634">
        <v>36810</v>
      </c>
      <c r="D365" s="656"/>
      <c r="E365" s="656"/>
      <c r="F365" s="634"/>
      <c r="H365" s="647"/>
      <c r="I365" s="617"/>
      <c r="J365" s="617"/>
      <c r="K365" s="617"/>
      <c r="L365" s="617"/>
      <c r="M365" s="617"/>
      <c r="N365" s="617"/>
      <c r="O365" s="617"/>
      <c r="P365" s="617"/>
      <c r="Q365" s="617"/>
      <c r="R365" s="617"/>
      <c r="S365" s="617"/>
      <c r="T365" s="617"/>
      <c r="U365" s="617"/>
      <c r="V365" s="617"/>
      <c r="W365" s="617"/>
      <c r="X365" s="617"/>
      <c r="Y365" s="617"/>
      <c r="Z365" s="617"/>
      <c r="AA365" s="617"/>
      <c r="AB365" s="617"/>
      <c r="AC365" s="617"/>
      <c r="AD365" s="617"/>
      <c r="AE365" s="617"/>
      <c r="AF365" s="617"/>
      <c r="AG365" s="617"/>
      <c r="AH365" s="617"/>
      <c r="AI365" s="617"/>
      <c r="AJ365" s="617"/>
      <c r="AK365" s="617"/>
      <c r="AL365" s="617"/>
    </row>
    <row r="366" spans="2:38" s="649" customFormat="1" ht="18" customHeight="1" x14ac:dyDescent="0.25">
      <c r="B366" s="632" t="s">
        <v>1393</v>
      </c>
      <c r="C366" s="634">
        <v>36009</v>
      </c>
      <c r="D366" s="656"/>
      <c r="E366" s="656"/>
      <c r="F366" s="634"/>
      <c r="H366" s="647"/>
      <c r="I366" s="617"/>
      <c r="J366" s="617"/>
      <c r="K366" s="617"/>
      <c r="L366" s="617"/>
      <c r="M366" s="617"/>
      <c r="N366" s="617"/>
      <c r="O366" s="617"/>
      <c r="P366" s="617"/>
      <c r="Q366" s="617"/>
      <c r="R366" s="617"/>
      <c r="S366" s="617"/>
      <c r="T366" s="617"/>
      <c r="U366" s="617"/>
      <c r="V366" s="617"/>
      <c r="W366" s="617"/>
      <c r="X366" s="617"/>
      <c r="Y366" s="617"/>
      <c r="Z366" s="617"/>
      <c r="AA366" s="617"/>
      <c r="AB366" s="617"/>
      <c r="AC366" s="617"/>
      <c r="AD366" s="617"/>
      <c r="AE366" s="617"/>
      <c r="AF366" s="617"/>
      <c r="AG366" s="617"/>
      <c r="AH366" s="617"/>
      <c r="AI366" s="617"/>
      <c r="AJ366" s="617"/>
      <c r="AK366" s="617"/>
      <c r="AL366" s="617"/>
    </row>
    <row r="367" spans="2:38" s="649" customFormat="1" ht="18" customHeight="1" x14ac:dyDescent="0.25">
      <c r="B367" s="632" t="s">
        <v>1384</v>
      </c>
      <c r="C367" s="634">
        <v>36000</v>
      </c>
      <c r="D367" s="656"/>
      <c r="E367" s="656"/>
      <c r="F367" s="634"/>
      <c r="H367" s="647"/>
      <c r="I367" s="617"/>
      <c r="J367" s="617"/>
      <c r="K367" s="617"/>
      <c r="L367" s="617"/>
      <c r="M367" s="617"/>
      <c r="N367" s="617"/>
      <c r="O367" s="617"/>
      <c r="P367" s="617"/>
      <c r="Q367" s="617"/>
      <c r="R367" s="617"/>
      <c r="S367" s="617"/>
      <c r="T367" s="617"/>
      <c r="U367" s="617"/>
      <c r="V367" s="617"/>
      <c r="W367" s="617"/>
      <c r="X367" s="617"/>
      <c r="Y367" s="617"/>
      <c r="Z367" s="617"/>
      <c r="AA367" s="617"/>
      <c r="AB367" s="617"/>
      <c r="AC367" s="617"/>
      <c r="AD367" s="617"/>
      <c r="AE367" s="617"/>
      <c r="AF367" s="617"/>
      <c r="AG367" s="617"/>
      <c r="AH367" s="617"/>
      <c r="AI367" s="617"/>
      <c r="AJ367" s="617"/>
      <c r="AK367" s="617"/>
      <c r="AL367" s="617"/>
    </row>
    <row r="368" spans="2:38" s="649" customFormat="1" ht="18" customHeight="1" x14ac:dyDescent="0.25">
      <c r="B368" s="632" t="s">
        <v>1297</v>
      </c>
      <c r="C368" s="634">
        <v>31900</v>
      </c>
      <c r="D368" s="656"/>
      <c r="E368" s="656"/>
      <c r="F368" s="634"/>
      <c r="H368" s="647"/>
      <c r="I368" s="617"/>
      <c r="J368" s="617"/>
      <c r="K368" s="617"/>
      <c r="L368" s="617"/>
      <c r="M368" s="617"/>
      <c r="N368" s="617"/>
      <c r="O368" s="617"/>
      <c r="P368" s="617"/>
      <c r="Q368" s="617"/>
      <c r="R368" s="617"/>
      <c r="S368" s="617"/>
      <c r="T368" s="617"/>
      <c r="U368" s="617"/>
      <c r="V368" s="617"/>
      <c r="W368" s="617"/>
      <c r="X368" s="617"/>
      <c r="Y368" s="617"/>
      <c r="Z368" s="617"/>
      <c r="AA368" s="617"/>
      <c r="AB368" s="617"/>
      <c r="AC368" s="617"/>
      <c r="AD368" s="617"/>
      <c r="AE368" s="617"/>
      <c r="AF368" s="617"/>
      <c r="AG368" s="617"/>
      <c r="AH368" s="617"/>
      <c r="AI368" s="617"/>
      <c r="AJ368" s="617"/>
      <c r="AK368" s="617"/>
      <c r="AL368" s="617"/>
    </row>
    <row r="369" spans="2:38" s="649" customFormat="1" ht="18" customHeight="1" x14ac:dyDescent="0.25">
      <c r="B369" s="632" t="s">
        <v>1298</v>
      </c>
      <c r="C369" s="634">
        <v>32000</v>
      </c>
      <c r="D369" s="656"/>
      <c r="E369" s="656"/>
      <c r="F369" s="634"/>
      <c r="H369" s="647"/>
      <c r="I369" s="617"/>
      <c r="J369" s="617"/>
      <c r="K369" s="617"/>
      <c r="L369" s="617"/>
      <c r="M369" s="617"/>
      <c r="N369" s="617"/>
      <c r="O369" s="617"/>
      <c r="P369" s="617"/>
      <c r="Q369" s="617"/>
      <c r="R369" s="617"/>
      <c r="S369" s="617"/>
      <c r="T369" s="617"/>
      <c r="U369" s="617"/>
      <c r="V369" s="617"/>
      <c r="W369" s="617"/>
      <c r="X369" s="617"/>
      <c r="Y369" s="617"/>
      <c r="Z369" s="617"/>
      <c r="AA369" s="617"/>
      <c r="AB369" s="617"/>
      <c r="AC369" s="617"/>
      <c r="AD369" s="617"/>
      <c r="AE369" s="617"/>
      <c r="AF369" s="617"/>
      <c r="AG369" s="617"/>
      <c r="AH369" s="617"/>
      <c r="AI369" s="617"/>
      <c r="AJ369" s="617"/>
      <c r="AK369" s="617"/>
      <c r="AL369" s="617"/>
    </row>
    <row r="370" spans="2:38" s="649" customFormat="1" ht="18" customHeight="1" x14ac:dyDescent="0.25">
      <c r="B370" s="632" t="s">
        <v>1375</v>
      </c>
      <c r="C370" s="634">
        <v>35401</v>
      </c>
      <c r="D370" s="656"/>
      <c r="E370" s="656"/>
      <c r="F370" s="634"/>
      <c r="H370" s="647"/>
      <c r="I370" s="617"/>
      <c r="J370" s="617"/>
      <c r="K370" s="617"/>
      <c r="L370" s="617"/>
      <c r="M370" s="617"/>
      <c r="N370" s="617"/>
      <c r="O370" s="617"/>
      <c r="P370" s="617"/>
      <c r="Q370" s="617"/>
      <c r="R370" s="617"/>
      <c r="S370" s="617"/>
      <c r="T370" s="617"/>
      <c r="U370" s="617"/>
      <c r="V370" s="617"/>
      <c r="W370" s="617"/>
      <c r="X370" s="617"/>
      <c r="Y370" s="617"/>
      <c r="Z370" s="617"/>
      <c r="AA370" s="617"/>
      <c r="AB370" s="617"/>
      <c r="AC370" s="617"/>
      <c r="AD370" s="617"/>
      <c r="AE370" s="617"/>
      <c r="AF370" s="617"/>
      <c r="AG370" s="617"/>
      <c r="AH370" s="617"/>
      <c r="AI370" s="617"/>
      <c r="AJ370" s="617"/>
      <c r="AK370" s="617"/>
      <c r="AL370" s="617"/>
    </row>
    <row r="371" spans="2:38" s="649" customFormat="1" ht="18" customHeight="1" x14ac:dyDescent="0.25">
      <c r="B371" s="632" t="s">
        <v>1301</v>
      </c>
      <c r="C371" s="634">
        <v>32200</v>
      </c>
      <c r="D371" s="656"/>
      <c r="E371" s="656"/>
      <c r="F371" s="634"/>
      <c r="H371" s="647"/>
      <c r="I371" s="617"/>
      <c r="J371" s="617"/>
      <c r="K371" s="617"/>
      <c r="L371" s="617"/>
      <c r="M371" s="617"/>
      <c r="N371" s="617"/>
      <c r="O371" s="617"/>
      <c r="P371" s="617"/>
      <c r="Q371" s="617"/>
      <c r="R371" s="617"/>
      <c r="S371" s="617"/>
      <c r="T371" s="617"/>
      <c r="U371" s="617"/>
      <c r="V371" s="617"/>
      <c r="W371" s="617"/>
      <c r="X371" s="617"/>
      <c r="Y371" s="617"/>
      <c r="Z371" s="617"/>
      <c r="AA371" s="617"/>
      <c r="AB371" s="617"/>
      <c r="AC371" s="617"/>
      <c r="AD371" s="617"/>
      <c r="AE371" s="617"/>
      <c r="AF371" s="617"/>
      <c r="AG371" s="617"/>
      <c r="AH371" s="617"/>
      <c r="AI371" s="617"/>
      <c r="AJ371" s="617"/>
      <c r="AK371" s="617"/>
      <c r="AL371" s="617"/>
    </row>
    <row r="372" spans="2:38" s="649" customFormat="1" ht="18" customHeight="1" x14ac:dyDescent="0.25">
      <c r="B372" s="632" t="s">
        <v>1302</v>
      </c>
      <c r="C372" s="634">
        <v>32300</v>
      </c>
      <c r="D372" s="656"/>
      <c r="E372" s="656"/>
      <c r="F372" s="634"/>
      <c r="H372" s="647"/>
      <c r="I372" s="617"/>
      <c r="J372" s="617"/>
      <c r="K372" s="617"/>
      <c r="L372" s="617"/>
      <c r="M372" s="617"/>
      <c r="N372" s="617"/>
      <c r="O372" s="617"/>
      <c r="P372" s="617"/>
      <c r="Q372" s="617"/>
      <c r="R372" s="617"/>
      <c r="S372" s="617"/>
      <c r="T372" s="617"/>
      <c r="U372" s="617"/>
      <c r="V372" s="617"/>
      <c r="W372" s="617"/>
      <c r="X372" s="617"/>
      <c r="Y372" s="617"/>
      <c r="Z372" s="617"/>
      <c r="AA372" s="617"/>
      <c r="AB372" s="617"/>
      <c r="AC372" s="617"/>
      <c r="AD372" s="617"/>
      <c r="AE372" s="617"/>
      <c r="AF372" s="617"/>
      <c r="AG372" s="617"/>
      <c r="AH372" s="617"/>
      <c r="AI372" s="617"/>
      <c r="AJ372" s="617"/>
      <c r="AK372" s="617"/>
      <c r="AL372" s="617"/>
    </row>
    <row r="373" spans="2:38" s="649" customFormat="1" ht="18" customHeight="1" x14ac:dyDescent="0.25">
      <c r="B373" s="632" t="s">
        <v>1303</v>
      </c>
      <c r="C373" s="634">
        <v>32305</v>
      </c>
      <c r="D373" s="656"/>
      <c r="E373" s="656"/>
      <c r="F373" s="634"/>
      <c r="H373" s="647"/>
      <c r="I373" s="617"/>
      <c r="J373" s="617"/>
      <c r="K373" s="617"/>
      <c r="L373" s="617"/>
      <c r="M373" s="617"/>
      <c r="N373" s="617"/>
      <c r="O373" s="617"/>
      <c r="P373" s="617"/>
      <c r="Q373" s="617"/>
      <c r="R373" s="617"/>
      <c r="S373" s="617"/>
      <c r="T373" s="617"/>
      <c r="U373" s="617"/>
      <c r="V373" s="617"/>
      <c r="W373" s="617"/>
      <c r="X373" s="617"/>
      <c r="Y373" s="617"/>
      <c r="Z373" s="617"/>
      <c r="AA373" s="617"/>
      <c r="AB373" s="617"/>
      <c r="AC373" s="617"/>
      <c r="AD373" s="617"/>
      <c r="AE373" s="617"/>
      <c r="AF373" s="617"/>
      <c r="AG373" s="617"/>
      <c r="AH373" s="617"/>
      <c r="AI373" s="617"/>
      <c r="AJ373" s="617"/>
      <c r="AK373" s="617"/>
      <c r="AL373" s="617"/>
    </row>
    <row r="374" spans="2:38" s="649" customFormat="1" ht="18" customHeight="1" x14ac:dyDescent="0.25">
      <c r="B374" s="632" t="s">
        <v>1449</v>
      </c>
      <c r="C374" s="634">
        <v>38210</v>
      </c>
      <c r="D374" s="656"/>
      <c r="E374" s="656"/>
      <c r="F374" s="634"/>
      <c r="H374" s="647"/>
      <c r="I374" s="617"/>
      <c r="J374" s="617"/>
      <c r="K374" s="617"/>
      <c r="L374" s="617"/>
      <c r="M374" s="617"/>
      <c r="N374" s="617"/>
      <c r="O374" s="617"/>
      <c r="P374" s="617"/>
      <c r="Q374" s="617"/>
      <c r="R374" s="617"/>
      <c r="S374" s="617"/>
      <c r="T374" s="617"/>
      <c r="U374" s="617"/>
      <c r="V374" s="617"/>
      <c r="W374" s="617"/>
      <c r="X374" s="617"/>
      <c r="Y374" s="617"/>
      <c r="Z374" s="617"/>
      <c r="AA374" s="617"/>
      <c r="AB374" s="617"/>
      <c r="AC374" s="617"/>
      <c r="AD374" s="617"/>
      <c r="AE374" s="617"/>
      <c r="AF374" s="617"/>
      <c r="AG374" s="617"/>
      <c r="AH374" s="617"/>
      <c r="AI374" s="617"/>
      <c r="AJ374" s="617"/>
      <c r="AK374" s="617"/>
      <c r="AL374" s="617"/>
    </row>
    <row r="375" spans="2:38" s="649" customFormat="1" ht="18" customHeight="1" x14ac:dyDescent="0.25">
      <c r="B375" s="632" t="s">
        <v>1259</v>
      </c>
      <c r="C375" s="634">
        <v>30102</v>
      </c>
      <c r="D375" s="656"/>
      <c r="E375" s="656"/>
      <c r="F375" s="634"/>
      <c r="H375" s="647"/>
      <c r="I375" s="617"/>
      <c r="J375" s="617"/>
      <c r="K375" s="617"/>
      <c r="L375" s="617"/>
      <c r="M375" s="617"/>
      <c r="N375" s="617"/>
      <c r="O375" s="617"/>
      <c r="P375" s="617"/>
      <c r="Q375" s="617"/>
      <c r="R375" s="617"/>
      <c r="S375" s="617"/>
      <c r="T375" s="617"/>
      <c r="U375" s="617"/>
      <c r="V375" s="617"/>
      <c r="W375" s="617"/>
      <c r="X375" s="617"/>
      <c r="Y375" s="617"/>
      <c r="Z375" s="617"/>
      <c r="AA375" s="617"/>
      <c r="AB375" s="617"/>
      <c r="AC375" s="617"/>
      <c r="AD375" s="617"/>
      <c r="AE375" s="617"/>
      <c r="AF375" s="617"/>
      <c r="AG375" s="617"/>
      <c r="AH375" s="617"/>
      <c r="AI375" s="617"/>
      <c r="AJ375" s="617"/>
      <c r="AK375" s="617"/>
      <c r="AL375" s="617"/>
    </row>
    <row r="376" spans="2:38" s="649" customFormat="1" ht="18" customHeight="1" x14ac:dyDescent="0.25">
      <c r="B376" s="632" t="s">
        <v>1414</v>
      </c>
      <c r="C376" s="634">
        <v>36705</v>
      </c>
      <c r="D376" s="656"/>
      <c r="E376" s="656"/>
      <c r="F376" s="634"/>
      <c r="H376" s="647"/>
      <c r="I376" s="617"/>
      <c r="J376" s="617"/>
      <c r="K376" s="617"/>
      <c r="L376" s="617"/>
      <c r="M376" s="617"/>
      <c r="N376" s="617"/>
      <c r="O376" s="617"/>
      <c r="P376" s="617"/>
      <c r="Q376" s="617"/>
      <c r="R376" s="617"/>
      <c r="S376" s="617"/>
      <c r="T376" s="617"/>
      <c r="U376" s="617"/>
      <c r="V376" s="617"/>
      <c r="W376" s="617"/>
      <c r="X376" s="617"/>
      <c r="Y376" s="617"/>
      <c r="Z376" s="617"/>
      <c r="AA376" s="617"/>
      <c r="AB376" s="617"/>
      <c r="AC376" s="617"/>
      <c r="AD376" s="617"/>
      <c r="AE376" s="617"/>
      <c r="AF376" s="617"/>
      <c r="AG376" s="617"/>
      <c r="AH376" s="617"/>
      <c r="AI376" s="617"/>
      <c r="AJ376" s="617"/>
      <c r="AK376" s="617"/>
      <c r="AL376" s="617"/>
    </row>
    <row r="377" spans="2:38" s="649" customFormat="1" ht="18" customHeight="1" x14ac:dyDescent="0.25">
      <c r="B377" s="632" t="s">
        <v>1422</v>
      </c>
      <c r="C377" s="634">
        <v>37005</v>
      </c>
      <c r="D377" s="656"/>
      <c r="E377" s="656"/>
      <c r="F377" s="634"/>
      <c r="H377" s="647"/>
      <c r="I377" s="617"/>
      <c r="J377" s="617"/>
      <c r="K377" s="617"/>
      <c r="L377" s="617"/>
      <c r="M377" s="617"/>
      <c r="N377" s="617"/>
      <c r="O377" s="617"/>
      <c r="P377" s="617"/>
      <c r="Q377" s="617"/>
      <c r="R377" s="617"/>
      <c r="S377" s="617"/>
      <c r="T377" s="617"/>
      <c r="U377" s="617"/>
      <c r="V377" s="617"/>
      <c r="W377" s="617"/>
      <c r="X377" s="617"/>
      <c r="Y377" s="617"/>
      <c r="Z377" s="617"/>
      <c r="AA377" s="617"/>
      <c r="AB377" s="617"/>
      <c r="AC377" s="617"/>
      <c r="AD377" s="617"/>
      <c r="AE377" s="617"/>
      <c r="AF377" s="617"/>
      <c r="AG377" s="617"/>
      <c r="AH377" s="617"/>
      <c r="AI377" s="617"/>
      <c r="AJ377" s="617"/>
      <c r="AK377" s="617"/>
      <c r="AL377" s="617"/>
    </row>
    <row r="378" spans="2:38" s="649" customFormat="1" ht="18" customHeight="1" x14ac:dyDescent="0.25">
      <c r="B378" s="632" t="s">
        <v>1304</v>
      </c>
      <c r="C378" s="634">
        <v>32400</v>
      </c>
      <c r="D378" s="656"/>
      <c r="E378" s="656"/>
      <c r="F378" s="634"/>
      <c r="H378" s="647"/>
      <c r="I378" s="617"/>
      <c r="J378" s="617"/>
      <c r="K378" s="617"/>
      <c r="L378" s="617"/>
      <c r="M378" s="617"/>
      <c r="N378" s="617"/>
      <c r="O378" s="617"/>
      <c r="P378" s="617"/>
      <c r="Q378" s="617"/>
      <c r="R378" s="617"/>
      <c r="S378" s="617"/>
      <c r="T378" s="617"/>
      <c r="U378" s="617"/>
      <c r="V378" s="617"/>
      <c r="W378" s="617"/>
      <c r="X378" s="617"/>
      <c r="Y378" s="617"/>
      <c r="Z378" s="617"/>
      <c r="AA378" s="617"/>
      <c r="AB378" s="617"/>
      <c r="AC378" s="617"/>
      <c r="AD378" s="617"/>
      <c r="AE378" s="617"/>
      <c r="AF378" s="617"/>
      <c r="AG378" s="617"/>
      <c r="AH378" s="617"/>
      <c r="AI378" s="617"/>
      <c r="AJ378" s="617"/>
      <c r="AK378" s="617"/>
      <c r="AL378" s="617"/>
    </row>
    <row r="379" spans="2:38" s="649" customFormat="1" ht="18" customHeight="1" x14ac:dyDescent="0.25">
      <c r="B379" s="632" t="s">
        <v>1385</v>
      </c>
      <c r="C379" s="634">
        <v>36001</v>
      </c>
      <c r="D379" s="656"/>
      <c r="E379" s="656"/>
      <c r="F379" s="634"/>
      <c r="H379" s="647"/>
      <c r="I379" s="617"/>
      <c r="J379" s="617"/>
      <c r="K379" s="617"/>
      <c r="L379" s="617"/>
      <c r="M379" s="617"/>
      <c r="N379" s="617"/>
      <c r="O379" s="617"/>
      <c r="P379" s="617"/>
      <c r="Q379" s="617"/>
      <c r="R379" s="617"/>
      <c r="S379" s="617"/>
      <c r="T379" s="617"/>
      <c r="U379" s="617"/>
      <c r="V379" s="617"/>
      <c r="W379" s="617"/>
      <c r="X379" s="617"/>
      <c r="Y379" s="617"/>
      <c r="Z379" s="617"/>
      <c r="AA379" s="617"/>
      <c r="AB379" s="617"/>
      <c r="AC379" s="617"/>
      <c r="AD379" s="617"/>
      <c r="AE379" s="617"/>
      <c r="AF379" s="617"/>
      <c r="AG379" s="617"/>
      <c r="AH379" s="617"/>
      <c r="AI379" s="617"/>
      <c r="AJ379" s="617"/>
      <c r="AK379" s="617"/>
      <c r="AL379" s="617"/>
    </row>
    <row r="380" spans="2:38" s="649" customFormat="1" ht="18" customHeight="1" x14ac:dyDescent="0.25">
      <c r="B380" s="632" t="s">
        <v>1235</v>
      </c>
      <c r="C380" s="634">
        <v>19005</v>
      </c>
      <c r="D380" s="656"/>
      <c r="E380" s="656"/>
      <c r="F380" s="634"/>
      <c r="H380" s="647"/>
      <c r="I380" s="617"/>
      <c r="J380" s="617"/>
      <c r="K380" s="617"/>
      <c r="L380" s="617"/>
      <c r="M380" s="617"/>
      <c r="N380" s="617"/>
      <c r="O380" s="617"/>
      <c r="P380" s="617"/>
      <c r="Q380" s="617"/>
      <c r="R380" s="617"/>
      <c r="S380" s="617"/>
      <c r="T380" s="617"/>
      <c r="U380" s="617"/>
      <c r="V380" s="617"/>
      <c r="W380" s="617"/>
      <c r="X380" s="617"/>
      <c r="Y380" s="617"/>
      <c r="Z380" s="617"/>
      <c r="AA380" s="617"/>
      <c r="AB380" s="617"/>
      <c r="AC380" s="617"/>
      <c r="AD380" s="617"/>
      <c r="AE380" s="617"/>
      <c r="AF380" s="617"/>
      <c r="AG380" s="617"/>
      <c r="AH380" s="617"/>
      <c r="AI380" s="617"/>
      <c r="AJ380" s="617"/>
      <c r="AK380" s="617"/>
      <c r="AL380" s="617"/>
    </row>
    <row r="381" spans="2:38" s="649" customFormat="1" ht="18" customHeight="1" x14ac:dyDescent="0.25">
      <c r="B381" s="632" t="s">
        <v>1387</v>
      </c>
      <c r="C381" s="634">
        <v>36003</v>
      </c>
      <c r="D381" s="656"/>
      <c r="E381" s="656"/>
      <c r="F381" s="634"/>
      <c r="H381" s="647"/>
      <c r="I381" s="617"/>
      <c r="J381" s="617"/>
      <c r="K381" s="617"/>
      <c r="L381" s="617"/>
      <c r="M381" s="617"/>
      <c r="N381" s="617"/>
      <c r="O381" s="617"/>
      <c r="P381" s="617"/>
      <c r="Q381" s="617"/>
      <c r="R381" s="617"/>
      <c r="S381" s="617"/>
      <c r="T381" s="617"/>
      <c r="U381" s="617"/>
      <c r="V381" s="617"/>
      <c r="W381" s="617"/>
      <c r="X381" s="617"/>
      <c r="Y381" s="617"/>
      <c r="Z381" s="617"/>
      <c r="AA381" s="617"/>
      <c r="AB381" s="617"/>
      <c r="AC381" s="617"/>
      <c r="AD381" s="617"/>
      <c r="AE381" s="617"/>
      <c r="AF381" s="617"/>
      <c r="AG381" s="617"/>
      <c r="AH381" s="617"/>
      <c r="AI381" s="617"/>
      <c r="AJ381" s="617"/>
      <c r="AK381" s="617"/>
      <c r="AL381" s="617"/>
    </row>
    <row r="382" spans="2:38" s="649" customFormat="1" ht="18" customHeight="1" x14ac:dyDescent="0.25">
      <c r="B382" s="632" t="s">
        <v>1490</v>
      </c>
      <c r="C382" s="634">
        <v>40000</v>
      </c>
      <c r="D382" s="656"/>
      <c r="E382" s="656"/>
      <c r="F382" s="634"/>
      <c r="H382" s="647"/>
      <c r="I382" s="617"/>
      <c r="J382" s="617"/>
      <c r="K382" s="617"/>
      <c r="L382" s="617"/>
      <c r="M382" s="617"/>
      <c r="N382" s="617"/>
      <c r="O382" s="617"/>
      <c r="P382" s="617"/>
      <c r="Q382" s="617"/>
      <c r="R382" s="617"/>
      <c r="S382" s="617"/>
      <c r="T382" s="617"/>
      <c r="U382" s="617"/>
      <c r="V382" s="617"/>
      <c r="W382" s="617"/>
      <c r="X382" s="617"/>
      <c r="Y382" s="617"/>
      <c r="Z382" s="617"/>
      <c r="AA382" s="617"/>
      <c r="AB382" s="617"/>
      <c r="AC382" s="617"/>
      <c r="AD382" s="617"/>
      <c r="AE382" s="617"/>
      <c r="AF382" s="617"/>
      <c r="AG382" s="617"/>
      <c r="AH382" s="617"/>
      <c r="AI382" s="617"/>
      <c r="AJ382" s="617"/>
      <c r="AK382" s="617"/>
      <c r="AL382" s="617"/>
    </row>
    <row r="383" spans="2:38" s="649" customFormat="1" ht="18" customHeight="1" x14ac:dyDescent="0.25">
      <c r="B383" s="632" t="s">
        <v>1320</v>
      </c>
      <c r="C383" s="634">
        <v>33027</v>
      </c>
      <c r="D383" s="656"/>
      <c r="E383" s="656"/>
      <c r="F383" s="634"/>
      <c r="H383" s="647"/>
      <c r="I383" s="617"/>
      <c r="J383" s="617"/>
      <c r="K383" s="617"/>
      <c r="L383" s="617"/>
      <c r="M383" s="617"/>
      <c r="N383" s="617"/>
      <c r="O383" s="617"/>
      <c r="P383" s="617"/>
      <c r="Q383" s="617"/>
      <c r="R383" s="617"/>
      <c r="S383" s="617"/>
      <c r="T383" s="617"/>
      <c r="U383" s="617"/>
      <c r="V383" s="617"/>
      <c r="W383" s="617"/>
      <c r="X383" s="617"/>
      <c r="Y383" s="617"/>
      <c r="Z383" s="617"/>
      <c r="AA383" s="617"/>
      <c r="AB383" s="617"/>
      <c r="AC383" s="617"/>
      <c r="AD383" s="617"/>
      <c r="AE383" s="617"/>
      <c r="AF383" s="617"/>
      <c r="AG383" s="617"/>
      <c r="AH383" s="617"/>
      <c r="AI383" s="617"/>
      <c r="AJ383" s="617"/>
      <c r="AK383" s="617"/>
      <c r="AL383" s="617"/>
    </row>
    <row r="384" spans="2:38" s="649" customFormat="1" ht="18" customHeight="1" x14ac:dyDescent="0.25">
      <c r="B384" s="632" t="s">
        <v>1388</v>
      </c>
      <c r="C384" s="634">
        <v>36004</v>
      </c>
      <c r="D384" s="656"/>
      <c r="E384" s="656"/>
      <c r="F384" s="634"/>
      <c r="H384" s="647"/>
      <c r="I384" s="617"/>
      <c r="J384" s="617"/>
      <c r="K384" s="617"/>
      <c r="L384" s="617"/>
      <c r="M384" s="617"/>
      <c r="N384" s="617"/>
      <c r="O384" s="617"/>
      <c r="P384" s="617"/>
      <c r="Q384" s="617"/>
      <c r="R384" s="617"/>
      <c r="S384" s="617"/>
      <c r="T384" s="617"/>
      <c r="U384" s="617"/>
      <c r="V384" s="617"/>
      <c r="W384" s="617"/>
      <c r="X384" s="617"/>
      <c r="Y384" s="617"/>
      <c r="Z384" s="617"/>
      <c r="AA384" s="617"/>
      <c r="AB384" s="617"/>
      <c r="AC384" s="617"/>
      <c r="AD384" s="617"/>
      <c r="AE384" s="617"/>
      <c r="AF384" s="617"/>
      <c r="AG384" s="617"/>
      <c r="AH384" s="617"/>
      <c r="AI384" s="617"/>
      <c r="AJ384" s="617"/>
      <c r="AK384" s="617"/>
      <c r="AL384" s="617"/>
    </row>
    <row r="385" spans="2:38" s="649" customFormat="1" ht="18" customHeight="1" x14ac:dyDescent="0.25">
      <c r="B385" s="632" t="s">
        <v>1308</v>
      </c>
      <c r="C385" s="634">
        <v>32505</v>
      </c>
      <c r="D385" s="656"/>
      <c r="E385" s="656"/>
      <c r="F385" s="634"/>
      <c r="H385" s="647"/>
      <c r="I385" s="617"/>
      <c r="J385" s="617"/>
      <c r="K385" s="617"/>
      <c r="L385" s="617"/>
      <c r="M385" s="617"/>
      <c r="N385" s="617"/>
      <c r="O385" s="617"/>
      <c r="P385" s="617"/>
      <c r="Q385" s="617"/>
      <c r="R385" s="617"/>
      <c r="S385" s="617"/>
      <c r="T385" s="617"/>
      <c r="U385" s="617"/>
      <c r="V385" s="617"/>
      <c r="W385" s="617"/>
      <c r="X385" s="617"/>
      <c r="Y385" s="617"/>
      <c r="Z385" s="617"/>
      <c r="AA385" s="617"/>
      <c r="AB385" s="617"/>
      <c r="AC385" s="617"/>
      <c r="AD385" s="617"/>
      <c r="AE385" s="617"/>
      <c r="AF385" s="617"/>
      <c r="AG385" s="617"/>
      <c r="AH385" s="617"/>
      <c r="AI385" s="617"/>
      <c r="AJ385" s="617"/>
      <c r="AK385" s="617"/>
      <c r="AL385" s="617"/>
    </row>
    <row r="386" spans="2:38" s="649" customFormat="1" ht="18" customHeight="1" x14ac:dyDescent="0.25">
      <c r="B386" s="632" t="s">
        <v>1309</v>
      </c>
      <c r="C386" s="634">
        <v>32600</v>
      </c>
      <c r="D386" s="656"/>
      <c r="E386" s="656"/>
      <c r="F386" s="634"/>
      <c r="H386" s="647"/>
      <c r="I386" s="617"/>
      <c r="J386" s="617"/>
      <c r="K386" s="617"/>
      <c r="L386" s="617"/>
      <c r="M386" s="617"/>
      <c r="N386" s="617"/>
      <c r="O386" s="617"/>
      <c r="P386" s="617"/>
      <c r="Q386" s="617"/>
      <c r="R386" s="617"/>
      <c r="S386" s="617"/>
      <c r="T386" s="617"/>
      <c r="U386" s="617"/>
      <c r="V386" s="617"/>
      <c r="W386" s="617"/>
      <c r="X386" s="617"/>
      <c r="Y386" s="617"/>
      <c r="Z386" s="617"/>
      <c r="AA386" s="617"/>
      <c r="AB386" s="617"/>
      <c r="AC386" s="617"/>
      <c r="AD386" s="617"/>
      <c r="AE386" s="617"/>
      <c r="AF386" s="617"/>
      <c r="AG386" s="617"/>
      <c r="AH386" s="617"/>
      <c r="AI386" s="617"/>
      <c r="AJ386" s="617"/>
      <c r="AK386" s="617"/>
      <c r="AL386" s="617"/>
    </row>
    <row r="387" spans="2:38" s="649" customFormat="1" ht="18" customHeight="1" x14ac:dyDescent="0.25">
      <c r="B387" s="632" t="s">
        <v>1311</v>
      </c>
      <c r="C387" s="634">
        <v>32700</v>
      </c>
      <c r="D387" s="656"/>
      <c r="E387" s="656"/>
      <c r="F387" s="634"/>
      <c r="H387" s="647"/>
      <c r="I387" s="617"/>
      <c r="J387" s="617"/>
      <c r="K387" s="617"/>
      <c r="L387" s="617"/>
      <c r="M387" s="617"/>
      <c r="N387" s="617"/>
      <c r="O387" s="617"/>
      <c r="P387" s="617"/>
      <c r="Q387" s="617"/>
      <c r="R387" s="617"/>
      <c r="S387" s="617"/>
      <c r="T387" s="617"/>
      <c r="U387" s="617"/>
      <c r="V387" s="617"/>
      <c r="W387" s="617"/>
      <c r="X387" s="617"/>
      <c r="Y387" s="617"/>
      <c r="Z387" s="617"/>
      <c r="AA387" s="617"/>
      <c r="AB387" s="617"/>
      <c r="AC387" s="617"/>
      <c r="AD387" s="617"/>
      <c r="AE387" s="617"/>
      <c r="AF387" s="617"/>
      <c r="AG387" s="617"/>
      <c r="AH387" s="617"/>
      <c r="AI387" s="617"/>
      <c r="AJ387" s="617"/>
      <c r="AK387" s="617"/>
      <c r="AL387" s="617"/>
    </row>
    <row r="388" spans="2:38" s="649" customFormat="1" ht="18" customHeight="1" x14ac:dyDescent="0.25">
      <c r="B388" s="632" t="s">
        <v>1312</v>
      </c>
      <c r="C388" s="634">
        <v>32800</v>
      </c>
      <c r="D388" s="656"/>
      <c r="E388" s="656"/>
      <c r="F388" s="634"/>
      <c r="H388" s="647"/>
      <c r="I388" s="617"/>
      <c r="J388" s="617"/>
      <c r="K388" s="617"/>
      <c r="L388" s="617"/>
      <c r="M388" s="617"/>
      <c r="N388" s="617"/>
      <c r="O388" s="617"/>
      <c r="P388" s="617"/>
      <c r="Q388" s="617"/>
      <c r="R388" s="617"/>
      <c r="S388" s="617"/>
      <c r="T388" s="617"/>
      <c r="U388" s="617"/>
      <c r="V388" s="617"/>
      <c r="W388" s="617"/>
      <c r="X388" s="617"/>
      <c r="Y388" s="617"/>
      <c r="Z388" s="617"/>
      <c r="AA388" s="617"/>
      <c r="AB388" s="617"/>
      <c r="AC388" s="617"/>
      <c r="AD388" s="617"/>
      <c r="AE388" s="617"/>
      <c r="AF388" s="617"/>
      <c r="AG388" s="617"/>
      <c r="AH388" s="617"/>
      <c r="AI388" s="617"/>
      <c r="AJ388" s="617"/>
      <c r="AK388" s="617"/>
      <c r="AL388" s="617"/>
    </row>
    <row r="389" spans="2:38" s="649" customFormat="1" ht="18" customHeight="1" x14ac:dyDescent="0.25">
      <c r="B389" s="632" t="s">
        <v>1315</v>
      </c>
      <c r="C389" s="634">
        <v>32905</v>
      </c>
      <c r="D389" s="656"/>
      <c r="E389" s="656"/>
      <c r="F389" s="634"/>
      <c r="H389" s="647"/>
      <c r="I389" s="617"/>
      <c r="J389" s="617"/>
      <c r="K389" s="617"/>
      <c r="L389" s="617"/>
      <c r="M389" s="617"/>
      <c r="N389" s="617"/>
      <c r="O389" s="617"/>
      <c r="P389" s="617"/>
      <c r="Q389" s="617"/>
      <c r="R389" s="617"/>
      <c r="S389" s="617"/>
      <c r="T389" s="617"/>
      <c r="U389" s="617"/>
      <c r="V389" s="617"/>
      <c r="W389" s="617"/>
      <c r="X389" s="617"/>
      <c r="Y389" s="617"/>
      <c r="Z389" s="617"/>
      <c r="AA389" s="617"/>
      <c r="AB389" s="617"/>
      <c r="AC389" s="617"/>
      <c r="AD389" s="617"/>
      <c r="AE389" s="617"/>
      <c r="AF389" s="617"/>
      <c r="AG389" s="617"/>
      <c r="AH389" s="617"/>
      <c r="AI389" s="617"/>
      <c r="AJ389" s="617"/>
      <c r="AK389" s="617"/>
      <c r="AL389" s="617"/>
    </row>
    <row r="390" spans="2:38" s="649" customFormat="1" ht="18" customHeight="1" x14ac:dyDescent="0.25">
      <c r="B390" s="632" t="s">
        <v>1313</v>
      </c>
      <c r="C390" s="634">
        <v>32900</v>
      </c>
      <c r="D390" s="656"/>
      <c r="E390" s="656"/>
      <c r="F390" s="634"/>
      <c r="H390" s="647"/>
      <c r="I390" s="617"/>
      <c r="J390" s="617"/>
      <c r="K390" s="617"/>
      <c r="L390" s="617"/>
      <c r="M390" s="617"/>
      <c r="N390" s="617"/>
      <c r="O390" s="617"/>
      <c r="P390" s="617"/>
      <c r="Q390" s="617"/>
      <c r="R390" s="617"/>
      <c r="S390" s="617"/>
      <c r="T390" s="617"/>
      <c r="U390" s="617"/>
      <c r="V390" s="617"/>
      <c r="W390" s="617"/>
      <c r="X390" s="617"/>
      <c r="Y390" s="617"/>
      <c r="Z390" s="617"/>
      <c r="AA390" s="617"/>
      <c r="AB390" s="617"/>
      <c r="AC390" s="617"/>
      <c r="AD390" s="617"/>
      <c r="AE390" s="617"/>
      <c r="AF390" s="617"/>
      <c r="AG390" s="617"/>
      <c r="AH390" s="617"/>
      <c r="AI390" s="617"/>
      <c r="AJ390" s="617"/>
      <c r="AK390" s="617"/>
      <c r="AL390" s="617"/>
    </row>
    <row r="391" spans="2:38" s="649" customFormat="1" ht="18" customHeight="1" x14ac:dyDescent="0.25">
      <c r="B391" s="632" t="s">
        <v>1318</v>
      </c>
      <c r="C391" s="634">
        <v>33000</v>
      </c>
      <c r="D391" s="656"/>
      <c r="E391" s="656"/>
      <c r="F391" s="634"/>
      <c r="H391" s="647"/>
      <c r="I391" s="617"/>
      <c r="J391" s="617"/>
      <c r="K391" s="617"/>
      <c r="L391" s="617"/>
      <c r="M391" s="617"/>
      <c r="N391" s="617"/>
      <c r="O391" s="617"/>
      <c r="P391" s="617"/>
      <c r="Q391" s="617"/>
      <c r="R391" s="617"/>
      <c r="S391" s="617"/>
      <c r="T391" s="617"/>
      <c r="U391" s="617"/>
      <c r="V391" s="617"/>
      <c r="W391" s="617"/>
      <c r="X391" s="617"/>
      <c r="Y391" s="617"/>
      <c r="Z391" s="617"/>
      <c r="AA391" s="617"/>
      <c r="AB391" s="617"/>
      <c r="AC391" s="617"/>
      <c r="AD391" s="617"/>
      <c r="AE391" s="617"/>
      <c r="AF391" s="617"/>
      <c r="AG391" s="617"/>
      <c r="AH391" s="617"/>
      <c r="AI391" s="617"/>
      <c r="AJ391" s="617"/>
      <c r="AK391" s="617"/>
      <c r="AL391" s="617"/>
    </row>
    <row r="392" spans="2:38" s="649" customFormat="1" ht="18" customHeight="1" x14ac:dyDescent="0.25">
      <c r="B392" s="632" t="s">
        <v>1210</v>
      </c>
      <c r="C392" s="634">
        <v>10900</v>
      </c>
      <c r="D392" s="656"/>
      <c r="E392" s="656"/>
      <c r="F392" s="634"/>
      <c r="H392" s="647"/>
      <c r="I392" s="617"/>
      <c r="J392" s="617"/>
      <c r="K392" s="617"/>
      <c r="L392" s="617"/>
      <c r="M392" s="617"/>
      <c r="N392" s="617"/>
      <c r="O392" s="617"/>
      <c r="P392" s="617"/>
      <c r="Q392" s="617"/>
      <c r="R392" s="617"/>
      <c r="S392" s="617"/>
      <c r="T392" s="617"/>
      <c r="U392" s="617"/>
      <c r="V392" s="617"/>
      <c r="W392" s="617"/>
      <c r="X392" s="617"/>
      <c r="Y392" s="617"/>
      <c r="Z392" s="617"/>
      <c r="AA392" s="617"/>
      <c r="AB392" s="617"/>
      <c r="AC392" s="617"/>
      <c r="AD392" s="617"/>
      <c r="AE392" s="617"/>
      <c r="AF392" s="617"/>
      <c r="AG392" s="617"/>
      <c r="AH392" s="617"/>
      <c r="AI392" s="617"/>
      <c r="AJ392" s="617"/>
      <c r="AK392" s="617"/>
      <c r="AL392" s="617"/>
    </row>
    <row r="393" spans="2:38" s="649" customFormat="1" ht="18" customHeight="1" x14ac:dyDescent="0.25">
      <c r="B393" s="632" t="s">
        <v>1230</v>
      </c>
      <c r="C393" s="634">
        <v>18400</v>
      </c>
      <c r="D393" s="656"/>
      <c r="E393" s="656"/>
      <c r="F393" s="634"/>
      <c r="H393" s="647"/>
      <c r="I393" s="617"/>
      <c r="J393" s="617"/>
      <c r="K393" s="617"/>
      <c r="L393" s="617"/>
      <c r="M393" s="617"/>
      <c r="N393" s="617"/>
      <c r="O393" s="617"/>
      <c r="P393" s="617"/>
      <c r="Q393" s="617"/>
      <c r="R393" s="617"/>
      <c r="S393" s="617"/>
      <c r="T393" s="617"/>
      <c r="U393" s="617"/>
      <c r="V393" s="617"/>
      <c r="W393" s="617"/>
      <c r="X393" s="617"/>
      <c r="Y393" s="617"/>
      <c r="Z393" s="617"/>
      <c r="AA393" s="617"/>
      <c r="AB393" s="617"/>
      <c r="AC393" s="617"/>
      <c r="AD393" s="617"/>
      <c r="AE393" s="617"/>
      <c r="AF393" s="617"/>
      <c r="AG393" s="617"/>
      <c r="AH393" s="617"/>
      <c r="AI393" s="617"/>
      <c r="AJ393" s="617"/>
      <c r="AK393" s="617"/>
      <c r="AL393" s="617"/>
    </row>
    <row r="394" spans="2:38" s="649" customFormat="1" ht="18" customHeight="1" x14ac:dyDescent="0.25">
      <c r="B394" s="632" t="s">
        <v>1223</v>
      </c>
      <c r="C394" s="634">
        <v>12510</v>
      </c>
      <c r="D394" s="656"/>
      <c r="E394" s="656"/>
      <c r="F394" s="634"/>
      <c r="H394" s="647"/>
      <c r="I394" s="617"/>
      <c r="J394" s="617"/>
      <c r="K394" s="617"/>
      <c r="L394" s="617"/>
      <c r="M394" s="617"/>
      <c r="N394" s="617"/>
      <c r="O394" s="617"/>
      <c r="P394" s="617"/>
      <c r="Q394" s="617"/>
      <c r="R394" s="617"/>
      <c r="S394" s="617"/>
      <c r="T394" s="617"/>
      <c r="U394" s="617"/>
      <c r="V394" s="617"/>
      <c r="W394" s="617"/>
      <c r="X394" s="617"/>
      <c r="Y394" s="617"/>
      <c r="Z394" s="617"/>
      <c r="AA394" s="617"/>
      <c r="AB394" s="617"/>
      <c r="AC394" s="617"/>
      <c r="AD394" s="617"/>
      <c r="AE394" s="617"/>
      <c r="AF394" s="617"/>
      <c r="AG394" s="617"/>
      <c r="AH394" s="617"/>
      <c r="AI394" s="617"/>
      <c r="AJ394" s="617"/>
      <c r="AK394" s="617"/>
      <c r="AL394" s="617"/>
    </row>
    <row r="395" spans="2:38" s="649" customFormat="1" ht="18" customHeight="1" x14ac:dyDescent="0.25">
      <c r="B395" s="632" t="s">
        <v>1207</v>
      </c>
      <c r="C395" s="634">
        <v>10700</v>
      </c>
      <c r="D395" s="656"/>
      <c r="E395" s="656"/>
      <c r="F395" s="634"/>
      <c r="H395" s="647"/>
      <c r="I395" s="617"/>
      <c r="J395" s="617"/>
      <c r="K395" s="617"/>
      <c r="L395" s="617"/>
      <c r="M395" s="617"/>
      <c r="N395" s="617"/>
      <c r="O395" s="617"/>
      <c r="P395" s="617"/>
      <c r="Q395" s="617"/>
      <c r="R395" s="617"/>
      <c r="S395" s="617"/>
      <c r="T395" s="617"/>
      <c r="U395" s="617"/>
      <c r="V395" s="617"/>
      <c r="W395" s="617"/>
      <c r="X395" s="617"/>
      <c r="Y395" s="617"/>
      <c r="Z395" s="617"/>
      <c r="AA395" s="617"/>
      <c r="AB395" s="617"/>
      <c r="AC395" s="617"/>
      <c r="AD395" s="617"/>
      <c r="AE395" s="617"/>
      <c r="AF395" s="617"/>
      <c r="AG395" s="617"/>
      <c r="AH395" s="617"/>
      <c r="AI395" s="617"/>
      <c r="AJ395" s="617"/>
      <c r="AK395" s="617"/>
      <c r="AL395" s="617"/>
    </row>
    <row r="396" spans="2:38" s="649" customFormat="1" ht="18" customHeight="1" x14ac:dyDescent="0.25">
      <c r="B396" s="632" t="s">
        <v>1205</v>
      </c>
      <c r="C396" s="634">
        <v>10400</v>
      </c>
      <c r="D396" s="656"/>
      <c r="E396" s="656"/>
      <c r="F396" s="634"/>
      <c r="H396" s="647"/>
      <c r="I396" s="617"/>
      <c r="J396" s="617"/>
      <c r="K396" s="617"/>
      <c r="L396" s="617"/>
      <c r="M396" s="617"/>
      <c r="N396" s="617"/>
      <c r="O396" s="617"/>
      <c r="P396" s="617"/>
      <c r="Q396" s="617"/>
      <c r="R396" s="617"/>
      <c r="S396" s="617"/>
      <c r="T396" s="617"/>
      <c r="U396" s="617"/>
      <c r="V396" s="617"/>
      <c r="W396" s="617"/>
      <c r="X396" s="617"/>
      <c r="Y396" s="617"/>
      <c r="Z396" s="617"/>
      <c r="AA396" s="617"/>
      <c r="AB396" s="617"/>
      <c r="AC396" s="617"/>
      <c r="AD396" s="617"/>
      <c r="AE396" s="617"/>
      <c r="AF396" s="617"/>
      <c r="AG396" s="617"/>
      <c r="AH396" s="617"/>
      <c r="AI396" s="617"/>
      <c r="AJ396" s="617"/>
      <c r="AK396" s="617"/>
      <c r="AL396" s="617"/>
    </row>
    <row r="397" spans="2:38" s="649" customFormat="1" ht="18" customHeight="1" x14ac:dyDescent="0.25">
      <c r="B397" s="632" t="s">
        <v>1253</v>
      </c>
      <c r="C397" s="634">
        <v>22000</v>
      </c>
      <c r="D397" s="656"/>
      <c r="E397" s="656"/>
      <c r="F397" s="634"/>
      <c r="H397" s="647"/>
      <c r="I397" s="617"/>
      <c r="J397" s="617"/>
      <c r="K397" s="617"/>
      <c r="L397" s="617"/>
      <c r="M397" s="617"/>
      <c r="N397" s="617"/>
      <c r="O397" s="617"/>
      <c r="P397" s="617"/>
      <c r="Q397" s="617"/>
      <c r="R397" s="617"/>
      <c r="S397" s="617"/>
      <c r="T397" s="617"/>
      <c r="U397" s="617"/>
      <c r="V397" s="617"/>
      <c r="W397" s="617"/>
      <c r="X397" s="617"/>
      <c r="Y397" s="617"/>
      <c r="Z397" s="617"/>
      <c r="AA397" s="617"/>
      <c r="AB397" s="617"/>
      <c r="AC397" s="617"/>
      <c r="AD397" s="617"/>
      <c r="AE397" s="617"/>
      <c r="AF397" s="617"/>
      <c r="AG397" s="617"/>
      <c r="AH397" s="617"/>
      <c r="AI397" s="617"/>
      <c r="AJ397" s="617"/>
      <c r="AK397" s="617"/>
      <c r="AL397" s="617"/>
    </row>
    <row r="398" spans="2:38" s="649" customFormat="1" ht="18" customHeight="1" x14ac:dyDescent="0.25">
      <c r="B398" s="632" t="s">
        <v>1236</v>
      </c>
      <c r="C398" s="634">
        <v>19100</v>
      </c>
      <c r="D398" s="656"/>
      <c r="E398" s="656"/>
      <c r="F398" s="634"/>
      <c r="H398" s="647"/>
      <c r="I398" s="617"/>
      <c r="J398" s="617"/>
      <c r="K398" s="617"/>
      <c r="L398" s="617"/>
      <c r="M398" s="617"/>
      <c r="N398" s="617"/>
      <c r="O398" s="617"/>
      <c r="P398" s="617"/>
      <c r="Q398" s="617"/>
      <c r="R398" s="617"/>
      <c r="S398" s="617"/>
      <c r="T398" s="617"/>
      <c r="U398" s="617"/>
      <c r="V398" s="617"/>
      <c r="W398" s="617"/>
      <c r="X398" s="617"/>
      <c r="Y398" s="617"/>
      <c r="Z398" s="617"/>
      <c r="AA398" s="617"/>
      <c r="AB398" s="617"/>
      <c r="AC398" s="617"/>
      <c r="AD398" s="617"/>
      <c r="AE398" s="617"/>
      <c r="AF398" s="617"/>
      <c r="AG398" s="617"/>
      <c r="AH398" s="617"/>
      <c r="AI398" s="617"/>
      <c r="AJ398" s="617"/>
      <c r="AK398" s="617"/>
      <c r="AL398" s="617"/>
    </row>
    <row r="399" spans="2:38" s="649" customFormat="1" ht="18" customHeight="1" x14ac:dyDescent="0.25">
      <c r="B399" s="632" t="s">
        <v>1321</v>
      </c>
      <c r="C399" s="634">
        <v>33100</v>
      </c>
      <c r="D399" s="656"/>
      <c r="E399" s="656"/>
      <c r="F399" s="634"/>
      <c r="H399" s="647"/>
      <c r="I399" s="617"/>
      <c r="J399" s="617"/>
      <c r="K399" s="617"/>
      <c r="L399" s="617"/>
      <c r="M399" s="617"/>
      <c r="N399" s="617"/>
      <c r="O399" s="617"/>
      <c r="P399" s="617"/>
      <c r="Q399" s="617"/>
      <c r="R399" s="617"/>
      <c r="S399" s="617"/>
      <c r="T399" s="617"/>
      <c r="U399" s="617"/>
      <c r="V399" s="617"/>
      <c r="W399" s="617"/>
      <c r="X399" s="617"/>
      <c r="Y399" s="617"/>
      <c r="Z399" s="617"/>
      <c r="AA399" s="617"/>
      <c r="AB399" s="617"/>
      <c r="AC399" s="617"/>
      <c r="AD399" s="617"/>
      <c r="AE399" s="617"/>
      <c r="AF399" s="617"/>
      <c r="AG399" s="617"/>
      <c r="AH399" s="617"/>
      <c r="AI399" s="617"/>
      <c r="AJ399" s="617"/>
      <c r="AK399" s="617"/>
      <c r="AL399" s="617"/>
    </row>
    <row r="400" spans="2:38" s="649" customFormat="1" ht="18" customHeight="1" x14ac:dyDescent="0.25">
      <c r="B400" s="632" t="s">
        <v>1323</v>
      </c>
      <c r="C400" s="634">
        <v>33200</v>
      </c>
      <c r="D400" s="656"/>
      <c r="E400" s="656"/>
      <c r="F400" s="634"/>
      <c r="H400" s="647"/>
      <c r="I400" s="617"/>
      <c r="J400" s="617"/>
      <c r="K400" s="617"/>
      <c r="L400" s="617"/>
      <c r="M400" s="617"/>
      <c r="N400" s="617"/>
      <c r="O400" s="617"/>
      <c r="P400" s="617"/>
      <c r="Q400" s="617"/>
      <c r="R400" s="617"/>
      <c r="S400" s="617"/>
      <c r="T400" s="617"/>
      <c r="U400" s="617"/>
      <c r="V400" s="617"/>
      <c r="W400" s="617"/>
      <c r="X400" s="617"/>
      <c r="Y400" s="617"/>
      <c r="Z400" s="617"/>
      <c r="AA400" s="617"/>
      <c r="AB400" s="617"/>
      <c r="AC400" s="617"/>
      <c r="AD400" s="617"/>
      <c r="AE400" s="617"/>
      <c r="AF400" s="617"/>
      <c r="AG400" s="617"/>
      <c r="AH400" s="617"/>
      <c r="AI400" s="617"/>
      <c r="AJ400" s="617"/>
      <c r="AK400" s="617"/>
      <c r="AL400" s="617"/>
    </row>
    <row r="401" spans="2:38" s="649" customFormat="1" ht="18" customHeight="1" x14ac:dyDescent="0.25">
      <c r="B401" s="632" t="s">
        <v>1327</v>
      </c>
      <c r="C401" s="634">
        <v>33205</v>
      </c>
      <c r="D401" s="656"/>
      <c r="E401" s="656"/>
      <c r="F401" s="634"/>
      <c r="H401" s="647"/>
      <c r="I401" s="617"/>
      <c r="J401" s="617"/>
      <c r="K401" s="617"/>
      <c r="L401" s="617"/>
      <c r="M401" s="617"/>
      <c r="N401" s="617"/>
      <c r="O401" s="617"/>
      <c r="P401" s="617"/>
      <c r="Q401" s="617"/>
      <c r="R401" s="617"/>
      <c r="S401" s="617"/>
      <c r="T401" s="617"/>
      <c r="U401" s="617"/>
      <c r="V401" s="617"/>
      <c r="W401" s="617"/>
      <c r="X401" s="617"/>
      <c r="Y401" s="617"/>
      <c r="Z401" s="617"/>
      <c r="AA401" s="617"/>
      <c r="AB401" s="617"/>
      <c r="AC401" s="617"/>
      <c r="AD401" s="617"/>
      <c r="AE401" s="617"/>
      <c r="AF401" s="617"/>
      <c r="AG401" s="617"/>
      <c r="AH401" s="617"/>
      <c r="AI401" s="617"/>
      <c r="AJ401" s="617"/>
      <c r="AK401" s="617"/>
      <c r="AL401" s="617"/>
    </row>
    <row r="402" spans="2:38" s="649" customFormat="1" ht="18" customHeight="1" x14ac:dyDescent="0.25">
      <c r="B402" s="632" t="s">
        <v>1239</v>
      </c>
      <c r="C402" s="634">
        <v>20300</v>
      </c>
      <c r="D402" s="656"/>
      <c r="E402" s="656"/>
      <c r="F402" s="634"/>
      <c r="H402" s="647"/>
      <c r="I402" s="617"/>
      <c r="J402" s="617"/>
      <c r="K402" s="617"/>
      <c r="L402" s="617"/>
      <c r="M402" s="617"/>
      <c r="N402" s="617"/>
      <c r="O402" s="617"/>
      <c r="P402" s="617"/>
      <c r="Q402" s="617"/>
      <c r="R402" s="617"/>
      <c r="S402" s="617"/>
      <c r="T402" s="617"/>
      <c r="U402" s="617"/>
      <c r="V402" s="617"/>
      <c r="W402" s="617"/>
      <c r="X402" s="617"/>
      <c r="Y402" s="617"/>
      <c r="Z402" s="617"/>
      <c r="AA402" s="617"/>
      <c r="AB402" s="617"/>
      <c r="AC402" s="617"/>
      <c r="AD402" s="617"/>
      <c r="AE402" s="617"/>
      <c r="AF402" s="617"/>
      <c r="AG402" s="617"/>
      <c r="AH402" s="617"/>
      <c r="AI402" s="617"/>
      <c r="AJ402" s="617"/>
      <c r="AK402" s="617"/>
      <c r="AL402" s="617"/>
    </row>
    <row r="403" spans="2:38" s="649" customFormat="1" ht="18" customHeight="1" x14ac:dyDescent="0.25">
      <c r="B403" s="632" t="s">
        <v>1474</v>
      </c>
      <c r="C403" s="634">
        <v>39208</v>
      </c>
      <c r="D403" s="656"/>
      <c r="E403" s="656"/>
      <c r="F403" s="634"/>
      <c r="H403" s="647"/>
      <c r="I403" s="617"/>
      <c r="J403" s="617"/>
      <c r="K403" s="617"/>
      <c r="L403" s="617"/>
      <c r="M403" s="617"/>
      <c r="N403" s="617"/>
      <c r="O403" s="617"/>
      <c r="P403" s="617"/>
      <c r="Q403" s="617"/>
      <c r="R403" s="617"/>
      <c r="S403" s="617"/>
      <c r="T403" s="617"/>
      <c r="U403" s="617"/>
      <c r="V403" s="617"/>
      <c r="W403" s="617"/>
      <c r="X403" s="617"/>
      <c r="Y403" s="617"/>
      <c r="Z403" s="617"/>
      <c r="AA403" s="617"/>
      <c r="AB403" s="617"/>
      <c r="AC403" s="617"/>
      <c r="AD403" s="617"/>
      <c r="AE403" s="617"/>
      <c r="AF403" s="617"/>
      <c r="AG403" s="617"/>
      <c r="AH403" s="617"/>
      <c r="AI403" s="617"/>
      <c r="AJ403" s="617"/>
      <c r="AK403" s="617"/>
      <c r="AL403" s="617"/>
    </row>
    <row r="404" spans="2:38" s="649" customFormat="1" ht="18" customHeight="1" x14ac:dyDescent="0.25">
      <c r="B404" s="632" t="s">
        <v>1300</v>
      </c>
      <c r="C404" s="634">
        <v>32100</v>
      </c>
      <c r="D404" s="656"/>
      <c r="E404" s="656"/>
      <c r="F404" s="634"/>
      <c r="H404" s="647"/>
      <c r="I404" s="617"/>
      <c r="J404" s="617"/>
      <c r="K404" s="617"/>
      <c r="L404" s="617"/>
      <c r="M404" s="617"/>
      <c r="N404" s="617"/>
      <c r="O404" s="617"/>
      <c r="P404" s="617"/>
      <c r="Q404" s="617"/>
      <c r="R404" s="617"/>
      <c r="S404" s="617"/>
      <c r="T404" s="617"/>
      <c r="U404" s="617"/>
      <c r="V404" s="617"/>
      <c r="W404" s="617"/>
      <c r="X404" s="617"/>
      <c r="Y404" s="617"/>
      <c r="Z404" s="617"/>
      <c r="AA404" s="617"/>
      <c r="AB404" s="617"/>
      <c r="AC404" s="617"/>
      <c r="AD404" s="617"/>
      <c r="AE404" s="617"/>
      <c r="AF404" s="617"/>
      <c r="AG404" s="617"/>
      <c r="AH404" s="617"/>
      <c r="AI404" s="617"/>
      <c r="AJ404" s="617"/>
      <c r="AK404" s="617"/>
      <c r="AL404" s="617"/>
    </row>
    <row r="405" spans="2:38" s="649" customFormat="1" ht="18" customHeight="1" x14ac:dyDescent="0.25">
      <c r="B405" s="632" t="s">
        <v>1332</v>
      </c>
      <c r="C405" s="634">
        <v>33300</v>
      </c>
      <c r="D405" s="656"/>
      <c r="E405" s="656"/>
      <c r="F405" s="634"/>
      <c r="H405" s="647"/>
      <c r="I405" s="617"/>
      <c r="J405" s="617"/>
      <c r="K405" s="617"/>
      <c r="L405" s="617"/>
      <c r="M405" s="617"/>
      <c r="N405" s="617"/>
      <c r="O405" s="617"/>
      <c r="P405" s="617"/>
      <c r="Q405" s="617"/>
      <c r="R405" s="617"/>
      <c r="S405" s="617"/>
      <c r="T405" s="617"/>
      <c r="U405" s="617"/>
      <c r="V405" s="617"/>
      <c r="W405" s="617"/>
      <c r="X405" s="617"/>
      <c r="Y405" s="617"/>
      <c r="Z405" s="617"/>
      <c r="AA405" s="617"/>
      <c r="AB405" s="617"/>
      <c r="AC405" s="617"/>
      <c r="AD405" s="617"/>
      <c r="AE405" s="617"/>
      <c r="AF405" s="617"/>
      <c r="AG405" s="617"/>
      <c r="AH405" s="617"/>
      <c r="AI405" s="617"/>
      <c r="AJ405" s="617"/>
      <c r="AK405" s="617"/>
      <c r="AL405" s="617"/>
    </row>
    <row r="406" spans="2:38" s="649" customFormat="1" ht="18" customHeight="1" x14ac:dyDescent="0.25">
      <c r="B406" s="632" t="s">
        <v>1333</v>
      </c>
      <c r="C406" s="634">
        <v>33305</v>
      </c>
      <c r="D406" s="656"/>
      <c r="E406" s="656"/>
      <c r="F406" s="634"/>
      <c r="H406" s="647"/>
      <c r="I406" s="617"/>
      <c r="J406" s="617"/>
      <c r="K406" s="617"/>
      <c r="L406" s="617"/>
      <c r="M406" s="617"/>
      <c r="N406" s="617"/>
      <c r="O406" s="617"/>
      <c r="P406" s="617"/>
      <c r="Q406" s="617"/>
      <c r="R406" s="617"/>
      <c r="S406" s="617"/>
      <c r="T406" s="617"/>
      <c r="U406" s="617"/>
      <c r="V406" s="617"/>
      <c r="W406" s="617"/>
      <c r="X406" s="617"/>
      <c r="Y406" s="617"/>
      <c r="Z406" s="617"/>
      <c r="AA406" s="617"/>
      <c r="AB406" s="617"/>
      <c r="AC406" s="617"/>
      <c r="AD406" s="617"/>
      <c r="AE406" s="617"/>
      <c r="AF406" s="617"/>
      <c r="AG406" s="617"/>
      <c r="AH406" s="617"/>
      <c r="AI406" s="617"/>
      <c r="AJ406" s="617"/>
      <c r="AK406" s="617"/>
      <c r="AL406" s="617"/>
    </row>
    <row r="407" spans="2:38" s="649" customFormat="1" ht="18" customHeight="1" x14ac:dyDescent="0.25">
      <c r="B407" s="632" t="s">
        <v>1421</v>
      </c>
      <c r="C407" s="634">
        <v>37000</v>
      </c>
      <c r="D407" s="656"/>
      <c r="E407" s="656"/>
      <c r="F407" s="634"/>
      <c r="H407" s="647"/>
      <c r="I407" s="617"/>
      <c r="J407" s="617"/>
      <c r="K407" s="617"/>
      <c r="L407" s="617"/>
      <c r="M407" s="617"/>
      <c r="N407" s="617"/>
      <c r="O407" s="617"/>
      <c r="P407" s="617"/>
      <c r="Q407" s="617"/>
      <c r="R407" s="617"/>
      <c r="S407" s="617"/>
      <c r="T407" s="617"/>
      <c r="U407" s="617"/>
      <c r="V407" s="617"/>
      <c r="W407" s="617"/>
      <c r="X407" s="617"/>
      <c r="Y407" s="617"/>
      <c r="Z407" s="617"/>
      <c r="AA407" s="617"/>
      <c r="AB407" s="617"/>
      <c r="AC407" s="617"/>
      <c r="AD407" s="617"/>
      <c r="AE407" s="617"/>
      <c r="AF407" s="617"/>
      <c r="AG407" s="617"/>
      <c r="AH407" s="617"/>
      <c r="AI407" s="617"/>
      <c r="AJ407" s="617"/>
      <c r="AK407" s="617"/>
      <c r="AL407" s="617"/>
    </row>
    <row r="408" spans="2:38" s="649" customFormat="1" ht="18" customHeight="1" x14ac:dyDescent="0.25">
      <c r="B408" s="632" t="s">
        <v>1240</v>
      </c>
      <c r="C408" s="634">
        <v>20400</v>
      </c>
      <c r="D408" s="656"/>
      <c r="E408" s="656"/>
      <c r="F408" s="634"/>
      <c r="H408" s="647"/>
      <c r="I408" s="617"/>
      <c r="J408" s="617"/>
      <c r="K408" s="617"/>
      <c r="L408" s="617"/>
      <c r="M408" s="617"/>
      <c r="N408" s="617"/>
      <c r="O408" s="617"/>
      <c r="P408" s="617"/>
      <c r="Q408" s="617"/>
      <c r="R408" s="617"/>
      <c r="S408" s="617"/>
      <c r="T408" s="617"/>
      <c r="U408" s="617"/>
      <c r="V408" s="617"/>
      <c r="W408" s="617"/>
      <c r="X408" s="617"/>
      <c r="Y408" s="617"/>
      <c r="Z408" s="617"/>
      <c r="AA408" s="617"/>
      <c r="AB408" s="617"/>
      <c r="AC408" s="617"/>
      <c r="AD408" s="617"/>
      <c r="AE408" s="617"/>
      <c r="AF408" s="617"/>
      <c r="AG408" s="617"/>
      <c r="AH408" s="617"/>
      <c r="AI408" s="617"/>
      <c r="AJ408" s="617"/>
      <c r="AK408" s="617"/>
      <c r="AL408" s="617"/>
    </row>
    <row r="409" spans="2:38" s="649" customFormat="1" ht="18" customHeight="1" x14ac:dyDescent="0.25">
      <c r="B409" s="632" t="s">
        <v>1460</v>
      </c>
      <c r="C409" s="634">
        <v>38620</v>
      </c>
      <c r="D409" s="656"/>
      <c r="E409" s="656"/>
      <c r="F409" s="634"/>
      <c r="H409" s="647"/>
      <c r="I409" s="617"/>
      <c r="J409" s="617"/>
      <c r="K409" s="617"/>
      <c r="L409" s="617"/>
      <c r="M409" s="617"/>
      <c r="N409" s="617"/>
      <c r="O409" s="617"/>
      <c r="P409" s="617"/>
      <c r="Q409" s="617"/>
      <c r="R409" s="617"/>
      <c r="S409" s="617"/>
      <c r="T409" s="617"/>
      <c r="U409" s="617"/>
      <c r="V409" s="617"/>
      <c r="W409" s="617"/>
      <c r="X409" s="617"/>
      <c r="Y409" s="617"/>
      <c r="Z409" s="617"/>
      <c r="AA409" s="617"/>
      <c r="AB409" s="617"/>
      <c r="AC409" s="617"/>
      <c r="AD409" s="617"/>
      <c r="AE409" s="617"/>
      <c r="AF409" s="617"/>
      <c r="AG409" s="617"/>
      <c r="AH409" s="617"/>
      <c r="AI409" s="617"/>
      <c r="AJ409" s="617"/>
      <c r="AK409" s="617"/>
      <c r="AL409" s="617"/>
    </row>
    <row r="410" spans="2:38" s="649" customFormat="1" ht="18" customHeight="1" x14ac:dyDescent="0.25">
      <c r="B410" s="632" t="s">
        <v>1471</v>
      </c>
      <c r="C410" s="634">
        <v>39201</v>
      </c>
      <c r="D410" s="656"/>
      <c r="E410" s="656"/>
      <c r="F410" s="634"/>
      <c r="H410" s="647"/>
      <c r="I410" s="617"/>
      <c r="J410" s="617"/>
      <c r="K410" s="617"/>
      <c r="L410" s="617"/>
      <c r="M410" s="617"/>
      <c r="N410" s="617"/>
      <c r="O410" s="617"/>
      <c r="P410" s="617"/>
      <c r="Q410" s="617"/>
      <c r="R410" s="617"/>
      <c r="S410" s="617"/>
      <c r="T410" s="617"/>
      <c r="U410" s="617"/>
      <c r="V410" s="617"/>
      <c r="W410" s="617"/>
      <c r="X410" s="617"/>
      <c r="Y410" s="617"/>
      <c r="Z410" s="617"/>
      <c r="AA410" s="617"/>
      <c r="AB410" s="617"/>
      <c r="AC410" s="617"/>
      <c r="AD410" s="617"/>
      <c r="AE410" s="617"/>
      <c r="AF410" s="617"/>
      <c r="AG410" s="617"/>
      <c r="AH410" s="617"/>
      <c r="AI410" s="617"/>
      <c r="AJ410" s="617"/>
      <c r="AK410" s="617"/>
      <c r="AL410" s="617"/>
    </row>
    <row r="411" spans="2:38" s="649" customFormat="1" ht="18" customHeight="1" x14ac:dyDescent="0.25">
      <c r="B411" s="632" t="s">
        <v>1215</v>
      </c>
      <c r="C411" s="634">
        <v>11300</v>
      </c>
      <c r="D411" s="656"/>
      <c r="E411" s="656"/>
      <c r="F411" s="634"/>
      <c r="H411" s="647"/>
      <c r="I411" s="617"/>
      <c r="J411" s="617"/>
      <c r="K411" s="617"/>
      <c r="L411" s="617"/>
      <c r="M411" s="617"/>
      <c r="N411" s="617"/>
      <c r="O411" s="617"/>
      <c r="P411" s="617"/>
      <c r="Q411" s="617"/>
      <c r="R411" s="617"/>
      <c r="S411" s="617"/>
      <c r="T411" s="617"/>
      <c r="U411" s="617"/>
      <c r="V411" s="617"/>
      <c r="W411" s="617"/>
      <c r="X411" s="617"/>
      <c r="Y411" s="617"/>
      <c r="Z411" s="617"/>
      <c r="AA411" s="617"/>
      <c r="AB411" s="617"/>
      <c r="AC411" s="617"/>
      <c r="AD411" s="617"/>
      <c r="AE411" s="617"/>
      <c r="AF411" s="617"/>
      <c r="AG411" s="617"/>
      <c r="AH411" s="617"/>
      <c r="AI411" s="617"/>
      <c r="AJ411" s="617"/>
      <c r="AK411" s="617"/>
      <c r="AL411" s="617"/>
    </row>
    <row r="412" spans="2:38" s="649" customFormat="1" ht="18" customHeight="1" x14ac:dyDescent="0.25">
      <c r="B412" s="632" t="s">
        <v>1279</v>
      </c>
      <c r="C412" s="634">
        <v>31102</v>
      </c>
      <c r="D412" s="656"/>
      <c r="E412" s="656"/>
      <c r="F412" s="634"/>
      <c r="H412" s="647"/>
      <c r="I412" s="617"/>
      <c r="J412" s="617"/>
      <c r="K412" s="617"/>
      <c r="L412" s="617"/>
      <c r="M412" s="617"/>
      <c r="N412" s="617"/>
      <c r="O412" s="617"/>
      <c r="P412" s="617"/>
      <c r="Q412" s="617"/>
      <c r="R412" s="617"/>
      <c r="S412" s="617"/>
      <c r="T412" s="617"/>
      <c r="U412" s="617"/>
      <c r="V412" s="617"/>
      <c r="W412" s="617"/>
      <c r="X412" s="617"/>
      <c r="Y412" s="617"/>
      <c r="Z412" s="617"/>
      <c r="AA412" s="617"/>
      <c r="AB412" s="617"/>
      <c r="AC412" s="617"/>
      <c r="AD412" s="617"/>
      <c r="AE412" s="617"/>
      <c r="AF412" s="617"/>
      <c r="AG412" s="617"/>
      <c r="AH412" s="617"/>
      <c r="AI412" s="617"/>
      <c r="AJ412" s="617"/>
      <c r="AK412" s="617"/>
      <c r="AL412" s="617"/>
    </row>
    <row r="413" spans="2:38" s="649" customFormat="1" ht="18" customHeight="1" x14ac:dyDescent="0.25">
      <c r="B413" s="632" t="s">
        <v>1278</v>
      </c>
      <c r="C413" s="634">
        <v>31101</v>
      </c>
      <c r="D413" s="656"/>
      <c r="E413" s="656"/>
      <c r="F413" s="634"/>
      <c r="H413" s="647"/>
      <c r="I413" s="617"/>
      <c r="J413" s="617"/>
      <c r="K413" s="617"/>
      <c r="L413" s="617"/>
      <c r="M413" s="617"/>
      <c r="N413" s="617"/>
      <c r="O413" s="617"/>
      <c r="P413" s="617"/>
      <c r="Q413" s="617"/>
      <c r="R413" s="617"/>
      <c r="S413" s="617"/>
      <c r="T413" s="617"/>
      <c r="U413" s="617"/>
      <c r="V413" s="617"/>
      <c r="W413" s="617"/>
      <c r="X413" s="617"/>
      <c r="Y413" s="617"/>
      <c r="Z413" s="617"/>
      <c r="AA413" s="617"/>
      <c r="AB413" s="617"/>
      <c r="AC413" s="617"/>
      <c r="AD413" s="617"/>
      <c r="AE413" s="617"/>
      <c r="AF413" s="617"/>
      <c r="AG413" s="617"/>
      <c r="AH413" s="617"/>
      <c r="AI413" s="617"/>
      <c r="AJ413" s="617"/>
      <c r="AK413" s="617"/>
      <c r="AL413" s="617"/>
    </row>
    <row r="414" spans="2:38" s="649" customFormat="1" ht="18" customHeight="1" x14ac:dyDescent="0.25">
      <c r="B414" s="632" t="s">
        <v>1241</v>
      </c>
      <c r="C414" s="634">
        <v>20600</v>
      </c>
      <c r="D414" s="656"/>
      <c r="E414" s="656"/>
      <c r="F414" s="634"/>
      <c r="H414" s="647"/>
      <c r="I414" s="617"/>
      <c r="J414" s="617"/>
      <c r="K414" s="617"/>
      <c r="L414" s="617"/>
      <c r="M414" s="617"/>
      <c r="N414" s="617"/>
      <c r="O414" s="617"/>
      <c r="P414" s="617"/>
      <c r="Q414" s="617"/>
      <c r="R414" s="617"/>
      <c r="S414" s="617"/>
      <c r="T414" s="617"/>
      <c r="U414" s="617"/>
      <c r="V414" s="617"/>
      <c r="W414" s="617"/>
      <c r="X414" s="617"/>
      <c r="Y414" s="617"/>
      <c r="Z414" s="617"/>
      <c r="AA414" s="617"/>
      <c r="AB414" s="617"/>
      <c r="AC414" s="617"/>
      <c r="AD414" s="617"/>
      <c r="AE414" s="617"/>
      <c r="AF414" s="617"/>
      <c r="AG414" s="617"/>
      <c r="AH414" s="617"/>
      <c r="AI414" s="617"/>
      <c r="AJ414" s="617"/>
      <c r="AK414" s="617"/>
      <c r="AL414" s="617"/>
    </row>
    <row r="415" spans="2:38" s="649" customFormat="1" ht="18" customHeight="1" x14ac:dyDescent="0.25">
      <c r="B415" s="632" t="s">
        <v>1310</v>
      </c>
      <c r="C415" s="634">
        <v>32605</v>
      </c>
      <c r="D415" s="656"/>
      <c r="E415" s="656"/>
      <c r="F415" s="634"/>
      <c r="H415" s="647"/>
      <c r="I415" s="617"/>
      <c r="J415" s="617"/>
      <c r="K415" s="617"/>
      <c r="L415" s="617"/>
      <c r="M415" s="617"/>
      <c r="N415" s="617"/>
      <c r="O415" s="617"/>
      <c r="P415" s="617"/>
      <c r="Q415" s="617"/>
      <c r="R415" s="617"/>
      <c r="S415" s="617"/>
      <c r="T415" s="617"/>
      <c r="U415" s="617"/>
      <c r="V415" s="617"/>
      <c r="W415" s="617"/>
      <c r="X415" s="617"/>
      <c r="Y415" s="617"/>
      <c r="Z415" s="617"/>
      <c r="AA415" s="617"/>
      <c r="AB415" s="617"/>
      <c r="AC415" s="617"/>
      <c r="AD415" s="617"/>
      <c r="AE415" s="617"/>
      <c r="AF415" s="617"/>
      <c r="AG415" s="617"/>
      <c r="AH415" s="617"/>
      <c r="AI415" s="617"/>
      <c r="AJ415" s="617"/>
      <c r="AK415" s="617"/>
      <c r="AL415" s="617"/>
    </row>
    <row r="416" spans="2:38" s="649" customFormat="1" ht="18" customHeight="1" x14ac:dyDescent="0.25">
      <c r="B416" s="632" t="s">
        <v>1403</v>
      </c>
      <c r="C416" s="634">
        <v>36310</v>
      </c>
      <c r="D416" s="656"/>
      <c r="E416" s="656"/>
      <c r="F416" s="634"/>
      <c r="H416" s="647"/>
      <c r="I416" s="617"/>
      <c r="J416" s="617"/>
      <c r="K416" s="617"/>
      <c r="L416" s="617"/>
      <c r="M416" s="617"/>
      <c r="N416" s="617"/>
      <c r="O416" s="617"/>
      <c r="P416" s="617"/>
      <c r="Q416" s="617"/>
      <c r="R416" s="617"/>
      <c r="S416" s="617"/>
      <c r="T416" s="617"/>
      <c r="U416" s="617"/>
      <c r="V416" s="617"/>
      <c r="W416" s="617"/>
      <c r="X416" s="617"/>
      <c r="Y416" s="617"/>
      <c r="Z416" s="617"/>
      <c r="AA416" s="617"/>
      <c r="AB416" s="617"/>
      <c r="AC416" s="617"/>
      <c r="AD416" s="617"/>
      <c r="AE416" s="617"/>
      <c r="AF416" s="617"/>
      <c r="AG416" s="617"/>
      <c r="AH416" s="617"/>
      <c r="AI416" s="617"/>
      <c r="AJ416" s="617"/>
      <c r="AK416" s="617"/>
      <c r="AL416" s="617"/>
    </row>
    <row r="417" spans="2:38" s="649" customFormat="1" ht="18" customHeight="1" x14ac:dyDescent="0.25">
      <c r="B417" s="632" t="s">
        <v>1336</v>
      </c>
      <c r="C417" s="634">
        <v>33405</v>
      </c>
      <c r="D417" s="656"/>
      <c r="E417" s="656"/>
      <c r="F417" s="634"/>
      <c r="H417" s="647"/>
      <c r="I417" s="617"/>
      <c r="J417" s="617"/>
      <c r="K417" s="617"/>
      <c r="L417" s="617"/>
      <c r="M417" s="617"/>
      <c r="N417" s="617"/>
      <c r="O417" s="617"/>
      <c r="P417" s="617"/>
      <c r="Q417" s="617"/>
      <c r="R417" s="617"/>
      <c r="S417" s="617"/>
      <c r="T417" s="617"/>
      <c r="U417" s="617"/>
      <c r="V417" s="617"/>
      <c r="W417" s="617"/>
      <c r="X417" s="617"/>
      <c r="Y417" s="617"/>
      <c r="Z417" s="617"/>
      <c r="AA417" s="617"/>
      <c r="AB417" s="617"/>
      <c r="AC417" s="617"/>
      <c r="AD417" s="617"/>
      <c r="AE417" s="617"/>
      <c r="AF417" s="617"/>
      <c r="AG417" s="617"/>
      <c r="AH417" s="617"/>
      <c r="AI417" s="617"/>
      <c r="AJ417" s="617"/>
      <c r="AK417" s="617"/>
      <c r="AL417" s="617"/>
    </row>
    <row r="418" spans="2:38" s="649" customFormat="1" ht="18" customHeight="1" x14ac:dyDescent="0.25">
      <c r="B418" s="632" t="s">
        <v>1337</v>
      </c>
      <c r="C418" s="634">
        <v>33500</v>
      </c>
      <c r="D418" s="656"/>
      <c r="E418" s="656"/>
      <c r="F418" s="634"/>
      <c r="H418" s="647"/>
      <c r="I418" s="617"/>
      <c r="J418" s="617"/>
      <c r="K418" s="617"/>
      <c r="L418" s="617"/>
      <c r="M418" s="617"/>
      <c r="N418" s="617"/>
      <c r="O418" s="617"/>
      <c r="P418" s="617"/>
      <c r="Q418" s="617"/>
      <c r="R418" s="617"/>
      <c r="S418" s="617"/>
      <c r="T418" s="617"/>
      <c r="U418" s="617"/>
      <c r="V418" s="617"/>
      <c r="W418" s="617"/>
      <c r="X418" s="617"/>
      <c r="Y418" s="617"/>
      <c r="Z418" s="617"/>
      <c r="AA418" s="617"/>
      <c r="AB418" s="617"/>
      <c r="AC418" s="617"/>
      <c r="AD418" s="617"/>
      <c r="AE418" s="617"/>
      <c r="AF418" s="617"/>
      <c r="AG418" s="617"/>
      <c r="AH418" s="617"/>
      <c r="AI418" s="617"/>
      <c r="AJ418" s="617"/>
      <c r="AK418" s="617"/>
      <c r="AL418" s="617"/>
    </row>
    <row r="419" spans="2:38" s="649" customFormat="1" ht="18" customHeight="1" x14ac:dyDescent="0.25">
      <c r="B419" s="632" t="s">
        <v>1340</v>
      </c>
      <c r="C419" s="634">
        <v>33605</v>
      </c>
      <c r="D419" s="656"/>
      <c r="E419" s="656"/>
      <c r="F419" s="634"/>
      <c r="H419" s="647"/>
      <c r="I419" s="617"/>
      <c r="J419" s="617"/>
      <c r="K419" s="617"/>
      <c r="L419" s="617"/>
      <c r="M419" s="617"/>
      <c r="N419" s="617"/>
      <c r="O419" s="617"/>
      <c r="P419" s="617"/>
      <c r="Q419" s="617"/>
      <c r="R419" s="617"/>
      <c r="S419" s="617"/>
      <c r="T419" s="617"/>
      <c r="U419" s="617"/>
      <c r="V419" s="617"/>
      <c r="W419" s="617"/>
      <c r="X419" s="617"/>
      <c r="Y419" s="617"/>
      <c r="Z419" s="617"/>
      <c r="AA419" s="617"/>
      <c r="AB419" s="617"/>
      <c r="AC419" s="617"/>
      <c r="AD419" s="617"/>
      <c r="AE419" s="617"/>
      <c r="AF419" s="617"/>
      <c r="AG419" s="617"/>
      <c r="AH419" s="617"/>
      <c r="AI419" s="617"/>
      <c r="AJ419" s="617"/>
      <c r="AK419" s="617"/>
      <c r="AL419" s="617"/>
    </row>
    <row r="420" spans="2:38" s="649" customFormat="1" ht="18" customHeight="1" x14ac:dyDescent="0.25">
      <c r="B420" s="632" t="s">
        <v>1411</v>
      </c>
      <c r="C420" s="634">
        <v>36601</v>
      </c>
      <c r="D420" s="656"/>
      <c r="E420" s="656"/>
      <c r="F420" s="634"/>
      <c r="H420" s="647"/>
      <c r="I420" s="617"/>
      <c r="J420" s="617"/>
      <c r="K420" s="617"/>
      <c r="L420" s="617"/>
      <c r="M420" s="617"/>
      <c r="N420" s="617"/>
      <c r="O420" s="617"/>
      <c r="P420" s="617"/>
      <c r="Q420" s="617"/>
      <c r="R420" s="617"/>
      <c r="S420" s="617"/>
      <c r="T420" s="617"/>
      <c r="U420" s="617"/>
      <c r="V420" s="617"/>
      <c r="W420" s="617"/>
      <c r="X420" s="617"/>
      <c r="Y420" s="617"/>
      <c r="Z420" s="617"/>
      <c r="AA420" s="617"/>
      <c r="AB420" s="617"/>
      <c r="AC420" s="617"/>
      <c r="AD420" s="617"/>
      <c r="AE420" s="617"/>
      <c r="AF420" s="617"/>
      <c r="AG420" s="617"/>
      <c r="AH420" s="617"/>
      <c r="AI420" s="617"/>
      <c r="AJ420" s="617"/>
      <c r="AK420" s="617"/>
      <c r="AL420" s="617"/>
    </row>
    <row r="421" spans="2:38" s="649" customFormat="1" ht="18" customHeight="1" x14ac:dyDescent="0.25">
      <c r="B421" s="632" t="s">
        <v>1339</v>
      </c>
      <c r="C421" s="634">
        <v>33600</v>
      </c>
      <c r="D421" s="656"/>
      <c r="E421" s="656"/>
      <c r="F421" s="634"/>
      <c r="H421" s="647"/>
      <c r="I421" s="617"/>
      <c r="J421" s="617"/>
      <c r="K421" s="617"/>
      <c r="L421" s="617"/>
      <c r="M421" s="617"/>
      <c r="N421" s="617"/>
      <c r="O421" s="617"/>
      <c r="P421" s="617"/>
      <c r="Q421" s="617"/>
      <c r="R421" s="617"/>
      <c r="S421" s="617"/>
      <c r="T421" s="617"/>
      <c r="U421" s="617"/>
      <c r="V421" s="617"/>
      <c r="W421" s="617"/>
      <c r="X421" s="617"/>
      <c r="Y421" s="617"/>
      <c r="Z421" s="617"/>
      <c r="AA421" s="617"/>
      <c r="AB421" s="617"/>
      <c r="AC421" s="617"/>
      <c r="AD421" s="617"/>
      <c r="AE421" s="617"/>
      <c r="AF421" s="617"/>
      <c r="AG421" s="617"/>
      <c r="AH421" s="617"/>
      <c r="AI421" s="617"/>
      <c r="AJ421" s="617"/>
      <c r="AK421" s="617"/>
      <c r="AL421" s="617"/>
    </row>
    <row r="422" spans="2:38" s="649" customFormat="1" ht="18" customHeight="1" x14ac:dyDescent="0.25">
      <c r="B422" s="632" t="s">
        <v>1341</v>
      </c>
      <c r="C422" s="634">
        <v>33700</v>
      </c>
      <c r="D422" s="656"/>
      <c r="E422" s="656"/>
      <c r="F422" s="634"/>
      <c r="H422" s="647"/>
      <c r="I422" s="617"/>
      <c r="J422" s="617"/>
      <c r="K422" s="617"/>
      <c r="L422" s="617"/>
      <c r="M422" s="617"/>
      <c r="N422" s="617"/>
      <c r="O422" s="617"/>
      <c r="P422" s="617"/>
      <c r="Q422" s="617"/>
      <c r="R422" s="617"/>
      <c r="S422" s="617"/>
      <c r="T422" s="617"/>
      <c r="U422" s="617"/>
      <c r="V422" s="617"/>
      <c r="W422" s="617"/>
      <c r="X422" s="617"/>
      <c r="Y422" s="617"/>
      <c r="Z422" s="617"/>
      <c r="AA422" s="617"/>
      <c r="AB422" s="617"/>
      <c r="AC422" s="617"/>
      <c r="AD422" s="617"/>
      <c r="AE422" s="617"/>
      <c r="AF422" s="617"/>
      <c r="AG422" s="617"/>
      <c r="AH422" s="617"/>
      <c r="AI422" s="617"/>
      <c r="AJ422" s="617"/>
      <c r="AK422" s="617"/>
      <c r="AL422" s="617"/>
    </row>
    <row r="423" spans="2:38" s="649" customFormat="1" ht="18" customHeight="1" x14ac:dyDescent="0.25">
      <c r="B423" s="632" t="s">
        <v>1221</v>
      </c>
      <c r="C423" s="634">
        <v>12160</v>
      </c>
      <c r="D423" s="656"/>
      <c r="E423" s="656"/>
      <c r="F423" s="634"/>
      <c r="H423" s="647"/>
      <c r="I423" s="617"/>
      <c r="J423" s="617"/>
      <c r="K423" s="617"/>
      <c r="L423" s="617"/>
      <c r="M423" s="617"/>
      <c r="N423" s="617"/>
      <c r="O423" s="617"/>
      <c r="P423" s="617"/>
      <c r="Q423" s="617"/>
      <c r="R423" s="617"/>
      <c r="S423" s="617"/>
      <c r="T423" s="617"/>
      <c r="U423" s="617"/>
      <c r="V423" s="617"/>
      <c r="W423" s="617"/>
      <c r="X423" s="617"/>
      <c r="Y423" s="617"/>
      <c r="Z423" s="617"/>
      <c r="AA423" s="617"/>
      <c r="AB423" s="617"/>
      <c r="AC423" s="617"/>
      <c r="AD423" s="617"/>
      <c r="AE423" s="617"/>
      <c r="AF423" s="617"/>
      <c r="AG423" s="617"/>
      <c r="AH423" s="617"/>
      <c r="AI423" s="617"/>
      <c r="AJ423" s="617"/>
      <c r="AK423" s="617"/>
      <c r="AL423" s="617"/>
    </row>
    <row r="424" spans="2:38" s="649" customFormat="1" ht="18" customHeight="1" x14ac:dyDescent="0.25">
      <c r="B424" s="632" t="s">
        <v>1219</v>
      </c>
      <c r="C424" s="634">
        <v>12100</v>
      </c>
      <c r="D424" s="656"/>
      <c r="E424" s="656"/>
      <c r="F424" s="634"/>
      <c r="H424" s="647"/>
      <c r="I424" s="617"/>
      <c r="J424" s="617"/>
      <c r="K424" s="617"/>
      <c r="L424" s="617"/>
      <c r="M424" s="617"/>
      <c r="N424" s="617"/>
      <c r="O424" s="617"/>
      <c r="P424" s="617"/>
      <c r="Q424" s="617"/>
      <c r="R424" s="617"/>
      <c r="S424" s="617"/>
      <c r="T424" s="617"/>
      <c r="U424" s="617"/>
      <c r="V424" s="617"/>
      <c r="W424" s="617"/>
      <c r="X424" s="617"/>
      <c r="Y424" s="617"/>
      <c r="Z424" s="617"/>
      <c r="AA424" s="617"/>
      <c r="AB424" s="617"/>
      <c r="AC424" s="617"/>
      <c r="AD424" s="617"/>
      <c r="AE424" s="617"/>
      <c r="AF424" s="617"/>
      <c r="AG424" s="617"/>
      <c r="AH424" s="617"/>
      <c r="AI424" s="617"/>
      <c r="AJ424" s="617"/>
      <c r="AK424" s="617"/>
      <c r="AL424" s="617"/>
    </row>
    <row r="425" spans="2:38" s="649" customFormat="1" ht="18" customHeight="1" x14ac:dyDescent="0.25">
      <c r="B425" s="632" t="s">
        <v>1342</v>
      </c>
      <c r="C425" s="634">
        <v>33800</v>
      </c>
      <c r="D425" s="656"/>
      <c r="E425" s="656"/>
      <c r="F425" s="634"/>
      <c r="H425" s="647"/>
      <c r="I425" s="617"/>
      <c r="J425" s="617"/>
      <c r="K425" s="617"/>
      <c r="L425" s="617"/>
      <c r="M425" s="617"/>
      <c r="N425" s="617"/>
      <c r="O425" s="617"/>
      <c r="P425" s="617"/>
      <c r="Q425" s="617"/>
      <c r="R425" s="617"/>
      <c r="S425" s="617"/>
      <c r="T425" s="617"/>
      <c r="U425" s="617"/>
      <c r="V425" s="617"/>
      <c r="W425" s="617"/>
      <c r="X425" s="617"/>
      <c r="Y425" s="617"/>
      <c r="Z425" s="617"/>
      <c r="AA425" s="617"/>
      <c r="AB425" s="617"/>
      <c r="AC425" s="617"/>
      <c r="AD425" s="617"/>
      <c r="AE425" s="617"/>
      <c r="AF425" s="617"/>
      <c r="AG425" s="617"/>
      <c r="AH425" s="617"/>
      <c r="AI425" s="617"/>
      <c r="AJ425" s="617"/>
      <c r="AK425" s="617"/>
      <c r="AL425" s="617"/>
    </row>
    <row r="426" spans="2:38" s="649" customFormat="1" ht="18" customHeight="1" x14ac:dyDescent="0.25">
      <c r="B426" s="632" t="s">
        <v>1269</v>
      </c>
      <c r="C426" s="634">
        <v>30601</v>
      </c>
      <c r="D426" s="656"/>
      <c r="E426" s="656"/>
      <c r="F426" s="634"/>
      <c r="H426" s="647"/>
      <c r="I426" s="617"/>
      <c r="J426" s="617"/>
      <c r="K426" s="617"/>
      <c r="L426" s="617"/>
      <c r="M426" s="617"/>
      <c r="N426" s="617"/>
      <c r="O426" s="617"/>
      <c r="P426" s="617"/>
      <c r="Q426" s="617"/>
      <c r="R426" s="617"/>
      <c r="S426" s="617"/>
      <c r="T426" s="617"/>
      <c r="U426" s="617"/>
      <c r="V426" s="617"/>
      <c r="W426" s="617"/>
      <c r="X426" s="617"/>
      <c r="Y426" s="617"/>
      <c r="Z426" s="617"/>
      <c r="AA426" s="617"/>
      <c r="AB426" s="617"/>
      <c r="AC426" s="617"/>
      <c r="AD426" s="617"/>
      <c r="AE426" s="617"/>
      <c r="AF426" s="617"/>
      <c r="AG426" s="617"/>
      <c r="AH426" s="617"/>
      <c r="AI426" s="617"/>
      <c r="AJ426" s="617"/>
      <c r="AK426" s="617"/>
      <c r="AL426" s="617"/>
    </row>
    <row r="427" spans="2:38" s="649" customFormat="1" ht="18" customHeight="1" x14ac:dyDescent="0.25">
      <c r="B427" s="632" t="s">
        <v>1343</v>
      </c>
      <c r="C427" s="634">
        <v>33900</v>
      </c>
      <c r="D427" s="656"/>
      <c r="E427" s="656"/>
      <c r="F427" s="634"/>
      <c r="H427" s="647"/>
      <c r="I427" s="617"/>
      <c r="J427" s="617"/>
      <c r="K427" s="617"/>
      <c r="L427" s="617"/>
      <c r="M427" s="617"/>
      <c r="N427" s="617"/>
      <c r="O427" s="617"/>
      <c r="P427" s="617"/>
      <c r="Q427" s="617"/>
      <c r="R427" s="617"/>
      <c r="S427" s="617"/>
      <c r="T427" s="617"/>
      <c r="U427" s="617"/>
      <c r="V427" s="617"/>
      <c r="W427" s="617"/>
      <c r="X427" s="617"/>
      <c r="Y427" s="617"/>
      <c r="Z427" s="617"/>
      <c r="AA427" s="617"/>
      <c r="AB427" s="617"/>
      <c r="AC427" s="617"/>
      <c r="AD427" s="617"/>
      <c r="AE427" s="617"/>
      <c r="AF427" s="617"/>
      <c r="AG427" s="617"/>
      <c r="AH427" s="617"/>
      <c r="AI427" s="617"/>
      <c r="AJ427" s="617"/>
      <c r="AK427" s="617"/>
      <c r="AL427" s="617"/>
    </row>
    <row r="428" spans="2:38" s="649" customFormat="1" ht="18" customHeight="1" x14ac:dyDescent="0.25">
      <c r="B428" s="632" t="s">
        <v>1452</v>
      </c>
      <c r="C428" s="634">
        <v>38402</v>
      </c>
      <c r="D428" s="656"/>
      <c r="E428" s="656"/>
      <c r="F428" s="634"/>
      <c r="H428" s="647"/>
      <c r="I428" s="617"/>
      <c r="J428" s="617"/>
      <c r="K428" s="617"/>
      <c r="L428" s="617"/>
      <c r="M428" s="617"/>
      <c r="N428" s="617"/>
      <c r="O428" s="617"/>
      <c r="P428" s="617"/>
      <c r="Q428" s="617"/>
      <c r="R428" s="617"/>
      <c r="S428" s="617"/>
      <c r="T428" s="617"/>
      <c r="U428" s="617"/>
      <c r="V428" s="617"/>
      <c r="W428" s="617"/>
      <c r="X428" s="617"/>
      <c r="Y428" s="617"/>
      <c r="Z428" s="617"/>
      <c r="AA428" s="617"/>
      <c r="AB428" s="617"/>
      <c r="AC428" s="617"/>
      <c r="AD428" s="617"/>
      <c r="AE428" s="617"/>
      <c r="AF428" s="617"/>
      <c r="AG428" s="617"/>
      <c r="AH428" s="617"/>
      <c r="AI428" s="617"/>
      <c r="AJ428" s="617"/>
      <c r="AK428" s="617"/>
      <c r="AL428" s="617"/>
    </row>
    <row r="429" spans="2:38" s="649" customFormat="1" ht="18" customHeight="1" x14ac:dyDescent="0.25">
      <c r="B429" s="632" t="s">
        <v>1344</v>
      </c>
      <c r="C429" s="634">
        <v>34000</v>
      </c>
      <c r="D429" s="656"/>
      <c r="E429" s="656"/>
      <c r="F429" s="634"/>
      <c r="H429" s="647"/>
      <c r="I429" s="617"/>
      <c r="J429" s="617"/>
      <c r="K429" s="617"/>
      <c r="L429" s="617"/>
      <c r="M429" s="617"/>
      <c r="N429" s="617"/>
      <c r="O429" s="617"/>
      <c r="P429" s="617"/>
      <c r="Q429" s="617"/>
      <c r="R429" s="617"/>
      <c r="S429" s="617"/>
      <c r="T429" s="617"/>
      <c r="U429" s="617"/>
      <c r="V429" s="617"/>
      <c r="W429" s="617"/>
      <c r="X429" s="617"/>
      <c r="Y429" s="617"/>
      <c r="Z429" s="617"/>
      <c r="AA429" s="617"/>
      <c r="AB429" s="617"/>
      <c r="AC429" s="617"/>
      <c r="AD429" s="617"/>
      <c r="AE429" s="617"/>
      <c r="AF429" s="617"/>
      <c r="AG429" s="617"/>
      <c r="AH429" s="617"/>
      <c r="AI429" s="617"/>
      <c r="AJ429" s="617"/>
      <c r="AK429" s="617"/>
      <c r="AL429" s="617"/>
    </row>
    <row r="430" spans="2:38" s="649" customFormat="1" ht="18" customHeight="1" x14ac:dyDescent="0.25">
      <c r="B430" s="632" t="s">
        <v>1345</v>
      </c>
      <c r="C430" s="634">
        <v>34100</v>
      </c>
      <c r="D430" s="656"/>
      <c r="E430" s="656"/>
      <c r="F430" s="634"/>
      <c r="H430" s="647"/>
      <c r="I430" s="617"/>
      <c r="J430" s="617"/>
      <c r="K430" s="617"/>
      <c r="L430" s="617"/>
      <c r="M430" s="617"/>
      <c r="N430" s="617"/>
      <c r="O430" s="617"/>
      <c r="P430" s="617"/>
      <c r="Q430" s="617"/>
      <c r="R430" s="617"/>
      <c r="S430" s="617"/>
      <c r="T430" s="617"/>
      <c r="U430" s="617"/>
      <c r="V430" s="617"/>
      <c r="W430" s="617"/>
      <c r="X430" s="617"/>
      <c r="Y430" s="617"/>
      <c r="Z430" s="617"/>
      <c r="AA430" s="617"/>
      <c r="AB430" s="617"/>
      <c r="AC430" s="617"/>
      <c r="AD430" s="617"/>
      <c r="AE430" s="617"/>
      <c r="AF430" s="617"/>
      <c r="AG430" s="617"/>
      <c r="AH430" s="617"/>
      <c r="AI430" s="617"/>
      <c r="AJ430" s="617"/>
      <c r="AK430" s="617"/>
      <c r="AL430" s="617"/>
    </row>
    <row r="431" spans="2:38" s="649" customFormat="1" ht="18" customHeight="1" x14ac:dyDescent="0.25">
      <c r="B431" s="632" t="s">
        <v>1346</v>
      </c>
      <c r="C431" s="634">
        <v>34105</v>
      </c>
      <c r="D431" s="656"/>
      <c r="E431" s="656"/>
      <c r="F431" s="634"/>
      <c r="H431" s="647"/>
      <c r="I431" s="617"/>
      <c r="J431" s="617"/>
      <c r="K431" s="617"/>
      <c r="L431" s="617"/>
      <c r="M431" s="617"/>
      <c r="N431" s="617"/>
      <c r="O431" s="617"/>
      <c r="P431" s="617"/>
      <c r="Q431" s="617"/>
      <c r="R431" s="617"/>
      <c r="S431" s="617"/>
      <c r="T431" s="617"/>
      <c r="U431" s="617"/>
      <c r="V431" s="617"/>
      <c r="W431" s="617"/>
      <c r="X431" s="617"/>
      <c r="Y431" s="617"/>
      <c r="Z431" s="617"/>
      <c r="AA431" s="617"/>
      <c r="AB431" s="617"/>
      <c r="AC431" s="617"/>
      <c r="AD431" s="617"/>
      <c r="AE431" s="617"/>
      <c r="AF431" s="617"/>
      <c r="AG431" s="617"/>
      <c r="AH431" s="617"/>
      <c r="AI431" s="617"/>
      <c r="AJ431" s="617"/>
      <c r="AK431" s="617"/>
      <c r="AL431" s="617"/>
    </row>
    <row r="432" spans="2:38" s="649" customFormat="1" ht="18" customHeight="1" x14ac:dyDescent="0.25">
      <c r="B432" s="632" t="s">
        <v>1348</v>
      </c>
      <c r="C432" s="634">
        <v>34205</v>
      </c>
      <c r="D432" s="656"/>
      <c r="E432" s="656"/>
      <c r="F432" s="634"/>
      <c r="H432" s="647"/>
      <c r="I432" s="617"/>
      <c r="J432" s="617"/>
      <c r="K432" s="617"/>
      <c r="L432" s="617"/>
      <c r="M432" s="617"/>
      <c r="N432" s="617"/>
      <c r="O432" s="617"/>
      <c r="P432" s="617"/>
      <c r="Q432" s="617"/>
      <c r="R432" s="617"/>
      <c r="S432" s="617"/>
      <c r="T432" s="617"/>
      <c r="U432" s="617"/>
      <c r="V432" s="617"/>
      <c r="W432" s="617"/>
      <c r="X432" s="617"/>
      <c r="Y432" s="617"/>
      <c r="Z432" s="617"/>
      <c r="AA432" s="617"/>
      <c r="AB432" s="617"/>
      <c r="AC432" s="617"/>
      <c r="AD432" s="617"/>
      <c r="AE432" s="617"/>
      <c r="AF432" s="617"/>
      <c r="AG432" s="617"/>
      <c r="AH432" s="617"/>
      <c r="AI432" s="617"/>
      <c r="AJ432" s="617"/>
      <c r="AK432" s="617"/>
      <c r="AL432" s="617"/>
    </row>
    <row r="433" spans="2:38" s="649" customFormat="1" ht="18" customHeight="1" x14ac:dyDescent="0.25">
      <c r="B433" s="632" t="s">
        <v>1347</v>
      </c>
      <c r="C433" s="634">
        <v>34200</v>
      </c>
      <c r="D433" s="656"/>
      <c r="E433" s="656"/>
      <c r="F433" s="634"/>
      <c r="H433" s="647"/>
      <c r="I433" s="617"/>
      <c r="J433" s="617"/>
      <c r="K433" s="617"/>
      <c r="L433" s="617"/>
      <c r="M433" s="617"/>
      <c r="N433" s="617"/>
      <c r="O433" s="617"/>
      <c r="P433" s="617"/>
      <c r="Q433" s="617"/>
      <c r="R433" s="617"/>
      <c r="S433" s="617"/>
      <c r="T433" s="617"/>
      <c r="U433" s="617"/>
      <c r="V433" s="617"/>
      <c r="W433" s="617"/>
      <c r="X433" s="617"/>
      <c r="Y433" s="617"/>
      <c r="Z433" s="617"/>
      <c r="AA433" s="617"/>
      <c r="AB433" s="617"/>
      <c r="AC433" s="617"/>
      <c r="AD433" s="617"/>
      <c r="AE433" s="617"/>
      <c r="AF433" s="617"/>
      <c r="AG433" s="617"/>
      <c r="AH433" s="617"/>
      <c r="AI433" s="617"/>
      <c r="AJ433" s="617"/>
      <c r="AK433" s="617"/>
      <c r="AL433" s="617"/>
    </row>
    <row r="434" spans="2:38" x14ac:dyDescent="0.25">
      <c r="B434" s="632" t="s">
        <v>1477</v>
      </c>
      <c r="C434" s="634">
        <v>39301</v>
      </c>
      <c r="D434" s="656"/>
      <c r="E434" s="656"/>
      <c r="F434" s="634"/>
    </row>
    <row r="435" spans="2:38" x14ac:dyDescent="0.25">
      <c r="B435" s="632" t="s">
        <v>1351</v>
      </c>
      <c r="C435" s="634">
        <v>34300</v>
      </c>
      <c r="D435" s="656"/>
      <c r="E435" s="656"/>
      <c r="F435" s="634"/>
    </row>
    <row r="436" spans="2:38" x14ac:dyDescent="0.25">
      <c r="B436" s="632" t="s">
        <v>1352</v>
      </c>
      <c r="C436" s="634">
        <v>34400</v>
      </c>
      <c r="D436" s="656"/>
      <c r="E436" s="656"/>
      <c r="F436" s="634"/>
    </row>
    <row r="437" spans="2:38" x14ac:dyDescent="0.25">
      <c r="B437" s="632" t="s">
        <v>1353</v>
      </c>
      <c r="C437" s="634">
        <v>34405</v>
      </c>
      <c r="D437" s="656"/>
      <c r="E437" s="656"/>
      <c r="F437" s="634"/>
    </row>
    <row r="438" spans="2:38" x14ac:dyDescent="0.25">
      <c r="B438" s="632" t="s">
        <v>1222</v>
      </c>
      <c r="C438" s="634">
        <v>12220</v>
      </c>
      <c r="D438" s="656"/>
      <c r="E438" s="656"/>
      <c r="F438" s="634"/>
    </row>
    <row r="439" spans="2:38" x14ac:dyDescent="0.25">
      <c r="B439" s="632" t="s">
        <v>1325</v>
      </c>
      <c r="C439" s="634">
        <v>33203</v>
      </c>
      <c r="D439" s="656"/>
      <c r="E439" s="656"/>
      <c r="F439" s="634"/>
    </row>
    <row r="440" spans="2:38" x14ac:dyDescent="0.25">
      <c r="B440" s="632" t="s">
        <v>1479</v>
      </c>
      <c r="C440" s="634">
        <v>39401</v>
      </c>
      <c r="D440" s="656"/>
      <c r="E440" s="656"/>
      <c r="F440" s="634"/>
    </row>
    <row r="441" spans="2:38" x14ac:dyDescent="0.25">
      <c r="B441" s="632" t="s">
        <v>1354</v>
      </c>
      <c r="C441" s="634">
        <v>34500</v>
      </c>
      <c r="D441" s="656"/>
      <c r="E441" s="656"/>
      <c r="F441" s="634"/>
    </row>
    <row r="442" spans="2:38" x14ac:dyDescent="0.25">
      <c r="B442" s="632" t="s">
        <v>1357</v>
      </c>
      <c r="C442" s="634">
        <v>34600</v>
      </c>
      <c r="D442" s="656"/>
      <c r="E442" s="656"/>
      <c r="F442" s="634"/>
    </row>
    <row r="443" spans="2:38" x14ac:dyDescent="0.25">
      <c r="B443" s="632" t="s">
        <v>1295</v>
      </c>
      <c r="C443" s="634">
        <v>31810</v>
      </c>
      <c r="D443" s="656"/>
      <c r="E443" s="656"/>
      <c r="F443" s="634"/>
    </row>
    <row r="444" spans="2:38" x14ac:dyDescent="0.25">
      <c r="B444" s="632" t="s">
        <v>1491</v>
      </c>
      <c r="C444" s="634">
        <v>51000</v>
      </c>
      <c r="D444" s="656"/>
      <c r="E444" s="656"/>
      <c r="F444" s="634"/>
    </row>
    <row r="445" spans="2:38" x14ac:dyDescent="0.25">
      <c r="B445" s="632" t="s">
        <v>1359</v>
      </c>
      <c r="C445" s="634">
        <v>34700</v>
      </c>
      <c r="D445" s="656"/>
      <c r="E445" s="656"/>
      <c r="F445" s="634"/>
    </row>
    <row r="446" spans="2:38" x14ac:dyDescent="0.25">
      <c r="B446" s="632" t="s">
        <v>1360</v>
      </c>
      <c r="C446" s="634">
        <v>34800</v>
      </c>
      <c r="D446" s="656"/>
      <c r="E446" s="656"/>
      <c r="F446" s="634"/>
    </row>
    <row r="447" spans="2:38" x14ac:dyDescent="0.25">
      <c r="B447" s="632" t="s">
        <v>1212</v>
      </c>
      <c r="C447" s="634">
        <v>10930</v>
      </c>
      <c r="D447" s="656"/>
      <c r="E447" s="656"/>
      <c r="F447" s="634"/>
    </row>
    <row r="448" spans="2:38" x14ac:dyDescent="0.25">
      <c r="B448" s="632" t="s">
        <v>1224</v>
      </c>
      <c r="C448" s="634">
        <v>12600</v>
      </c>
      <c r="D448" s="656"/>
      <c r="E448" s="656"/>
      <c r="F448" s="634"/>
    </row>
    <row r="449" spans="2:6" x14ac:dyDescent="0.25">
      <c r="B449" s="632" t="s">
        <v>1329</v>
      </c>
      <c r="C449" s="634">
        <v>33207</v>
      </c>
      <c r="D449" s="656"/>
      <c r="E449" s="656"/>
      <c r="F449" s="634"/>
    </row>
    <row r="450" spans="2:6" x14ac:dyDescent="0.25">
      <c r="B450" s="632" t="s">
        <v>1314</v>
      </c>
      <c r="C450" s="634">
        <v>32901</v>
      </c>
      <c r="D450" s="656"/>
      <c r="E450" s="656"/>
      <c r="F450" s="634"/>
    </row>
    <row r="451" spans="2:6" x14ac:dyDescent="0.25">
      <c r="B451" s="632" t="s">
        <v>1361</v>
      </c>
      <c r="C451" s="634">
        <v>34900</v>
      </c>
      <c r="D451" s="656"/>
      <c r="E451" s="656"/>
      <c r="F451" s="634"/>
    </row>
    <row r="452" spans="2:6" x14ac:dyDescent="0.25">
      <c r="B452" s="632" t="s">
        <v>1446</v>
      </c>
      <c r="C452" s="634">
        <v>38105</v>
      </c>
      <c r="D452" s="656"/>
      <c r="E452" s="656"/>
      <c r="F452" s="634"/>
    </row>
    <row r="453" spans="2:6" x14ac:dyDescent="0.25">
      <c r="B453" s="632" t="s">
        <v>1366</v>
      </c>
      <c r="C453" s="634">
        <v>35000</v>
      </c>
      <c r="D453" s="656"/>
      <c r="E453" s="656"/>
      <c r="F453" s="634"/>
    </row>
    <row r="454" spans="2:6" x14ac:dyDescent="0.25">
      <c r="B454" s="632" t="s">
        <v>1322</v>
      </c>
      <c r="C454" s="634">
        <v>33105</v>
      </c>
      <c r="D454" s="656"/>
      <c r="E454" s="656"/>
      <c r="F454" s="634"/>
    </row>
    <row r="455" spans="2:6" x14ac:dyDescent="0.25">
      <c r="B455" s="632" t="s">
        <v>1368</v>
      </c>
      <c r="C455" s="634">
        <v>35100</v>
      </c>
      <c r="D455" s="656"/>
      <c r="E455" s="656"/>
      <c r="F455" s="634"/>
    </row>
    <row r="456" spans="2:6" x14ac:dyDescent="0.25">
      <c r="B456" s="632" t="s">
        <v>1369</v>
      </c>
      <c r="C456" s="634">
        <v>35105</v>
      </c>
      <c r="D456" s="656"/>
      <c r="E456" s="656"/>
      <c r="F456" s="634"/>
    </row>
    <row r="457" spans="2:6" x14ac:dyDescent="0.25">
      <c r="B457" s="632" t="s">
        <v>1371</v>
      </c>
      <c r="C457" s="634">
        <v>35200</v>
      </c>
      <c r="D457" s="656"/>
      <c r="E457" s="656"/>
      <c r="F457" s="634"/>
    </row>
    <row r="458" spans="2:6" x14ac:dyDescent="0.25">
      <c r="B458" s="632" t="s">
        <v>1286</v>
      </c>
      <c r="C458" s="634">
        <v>31320</v>
      </c>
      <c r="D458" s="656"/>
      <c r="E458" s="656"/>
      <c r="F458" s="634"/>
    </row>
    <row r="459" spans="2:6" x14ac:dyDescent="0.25">
      <c r="B459" s="632" t="s">
        <v>1386</v>
      </c>
      <c r="C459" s="634">
        <v>36002</v>
      </c>
      <c r="D459" s="656"/>
      <c r="E459" s="656"/>
      <c r="F459" s="634"/>
    </row>
    <row r="460" spans="2:6" x14ac:dyDescent="0.25">
      <c r="B460" s="632" t="s">
        <v>1395</v>
      </c>
      <c r="C460" s="634">
        <v>36102</v>
      </c>
      <c r="D460" s="656"/>
      <c r="E460" s="656"/>
      <c r="F460" s="634"/>
    </row>
    <row r="461" spans="2:6" x14ac:dyDescent="0.25">
      <c r="B461" s="632" t="s">
        <v>1330</v>
      </c>
      <c r="C461" s="634">
        <v>33208</v>
      </c>
      <c r="D461" s="656"/>
      <c r="E461" s="656"/>
      <c r="F461" s="634"/>
    </row>
    <row r="462" spans="2:6" x14ac:dyDescent="0.25">
      <c r="B462" s="632" t="s">
        <v>1225</v>
      </c>
      <c r="C462" s="634">
        <v>12700</v>
      </c>
      <c r="D462" s="656"/>
      <c r="E462" s="656"/>
      <c r="F462" s="634"/>
    </row>
    <row r="463" spans="2:6" x14ac:dyDescent="0.25">
      <c r="B463" s="632" t="s">
        <v>1390</v>
      </c>
      <c r="C463" s="634">
        <v>36006</v>
      </c>
      <c r="D463" s="656"/>
      <c r="E463" s="656"/>
      <c r="F463" s="634"/>
    </row>
    <row r="464" spans="2:6" x14ac:dyDescent="0.25">
      <c r="B464" s="632" t="s">
        <v>1494</v>
      </c>
      <c r="C464" s="634">
        <v>60000</v>
      </c>
      <c r="D464" s="656"/>
      <c r="E464" s="656"/>
      <c r="F464" s="634"/>
    </row>
    <row r="465" spans="2:6" x14ac:dyDescent="0.25">
      <c r="B465" s="632" t="s">
        <v>1376</v>
      </c>
      <c r="C465" s="634">
        <v>35405</v>
      </c>
      <c r="D465" s="656"/>
      <c r="E465" s="656"/>
      <c r="F465" s="634"/>
    </row>
    <row r="466" spans="2:6" x14ac:dyDescent="0.25">
      <c r="B466" s="632" t="s">
        <v>1374</v>
      </c>
      <c r="C466" s="634">
        <v>35400</v>
      </c>
      <c r="D466" s="656"/>
      <c r="E466" s="656"/>
      <c r="F466" s="634"/>
    </row>
    <row r="467" spans="2:6" x14ac:dyDescent="0.25">
      <c r="B467" s="632" t="s">
        <v>1316</v>
      </c>
      <c r="C467" s="634">
        <v>32910</v>
      </c>
      <c r="D467" s="656"/>
      <c r="E467" s="656"/>
      <c r="F467" s="634"/>
    </row>
    <row r="468" spans="2:6" x14ac:dyDescent="0.25">
      <c r="B468" s="632" t="s">
        <v>1377</v>
      </c>
      <c r="C468" s="634">
        <v>35500</v>
      </c>
      <c r="D468" s="656"/>
      <c r="E468" s="656"/>
      <c r="F468" s="634"/>
    </row>
    <row r="469" spans="2:6" x14ac:dyDescent="0.25">
      <c r="B469" s="632" t="s">
        <v>1220</v>
      </c>
      <c r="C469" s="634">
        <v>12150</v>
      </c>
      <c r="D469" s="656"/>
      <c r="E469" s="656"/>
      <c r="F469" s="634"/>
    </row>
    <row r="470" spans="2:6" x14ac:dyDescent="0.25">
      <c r="B470" s="632" t="s">
        <v>1378</v>
      </c>
      <c r="C470" s="634">
        <v>35600</v>
      </c>
      <c r="D470" s="656"/>
      <c r="E470" s="656"/>
      <c r="F470" s="634"/>
    </row>
    <row r="471" spans="2:6" x14ac:dyDescent="0.25">
      <c r="B471" s="632" t="s">
        <v>1379</v>
      </c>
      <c r="C471" s="634">
        <v>35700</v>
      </c>
      <c r="D471" s="656"/>
      <c r="E471" s="656"/>
      <c r="F471" s="634"/>
    </row>
    <row r="472" spans="2:6" x14ac:dyDescent="0.25">
      <c r="B472" s="632" t="s">
        <v>1381</v>
      </c>
      <c r="C472" s="634">
        <v>35805</v>
      </c>
      <c r="D472" s="656"/>
      <c r="E472" s="656"/>
      <c r="F472" s="634"/>
    </row>
    <row r="473" spans="2:6" x14ac:dyDescent="0.25">
      <c r="B473" s="632" t="s">
        <v>1380</v>
      </c>
      <c r="C473" s="634">
        <v>35800</v>
      </c>
      <c r="D473" s="656"/>
      <c r="E473" s="656"/>
      <c r="F473" s="634"/>
    </row>
    <row r="474" spans="2:6" x14ac:dyDescent="0.25">
      <c r="B474" s="632" t="s">
        <v>1396</v>
      </c>
      <c r="C474" s="634">
        <v>36105</v>
      </c>
      <c r="D474" s="656"/>
      <c r="E474" s="656"/>
      <c r="F474" s="634"/>
    </row>
    <row r="475" spans="2:6" x14ac:dyDescent="0.25">
      <c r="B475" s="632" t="s">
        <v>1382</v>
      </c>
      <c r="C475" s="634">
        <v>35900</v>
      </c>
      <c r="D475" s="656"/>
      <c r="E475" s="656"/>
      <c r="F475" s="634"/>
    </row>
    <row r="476" spans="2:6" x14ac:dyDescent="0.25">
      <c r="B476" s="632" t="s">
        <v>1383</v>
      </c>
      <c r="C476" s="634">
        <v>35905</v>
      </c>
      <c r="D476" s="656"/>
      <c r="E476" s="656"/>
      <c r="F476" s="634"/>
    </row>
    <row r="477" spans="2:6" x14ac:dyDescent="0.25">
      <c r="B477" s="632" t="s">
        <v>1457</v>
      </c>
      <c r="C477" s="634">
        <v>38602</v>
      </c>
      <c r="D477" s="656"/>
      <c r="E477" s="656"/>
      <c r="F477" s="634"/>
    </row>
    <row r="478" spans="2:6" x14ac:dyDescent="0.25">
      <c r="B478" s="632" t="s">
        <v>1364</v>
      </c>
      <c r="C478" s="634">
        <v>34905</v>
      </c>
      <c r="D478" s="656"/>
      <c r="E478" s="656"/>
      <c r="F478" s="634"/>
    </row>
    <row r="479" spans="2:6" x14ac:dyDescent="0.25">
      <c r="B479" s="632" t="s">
        <v>1394</v>
      </c>
      <c r="C479" s="634">
        <v>36100</v>
      </c>
      <c r="D479" s="656"/>
      <c r="E479" s="656"/>
      <c r="F479" s="634"/>
    </row>
    <row r="480" spans="2:6" x14ac:dyDescent="0.25">
      <c r="B480" s="632" t="s">
        <v>1398</v>
      </c>
      <c r="C480" s="634">
        <v>36205</v>
      </c>
      <c r="D480" s="656"/>
      <c r="E480" s="656"/>
      <c r="F480" s="634"/>
    </row>
    <row r="481" spans="2:6" x14ac:dyDescent="0.25">
      <c r="B481" s="632" t="s">
        <v>1397</v>
      </c>
      <c r="C481" s="634">
        <v>36200</v>
      </c>
      <c r="D481" s="656"/>
      <c r="E481" s="656"/>
      <c r="F481" s="634"/>
    </row>
    <row r="482" spans="2:6" x14ac:dyDescent="0.25">
      <c r="B482" s="632" t="s">
        <v>1399</v>
      </c>
      <c r="C482" s="634">
        <v>36300</v>
      </c>
      <c r="D482" s="656"/>
      <c r="E482" s="656"/>
      <c r="F482" s="634"/>
    </row>
    <row r="483" spans="2:6" x14ac:dyDescent="0.25">
      <c r="B483" s="632" t="s">
        <v>1365</v>
      </c>
      <c r="C483" s="634">
        <v>34910</v>
      </c>
      <c r="D483" s="656"/>
      <c r="E483" s="656"/>
      <c r="F483" s="634"/>
    </row>
    <row r="484" spans="2:6" x14ac:dyDescent="0.25">
      <c r="B484" s="632" t="s">
        <v>1459</v>
      </c>
      <c r="C484" s="634">
        <v>38610</v>
      </c>
      <c r="D484" s="656"/>
      <c r="E484" s="656"/>
      <c r="F484" s="634"/>
    </row>
    <row r="485" spans="2:6" x14ac:dyDescent="0.25">
      <c r="B485" s="632" t="s">
        <v>1355</v>
      </c>
      <c r="C485" s="634">
        <v>34501</v>
      </c>
      <c r="D485" s="656"/>
      <c r="E485" s="656"/>
      <c r="F485" s="634"/>
    </row>
    <row r="486" spans="2:6" x14ac:dyDescent="0.25">
      <c r="B486" s="632" t="s">
        <v>1462</v>
      </c>
      <c r="C486" s="634">
        <v>38701</v>
      </c>
      <c r="D486" s="656"/>
      <c r="E486" s="656"/>
      <c r="F486" s="634"/>
    </row>
    <row r="487" spans="2:6" x14ac:dyDescent="0.25">
      <c r="B487" s="632" t="s">
        <v>1242</v>
      </c>
      <c r="C487" s="634">
        <v>20700</v>
      </c>
      <c r="D487" s="656"/>
      <c r="E487" s="656"/>
      <c r="F487" s="634"/>
    </row>
    <row r="488" spans="2:6" x14ac:dyDescent="0.25">
      <c r="B488" s="632" t="s">
        <v>1233</v>
      </c>
      <c r="C488" s="634">
        <v>18740</v>
      </c>
      <c r="D488" s="656"/>
      <c r="E488" s="656"/>
      <c r="F488" s="634"/>
    </row>
    <row r="489" spans="2:6" x14ac:dyDescent="0.25">
      <c r="B489" s="632" t="s">
        <v>1243</v>
      </c>
      <c r="C489" s="634">
        <v>20800</v>
      </c>
      <c r="D489" s="656"/>
      <c r="E489" s="656"/>
      <c r="F489" s="634"/>
    </row>
    <row r="490" spans="2:6" x14ac:dyDescent="0.25">
      <c r="B490" s="632" t="s">
        <v>1216</v>
      </c>
      <c r="C490" s="634">
        <v>11310</v>
      </c>
      <c r="D490" s="656"/>
      <c r="E490" s="656"/>
      <c r="F490" s="634"/>
    </row>
    <row r="491" spans="2:6" x14ac:dyDescent="0.25">
      <c r="B491" s="632" t="s">
        <v>1232</v>
      </c>
      <c r="C491" s="634">
        <v>18690</v>
      </c>
      <c r="D491" s="656"/>
      <c r="E491" s="656"/>
      <c r="F491" s="634"/>
    </row>
    <row r="492" spans="2:6" x14ac:dyDescent="0.25">
      <c r="B492" s="632" t="s">
        <v>1214</v>
      </c>
      <c r="C492" s="634">
        <v>10950</v>
      </c>
      <c r="D492" s="656"/>
      <c r="E492" s="656"/>
      <c r="F492" s="634"/>
    </row>
    <row r="493" spans="2:6" x14ac:dyDescent="0.25">
      <c r="B493" s="632" t="s">
        <v>1238</v>
      </c>
      <c r="C493" s="634">
        <v>20200</v>
      </c>
      <c r="D493" s="656"/>
      <c r="E493" s="656"/>
      <c r="F493" s="634"/>
    </row>
    <row r="494" spans="2:6" x14ac:dyDescent="0.25">
      <c r="B494" s="632" t="s">
        <v>1234</v>
      </c>
      <c r="C494" s="634">
        <v>18780</v>
      </c>
      <c r="D494" s="656"/>
      <c r="E494" s="656"/>
      <c r="F494" s="634"/>
    </row>
    <row r="495" spans="2:6" x14ac:dyDescent="0.25">
      <c r="B495" s="632" t="s">
        <v>1246</v>
      </c>
      <c r="C495" s="634">
        <v>21300</v>
      </c>
      <c r="D495" s="656"/>
      <c r="E495" s="656"/>
      <c r="F495" s="634"/>
    </row>
    <row r="496" spans="2:6" x14ac:dyDescent="0.25">
      <c r="B496" s="632" t="s">
        <v>1150</v>
      </c>
      <c r="C496" s="634">
        <v>37001</v>
      </c>
      <c r="D496" s="656"/>
      <c r="E496" s="656"/>
      <c r="F496" s="634"/>
    </row>
    <row r="497" spans="2:6" x14ac:dyDescent="0.25">
      <c r="B497" s="632" t="s">
        <v>1319</v>
      </c>
      <c r="C497" s="634">
        <v>33001</v>
      </c>
      <c r="D497" s="656"/>
      <c r="E497" s="656"/>
      <c r="F497" s="634"/>
    </row>
    <row r="498" spans="2:6" x14ac:dyDescent="0.25">
      <c r="B498" s="632" t="s">
        <v>1405</v>
      </c>
      <c r="C498" s="634">
        <v>36405</v>
      </c>
      <c r="D498" s="656"/>
      <c r="E498" s="656"/>
      <c r="F498" s="634"/>
    </row>
    <row r="499" spans="2:6" x14ac:dyDescent="0.25">
      <c r="B499" s="632" t="s">
        <v>1404</v>
      </c>
      <c r="C499" s="634">
        <v>36400</v>
      </c>
      <c r="D499" s="656"/>
      <c r="E499" s="656"/>
      <c r="F499" s="634"/>
    </row>
    <row r="500" spans="2:6" x14ac:dyDescent="0.25">
      <c r="B500" s="632" t="s">
        <v>1492</v>
      </c>
      <c r="C500" s="634">
        <v>51000.1</v>
      </c>
      <c r="D500" s="656"/>
      <c r="E500" s="656"/>
      <c r="F500" s="634"/>
    </row>
    <row r="501" spans="2:6" x14ac:dyDescent="0.25">
      <c r="B501" s="632" t="s">
        <v>1493</v>
      </c>
      <c r="C501" s="634">
        <v>51000.2</v>
      </c>
      <c r="D501" s="656"/>
      <c r="E501" s="656"/>
      <c r="F501" s="634"/>
    </row>
    <row r="502" spans="2:6" x14ac:dyDescent="0.25">
      <c r="B502" s="632" t="s">
        <v>1370</v>
      </c>
      <c r="C502" s="634">
        <v>35106</v>
      </c>
      <c r="D502" s="656"/>
      <c r="E502" s="656"/>
      <c r="F502" s="634"/>
    </row>
    <row r="503" spans="2:6" x14ac:dyDescent="0.25">
      <c r="B503" s="632" t="s">
        <v>1307</v>
      </c>
      <c r="C503" s="634">
        <v>32500</v>
      </c>
      <c r="D503" s="656"/>
      <c r="E503" s="656"/>
      <c r="F503" s="634"/>
    </row>
    <row r="504" spans="2:6" x14ac:dyDescent="0.25">
      <c r="B504" s="632" t="s">
        <v>1406</v>
      </c>
      <c r="C504" s="634">
        <v>36500</v>
      </c>
      <c r="D504" s="656"/>
      <c r="E504" s="656"/>
      <c r="F504" s="634"/>
    </row>
    <row r="505" spans="2:6" x14ac:dyDescent="0.25">
      <c r="B505" s="632" t="s">
        <v>1296</v>
      </c>
      <c r="C505" s="634">
        <v>31820</v>
      </c>
      <c r="D505" s="656"/>
      <c r="E505" s="656"/>
      <c r="F505" s="634"/>
    </row>
    <row r="506" spans="2:6" x14ac:dyDescent="0.25">
      <c r="B506" s="632" t="s">
        <v>1204</v>
      </c>
      <c r="C506" s="634">
        <v>10200</v>
      </c>
      <c r="D506" s="656"/>
      <c r="E506" s="656"/>
      <c r="F506" s="634"/>
    </row>
    <row r="507" spans="2:6" x14ac:dyDescent="0.25">
      <c r="B507" s="632" t="s">
        <v>1410</v>
      </c>
      <c r="C507" s="634">
        <v>36600</v>
      </c>
      <c r="D507" s="656"/>
      <c r="E507" s="656"/>
      <c r="F507" s="634"/>
    </row>
    <row r="508" spans="2:6" x14ac:dyDescent="0.25">
      <c r="B508" s="632" t="s">
        <v>1209</v>
      </c>
      <c r="C508" s="634">
        <v>10850</v>
      </c>
      <c r="D508" s="656"/>
      <c r="E508" s="656"/>
      <c r="F508" s="634"/>
    </row>
    <row r="509" spans="2:6" x14ac:dyDescent="0.25">
      <c r="B509" s="632" t="s">
        <v>1211</v>
      </c>
      <c r="C509" s="634">
        <v>10910</v>
      </c>
      <c r="D509" s="656"/>
      <c r="E509" s="656"/>
      <c r="F509" s="634"/>
    </row>
    <row r="510" spans="2:6" x14ac:dyDescent="0.25">
      <c r="B510" s="632" t="s">
        <v>1213</v>
      </c>
      <c r="C510" s="634">
        <v>10940</v>
      </c>
      <c r="D510" s="656"/>
      <c r="E510" s="656"/>
      <c r="F510" s="634"/>
    </row>
    <row r="511" spans="2:6" x14ac:dyDescent="0.25">
      <c r="B511" s="632" t="s">
        <v>1412</v>
      </c>
      <c r="C511" s="634">
        <v>36700</v>
      </c>
      <c r="D511" s="656"/>
      <c r="E511" s="656"/>
      <c r="F511" s="634"/>
    </row>
    <row r="512" spans="2:6" x14ac:dyDescent="0.25">
      <c r="B512" s="632" t="s">
        <v>1416</v>
      </c>
      <c r="C512" s="634">
        <v>36802</v>
      </c>
      <c r="D512" s="656"/>
      <c r="E512" s="656"/>
      <c r="F512" s="634"/>
    </row>
    <row r="513" spans="2:6" x14ac:dyDescent="0.25">
      <c r="B513" s="632" t="s">
        <v>1415</v>
      </c>
      <c r="C513" s="634">
        <v>36800</v>
      </c>
      <c r="D513" s="656"/>
      <c r="E513" s="656"/>
      <c r="F513" s="634"/>
    </row>
    <row r="514" spans="2:6" x14ac:dyDescent="0.25">
      <c r="B514" s="632" t="s">
        <v>1420</v>
      </c>
      <c r="C514" s="634">
        <v>36905</v>
      </c>
      <c r="D514" s="656"/>
      <c r="E514" s="656"/>
      <c r="F514" s="634"/>
    </row>
    <row r="515" spans="2:6" x14ac:dyDescent="0.25">
      <c r="B515" s="632" t="s">
        <v>1418</v>
      </c>
      <c r="C515" s="634">
        <v>36900</v>
      </c>
      <c r="D515" s="656"/>
      <c r="E515" s="656"/>
      <c r="F515" s="634"/>
    </row>
    <row r="516" spans="2:6" x14ac:dyDescent="0.25">
      <c r="B516" s="632" t="s">
        <v>1423</v>
      </c>
      <c r="C516" s="634">
        <v>37100</v>
      </c>
      <c r="D516" s="656"/>
      <c r="E516" s="656"/>
      <c r="F516" s="634"/>
    </row>
    <row r="517" spans="2:6" x14ac:dyDescent="0.25">
      <c r="B517" s="632" t="s">
        <v>1424</v>
      </c>
      <c r="C517" s="634">
        <v>37200</v>
      </c>
      <c r="D517" s="656"/>
      <c r="E517" s="656"/>
      <c r="F517" s="634"/>
    </row>
    <row r="518" spans="2:6" x14ac:dyDescent="0.25">
      <c r="B518" s="632" t="s">
        <v>1425</v>
      </c>
      <c r="C518" s="634">
        <v>37300</v>
      </c>
      <c r="D518" s="656"/>
      <c r="E518" s="656"/>
      <c r="F518" s="634"/>
    </row>
    <row r="519" spans="2:6" x14ac:dyDescent="0.25">
      <c r="B519" s="632" t="s">
        <v>1427</v>
      </c>
      <c r="C519" s="634">
        <v>37305</v>
      </c>
      <c r="D519" s="656"/>
      <c r="E519" s="656"/>
      <c r="F519" s="634"/>
    </row>
    <row r="520" spans="2:6" x14ac:dyDescent="0.25">
      <c r="B520" s="632" t="s">
        <v>1392</v>
      </c>
      <c r="C520" s="634">
        <v>36008</v>
      </c>
      <c r="D520" s="656"/>
      <c r="E520" s="656"/>
      <c r="F520" s="634"/>
    </row>
    <row r="521" spans="2:6" x14ac:dyDescent="0.25">
      <c r="B521" s="632" t="s">
        <v>1485</v>
      </c>
      <c r="C521" s="634">
        <v>39703</v>
      </c>
      <c r="D521" s="656"/>
      <c r="E521" s="656"/>
      <c r="F521" s="634"/>
    </row>
    <row r="522" spans="2:6" x14ac:dyDescent="0.25">
      <c r="B522" s="632" t="s">
        <v>1331</v>
      </c>
      <c r="C522" s="634">
        <v>33209</v>
      </c>
      <c r="D522" s="656"/>
      <c r="E522" s="656"/>
      <c r="F522" s="634"/>
    </row>
    <row r="523" spans="2:6" x14ac:dyDescent="0.25">
      <c r="B523" s="632" t="s">
        <v>1429</v>
      </c>
      <c r="C523" s="634">
        <v>37405</v>
      </c>
      <c r="D523" s="656"/>
      <c r="E523" s="656"/>
      <c r="F523" s="634"/>
    </row>
    <row r="524" spans="2:6" x14ac:dyDescent="0.25">
      <c r="B524" s="632" t="s">
        <v>1428</v>
      </c>
      <c r="C524" s="634">
        <v>37400</v>
      </c>
      <c r="D524" s="656"/>
      <c r="E524" s="656"/>
      <c r="F524" s="634"/>
    </row>
    <row r="525" spans="2:6" x14ac:dyDescent="0.25">
      <c r="B525" s="632" t="s">
        <v>1430</v>
      </c>
      <c r="C525" s="634">
        <v>37500</v>
      </c>
      <c r="D525" s="656"/>
      <c r="E525" s="656"/>
      <c r="F525" s="634"/>
    </row>
    <row r="526" spans="2:6" x14ac:dyDescent="0.25">
      <c r="B526" s="632" t="s">
        <v>1433</v>
      </c>
      <c r="C526" s="634">
        <v>37605</v>
      </c>
      <c r="D526" s="656"/>
      <c r="E526" s="656"/>
      <c r="F526" s="634"/>
    </row>
    <row r="527" spans="2:6" x14ac:dyDescent="0.25">
      <c r="B527" s="632" t="s">
        <v>1431</v>
      </c>
      <c r="C527" s="634">
        <v>37600</v>
      </c>
      <c r="D527" s="656"/>
      <c r="E527" s="656"/>
      <c r="F527" s="634"/>
    </row>
    <row r="528" spans="2:6" x14ac:dyDescent="0.25">
      <c r="B528" s="632" t="s">
        <v>1226</v>
      </c>
      <c r="C528" s="634">
        <v>13500</v>
      </c>
      <c r="D528" s="656"/>
      <c r="E528" s="656"/>
      <c r="F528" s="634"/>
    </row>
    <row r="529" spans="2:6" x14ac:dyDescent="0.25">
      <c r="B529" s="632" t="s">
        <v>1435</v>
      </c>
      <c r="C529" s="634">
        <v>37700</v>
      </c>
      <c r="D529" s="656"/>
      <c r="E529" s="656"/>
      <c r="F529" s="634"/>
    </row>
    <row r="530" spans="2:6" x14ac:dyDescent="0.25">
      <c r="B530" s="632" t="s">
        <v>1436</v>
      </c>
      <c r="C530" s="634">
        <v>37705</v>
      </c>
      <c r="D530" s="656"/>
      <c r="E530" s="656"/>
      <c r="F530" s="634"/>
    </row>
    <row r="531" spans="2:6" x14ac:dyDescent="0.25">
      <c r="B531" s="632" t="s">
        <v>1260</v>
      </c>
      <c r="C531" s="634">
        <v>30103</v>
      </c>
      <c r="D531" s="656"/>
      <c r="E531" s="656"/>
      <c r="F531" s="634"/>
    </row>
    <row r="532" spans="2:6" x14ac:dyDescent="0.25">
      <c r="B532" s="632" t="s">
        <v>1349</v>
      </c>
      <c r="C532" s="634">
        <v>34220</v>
      </c>
      <c r="D532" s="656"/>
      <c r="E532" s="656"/>
      <c r="F532" s="634"/>
    </row>
    <row r="533" spans="2:6" x14ac:dyDescent="0.25">
      <c r="B533" s="632" t="s">
        <v>1358</v>
      </c>
      <c r="C533" s="634">
        <v>34605</v>
      </c>
      <c r="D533" s="656"/>
      <c r="E533" s="656"/>
      <c r="F533" s="634"/>
    </row>
    <row r="534" spans="2:6" x14ac:dyDescent="0.25">
      <c r="B534" s="632" t="s">
        <v>1439</v>
      </c>
      <c r="C534" s="634">
        <v>37805</v>
      </c>
      <c r="D534" s="656"/>
      <c r="E534" s="656"/>
      <c r="F534" s="634"/>
    </row>
    <row r="535" spans="2:6" x14ac:dyDescent="0.25">
      <c r="B535" s="632" t="s">
        <v>1437</v>
      </c>
      <c r="C535" s="634">
        <v>37800</v>
      </c>
      <c r="D535" s="656"/>
      <c r="E535" s="656"/>
      <c r="F535" s="634"/>
    </row>
    <row r="536" spans="2:6" x14ac:dyDescent="0.25">
      <c r="B536" s="632" t="s">
        <v>1442</v>
      </c>
      <c r="C536" s="634">
        <v>37905</v>
      </c>
      <c r="D536" s="656"/>
      <c r="E536" s="656"/>
      <c r="F536" s="634"/>
    </row>
    <row r="537" spans="2:6" x14ac:dyDescent="0.25">
      <c r="B537" s="632" t="s">
        <v>1440</v>
      </c>
      <c r="C537" s="634">
        <v>37900</v>
      </c>
      <c r="D537" s="656"/>
      <c r="E537" s="656"/>
      <c r="F537" s="634"/>
    </row>
    <row r="538" spans="2:6" x14ac:dyDescent="0.25">
      <c r="B538" s="632" t="s">
        <v>1444</v>
      </c>
      <c r="C538" s="634">
        <v>38005</v>
      </c>
      <c r="D538" s="656"/>
      <c r="E538" s="656"/>
      <c r="F538" s="634"/>
    </row>
    <row r="539" spans="2:6" x14ac:dyDescent="0.25">
      <c r="B539" s="632" t="s">
        <v>1443</v>
      </c>
      <c r="C539" s="634">
        <v>38000</v>
      </c>
      <c r="D539" s="656"/>
      <c r="E539" s="656"/>
      <c r="F539" s="634"/>
    </row>
    <row r="540" spans="2:6" x14ac:dyDescent="0.25">
      <c r="B540" s="632" t="s">
        <v>1426</v>
      </c>
      <c r="C540" s="634">
        <v>37301</v>
      </c>
      <c r="D540" s="656"/>
      <c r="E540" s="656"/>
      <c r="F540" s="634"/>
    </row>
    <row r="541" spans="2:6" x14ac:dyDescent="0.25">
      <c r="B541" s="632" t="s">
        <v>1499</v>
      </c>
      <c r="C541" s="634">
        <v>98101</v>
      </c>
      <c r="D541" s="656"/>
      <c r="E541" s="656"/>
      <c r="F541" s="634"/>
    </row>
    <row r="542" spans="2:6" x14ac:dyDescent="0.25">
      <c r="B542" s="632" t="s">
        <v>1445</v>
      </c>
      <c r="C542" s="634">
        <v>38100</v>
      </c>
      <c r="D542" s="656"/>
      <c r="E542" s="656"/>
      <c r="F542" s="634"/>
    </row>
    <row r="543" spans="2:6" x14ac:dyDescent="0.25">
      <c r="B543" s="632" t="s">
        <v>1500</v>
      </c>
      <c r="C543" s="634">
        <v>98103</v>
      </c>
      <c r="D543" s="656"/>
      <c r="E543" s="656"/>
      <c r="F543" s="634"/>
    </row>
    <row r="544" spans="2:6" x14ac:dyDescent="0.25">
      <c r="B544" s="632" t="s">
        <v>1448</v>
      </c>
      <c r="C544" s="634">
        <v>38205</v>
      </c>
      <c r="D544" s="656"/>
      <c r="E544" s="656"/>
      <c r="F544" s="634"/>
    </row>
    <row r="545" spans="2:6" x14ac:dyDescent="0.25">
      <c r="B545" s="632" t="s">
        <v>1447</v>
      </c>
      <c r="C545" s="634">
        <v>38200</v>
      </c>
      <c r="D545" s="656"/>
      <c r="E545" s="656"/>
      <c r="F545" s="634"/>
    </row>
    <row r="546" spans="2:6" x14ac:dyDescent="0.25">
      <c r="B546" s="632" t="s">
        <v>1402</v>
      </c>
      <c r="C546" s="634">
        <v>36305</v>
      </c>
      <c r="D546" s="656"/>
      <c r="E546" s="656"/>
      <c r="F546" s="634"/>
    </row>
    <row r="547" spans="2:6" x14ac:dyDescent="0.25">
      <c r="B547" s="632" t="s">
        <v>1372</v>
      </c>
      <c r="C547" s="634">
        <v>35300</v>
      </c>
      <c r="D547" s="656"/>
      <c r="E547" s="656"/>
      <c r="F547" s="634"/>
    </row>
    <row r="548" spans="2:6" x14ac:dyDescent="0.25">
      <c r="B548" s="632" t="s">
        <v>1450</v>
      </c>
      <c r="C548" s="634">
        <v>38300</v>
      </c>
      <c r="D548" s="656"/>
      <c r="E548" s="656"/>
      <c r="F548" s="634"/>
    </row>
    <row r="549" spans="2:6" x14ac:dyDescent="0.25">
      <c r="B549" s="632" t="s">
        <v>1227</v>
      </c>
      <c r="C549" s="634">
        <v>13700</v>
      </c>
      <c r="D549" s="656"/>
      <c r="E549" s="656"/>
      <c r="F549" s="634"/>
    </row>
    <row r="550" spans="2:6" x14ac:dyDescent="0.25">
      <c r="B550" s="632" t="s">
        <v>1391</v>
      </c>
      <c r="C550" s="634">
        <v>36007</v>
      </c>
      <c r="D550" s="656"/>
      <c r="E550" s="656"/>
      <c r="F550" s="634"/>
    </row>
    <row r="551" spans="2:6" x14ac:dyDescent="0.25">
      <c r="B551" s="632" t="s">
        <v>1266</v>
      </c>
      <c r="C551" s="634">
        <v>30405</v>
      </c>
      <c r="D551" s="656"/>
      <c r="E551" s="656"/>
      <c r="F551" s="634"/>
    </row>
    <row r="552" spans="2:6" x14ac:dyDescent="0.25">
      <c r="B552" s="632" t="s">
        <v>1438</v>
      </c>
      <c r="C552" s="634">
        <v>37801</v>
      </c>
      <c r="D552" s="656"/>
      <c r="E552" s="656"/>
      <c r="F552" s="634"/>
    </row>
    <row r="553" spans="2:6" x14ac:dyDescent="0.25">
      <c r="B553" s="632" t="s">
        <v>1305</v>
      </c>
      <c r="C553" s="634">
        <v>32405</v>
      </c>
      <c r="D553" s="656"/>
      <c r="E553" s="656"/>
      <c r="F553" s="634"/>
    </row>
    <row r="554" spans="2:6" x14ac:dyDescent="0.25">
      <c r="B554" s="632" t="s">
        <v>1472</v>
      </c>
      <c r="C554" s="634">
        <v>39204</v>
      </c>
      <c r="D554" s="656"/>
      <c r="E554" s="656"/>
      <c r="F554" s="634"/>
    </row>
    <row r="555" spans="2:6" x14ac:dyDescent="0.25">
      <c r="B555" s="632" t="s">
        <v>1367</v>
      </c>
      <c r="C555" s="634">
        <v>35005</v>
      </c>
      <c r="D555" s="656"/>
      <c r="E555" s="656"/>
      <c r="F555" s="634"/>
    </row>
    <row r="556" spans="2:6" x14ac:dyDescent="0.25">
      <c r="B556" s="632" t="s">
        <v>1453</v>
      </c>
      <c r="C556" s="634">
        <v>38405</v>
      </c>
      <c r="D556" s="656"/>
      <c r="E556" s="656"/>
      <c r="F556" s="634"/>
    </row>
    <row r="557" spans="2:6" x14ac:dyDescent="0.25">
      <c r="B557" s="632" t="s">
        <v>1451</v>
      </c>
      <c r="C557" s="634">
        <v>38400</v>
      </c>
      <c r="D557" s="656"/>
      <c r="E557" s="656"/>
      <c r="F557" s="634"/>
    </row>
    <row r="558" spans="2:6" x14ac:dyDescent="0.25">
      <c r="B558" s="632" t="s">
        <v>1401</v>
      </c>
      <c r="C558" s="634">
        <v>36302</v>
      </c>
      <c r="D558" s="656"/>
      <c r="E558" s="656"/>
      <c r="F558" s="634"/>
    </row>
    <row r="559" spans="2:6" x14ac:dyDescent="0.25">
      <c r="B559" s="632" t="s">
        <v>1206</v>
      </c>
      <c r="C559" s="634">
        <v>10500</v>
      </c>
      <c r="D559" s="656"/>
      <c r="E559" s="656"/>
      <c r="F559" s="634"/>
    </row>
    <row r="560" spans="2:6" x14ac:dyDescent="0.25">
      <c r="B560" s="632" t="s">
        <v>1218</v>
      </c>
      <c r="C560" s="634">
        <v>11900</v>
      </c>
      <c r="D560" s="656"/>
      <c r="E560" s="656"/>
      <c r="F560" s="634"/>
    </row>
    <row r="561" spans="2:6" ht="26.25" x14ac:dyDescent="0.25">
      <c r="B561" s="632" t="s">
        <v>1248</v>
      </c>
      <c r="C561" s="634">
        <v>21525.1</v>
      </c>
      <c r="D561" s="656"/>
      <c r="E561" s="656"/>
      <c r="F561" s="634"/>
    </row>
    <row r="562" spans="2:6" x14ac:dyDescent="0.25">
      <c r="B562" s="632" t="s">
        <v>1229</v>
      </c>
      <c r="C562" s="634">
        <v>14300.1</v>
      </c>
      <c r="D562" s="656"/>
      <c r="E562" s="656"/>
      <c r="F562" s="634"/>
    </row>
    <row r="563" spans="2:6" x14ac:dyDescent="0.25">
      <c r="B563" s="632" t="s">
        <v>1228</v>
      </c>
      <c r="C563" s="634">
        <v>14300</v>
      </c>
      <c r="D563" s="656"/>
      <c r="E563" s="656"/>
      <c r="F563" s="634"/>
    </row>
    <row r="564" spans="2:6" x14ac:dyDescent="0.25">
      <c r="B564" s="632" t="s">
        <v>1454</v>
      </c>
      <c r="C564" s="634">
        <v>38500</v>
      </c>
      <c r="D564" s="656"/>
      <c r="E564" s="656"/>
      <c r="F564" s="634"/>
    </row>
    <row r="565" spans="2:6" x14ac:dyDescent="0.25">
      <c r="B565" s="632" t="s">
        <v>1363</v>
      </c>
      <c r="C565" s="634">
        <v>34903</v>
      </c>
      <c r="D565" s="656"/>
      <c r="E565" s="656"/>
      <c r="F565" s="634"/>
    </row>
    <row r="566" spans="2:6" x14ac:dyDescent="0.25">
      <c r="B566" s="632" t="s">
        <v>1458</v>
      </c>
      <c r="C566" s="634">
        <v>38605</v>
      </c>
      <c r="D566" s="656"/>
      <c r="E566" s="656"/>
      <c r="F566" s="634"/>
    </row>
    <row r="567" spans="2:6" x14ac:dyDescent="0.25">
      <c r="B567" s="632" t="s">
        <v>1455</v>
      </c>
      <c r="C567" s="634">
        <v>38600</v>
      </c>
      <c r="D567" s="656"/>
      <c r="E567" s="656"/>
      <c r="F567" s="634"/>
    </row>
    <row r="568" spans="2:6" x14ac:dyDescent="0.25">
      <c r="B568" s="632" t="s">
        <v>1461</v>
      </c>
      <c r="C568" s="634">
        <v>38700</v>
      </c>
      <c r="D568" s="656"/>
      <c r="E568" s="656"/>
      <c r="F568" s="634"/>
    </row>
    <row r="569" spans="2:6" x14ac:dyDescent="0.25">
      <c r="B569" s="632" t="s">
        <v>1261</v>
      </c>
      <c r="C569" s="634">
        <v>30104</v>
      </c>
      <c r="D569" s="656"/>
      <c r="E569" s="656"/>
      <c r="F569" s="634"/>
    </row>
    <row r="570" spans="2:6" x14ac:dyDescent="0.25">
      <c r="B570" s="632" t="s">
        <v>1317</v>
      </c>
      <c r="C570" s="634">
        <v>32920</v>
      </c>
      <c r="D570" s="656"/>
      <c r="E570" s="656"/>
      <c r="F570" s="634"/>
    </row>
    <row r="571" spans="2:6" x14ac:dyDescent="0.25">
      <c r="B571" s="632" t="s">
        <v>1497</v>
      </c>
      <c r="C571" s="634">
        <v>91111</v>
      </c>
      <c r="D571" s="656"/>
      <c r="E571" s="656"/>
      <c r="F571" s="634"/>
    </row>
    <row r="572" spans="2:6" x14ac:dyDescent="0.25">
      <c r="B572" s="632" t="s">
        <v>1505</v>
      </c>
      <c r="C572" s="634">
        <v>99831</v>
      </c>
      <c r="D572" s="656"/>
      <c r="E572" s="656"/>
      <c r="F572" s="634"/>
    </row>
    <row r="573" spans="2:6" x14ac:dyDescent="0.25">
      <c r="B573" s="632" t="s">
        <v>1498</v>
      </c>
      <c r="C573" s="634">
        <v>91151</v>
      </c>
      <c r="D573" s="656"/>
      <c r="E573" s="656"/>
      <c r="F573" s="634"/>
    </row>
    <row r="574" spans="2:6" x14ac:dyDescent="0.25">
      <c r="B574" s="632" t="s">
        <v>1504</v>
      </c>
      <c r="C574" s="634">
        <v>99521</v>
      </c>
      <c r="D574" s="656"/>
      <c r="E574" s="656"/>
      <c r="F574" s="634"/>
    </row>
    <row r="575" spans="2:6" x14ac:dyDescent="0.25">
      <c r="B575" s="632" t="s">
        <v>1501</v>
      </c>
      <c r="C575" s="634">
        <v>98111</v>
      </c>
      <c r="D575" s="656"/>
      <c r="E575" s="656"/>
      <c r="F575" s="634"/>
    </row>
    <row r="576" spans="2:6" x14ac:dyDescent="0.25">
      <c r="B576" s="632" t="s">
        <v>1502</v>
      </c>
      <c r="C576" s="634">
        <v>98131</v>
      </c>
      <c r="D576" s="656"/>
      <c r="E576" s="656"/>
      <c r="F576" s="634"/>
    </row>
    <row r="577" spans="2:6" x14ac:dyDescent="0.25">
      <c r="B577" s="632" t="s">
        <v>1496</v>
      </c>
      <c r="C577" s="634">
        <v>91041</v>
      </c>
      <c r="D577" s="656"/>
      <c r="E577" s="656"/>
      <c r="F577" s="634"/>
    </row>
    <row r="578" spans="2:6" x14ac:dyDescent="0.25">
      <c r="B578" s="632" t="s">
        <v>1463</v>
      </c>
      <c r="C578" s="634">
        <v>38800</v>
      </c>
      <c r="D578" s="656"/>
      <c r="E578" s="656"/>
      <c r="F578" s="634"/>
    </row>
    <row r="579" spans="2:6" x14ac:dyDescent="0.25">
      <c r="B579" s="632" t="s">
        <v>1299</v>
      </c>
      <c r="C579" s="634">
        <v>32005</v>
      </c>
      <c r="D579" s="656"/>
      <c r="E579" s="656"/>
      <c r="F579" s="634"/>
    </row>
    <row r="580" spans="2:6" x14ac:dyDescent="0.25">
      <c r="B580" s="632" t="s">
        <v>1481</v>
      </c>
      <c r="C580" s="634">
        <v>39501</v>
      </c>
      <c r="D580" s="656"/>
      <c r="E580" s="656"/>
      <c r="F580" s="634"/>
    </row>
    <row r="581" spans="2:6" x14ac:dyDescent="0.25">
      <c r="B581" s="632" t="s">
        <v>1465</v>
      </c>
      <c r="C581" s="634">
        <v>38900</v>
      </c>
      <c r="D581" s="656"/>
      <c r="E581" s="656"/>
      <c r="F581" s="634"/>
    </row>
    <row r="582" spans="2:6" x14ac:dyDescent="0.25">
      <c r="B582" s="632" t="s">
        <v>1245</v>
      </c>
      <c r="C582" s="634">
        <v>21200</v>
      </c>
      <c r="D582" s="656"/>
      <c r="E582" s="656"/>
      <c r="F582" s="634"/>
    </row>
    <row r="583" spans="2:6" x14ac:dyDescent="0.25">
      <c r="B583" s="632" t="s">
        <v>1249</v>
      </c>
      <c r="C583" s="634">
        <v>21550</v>
      </c>
      <c r="D583" s="656"/>
      <c r="E583" s="656"/>
      <c r="F583" s="634"/>
    </row>
    <row r="584" spans="2:6" x14ac:dyDescent="0.25">
      <c r="B584" s="632" t="s">
        <v>820</v>
      </c>
      <c r="C584" s="634">
        <v>21520</v>
      </c>
      <c r="D584" s="656"/>
      <c r="E584" s="656"/>
      <c r="F584" s="634"/>
    </row>
    <row r="585" spans="2:6" x14ac:dyDescent="0.25">
      <c r="B585" s="632" t="s">
        <v>1247</v>
      </c>
      <c r="C585" s="634">
        <v>21525</v>
      </c>
      <c r="D585" s="656"/>
      <c r="E585" s="656"/>
      <c r="F585" s="634"/>
    </row>
    <row r="586" spans="2:6" x14ac:dyDescent="0.25">
      <c r="B586" s="632" t="s">
        <v>1466</v>
      </c>
      <c r="C586" s="634">
        <v>39000</v>
      </c>
      <c r="D586" s="656"/>
      <c r="E586" s="656"/>
      <c r="F586" s="634"/>
    </row>
    <row r="587" spans="2:6" x14ac:dyDescent="0.25">
      <c r="B587" s="632" t="s">
        <v>1254</v>
      </c>
      <c r="C587" s="634">
        <v>23000</v>
      </c>
      <c r="D587" s="656"/>
      <c r="E587" s="656"/>
      <c r="F587" s="634"/>
    </row>
    <row r="588" spans="2:6" x14ac:dyDescent="0.25">
      <c r="B588" s="632" t="s">
        <v>1255</v>
      </c>
      <c r="C588" s="634">
        <v>23100</v>
      </c>
      <c r="D588" s="656"/>
      <c r="E588" s="656"/>
      <c r="F588" s="634"/>
    </row>
    <row r="589" spans="2:6" x14ac:dyDescent="0.25">
      <c r="B589" s="632" t="s">
        <v>1244</v>
      </c>
      <c r="C589" s="634">
        <v>20900</v>
      </c>
      <c r="D589" s="656"/>
      <c r="E589" s="656"/>
      <c r="F589" s="634"/>
    </row>
    <row r="590" spans="2:6" x14ac:dyDescent="0.25">
      <c r="B590" s="632" t="s">
        <v>1256</v>
      </c>
      <c r="C590" s="634">
        <v>23200</v>
      </c>
      <c r="D590" s="656"/>
      <c r="E590" s="656"/>
      <c r="F590" s="634"/>
    </row>
    <row r="591" spans="2:6" x14ac:dyDescent="0.25">
      <c r="B591" s="632" t="s">
        <v>1250</v>
      </c>
      <c r="C591" s="634">
        <v>21570</v>
      </c>
      <c r="D591" s="656"/>
      <c r="E591" s="656"/>
      <c r="F591" s="634"/>
    </row>
    <row r="592" spans="2:6" x14ac:dyDescent="0.25">
      <c r="B592" s="632" t="s">
        <v>1432</v>
      </c>
      <c r="C592" s="634">
        <v>37601</v>
      </c>
      <c r="D592" s="656"/>
      <c r="E592" s="656"/>
      <c r="F592" s="634"/>
    </row>
    <row r="593" spans="2:6" x14ac:dyDescent="0.25">
      <c r="B593" s="632" t="s">
        <v>1468</v>
      </c>
      <c r="C593" s="634">
        <v>39101</v>
      </c>
      <c r="D593" s="656"/>
      <c r="E593" s="656"/>
      <c r="F593" s="634"/>
    </row>
    <row r="594" spans="2:6" x14ac:dyDescent="0.25">
      <c r="B594" s="632" t="s">
        <v>1467</v>
      </c>
      <c r="C594" s="634">
        <v>39100</v>
      </c>
      <c r="D594" s="656"/>
      <c r="E594" s="656"/>
      <c r="F594" s="634"/>
    </row>
    <row r="595" spans="2:6" x14ac:dyDescent="0.25">
      <c r="B595" s="632" t="s">
        <v>1469</v>
      </c>
      <c r="C595" s="634">
        <v>39105</v>
      </c>
      <c r="D595" s="656"/>
      <c r="E595" s="656"/>
      <c r="F595" s="634"/>
    </row>
    <row r="596" spans="2:6" x14ac:dyDescent="0.25">
      <c r="B596" s="632" t="s">
        <v>1326</v>
      </c>
      <c r="C596" s="634">
        <v>33204</v>
      </c>
      <c r="D596" s="656"/>
      <c r="E596" s="656"/>
      <c r="F596" s="634"/>
    </row>
    <row r="597" spans="2:6" x14ac:dyDescent="0.25">
      <c r="B597" s="632" t="s">
        <v>1470</v>
      </c>
      <c r="C597" s="634">
        <v>39200</v>
      </c>
      <c r="D597" s="656"/>
      <c r="E597" s="656"/>
      <c r="F597" s="634"/>
    </row>
    <row r="598" spans="2:6" x14ac:dyDescent="0.25">
      <c r="B598" s="632" t="s">
        <v>1473</v>
      </c>
      <c r="C598" s="634">
        <v>39205</v>
      </c>
      <c r="D598" s="656"/>
      <c r="E598" s="656"/>
      <c r="F598" s="634"/>
    </row>
    <row r="599" spans="2:6" x14ac:dyDescent="0.25">
      <c r="B599" s="632" t="s">
        <v>1476</v>
      </c>
      <c r="C599" s="634">
        <v>39300</v>
      </c>
      <c r="D599" s="656"/>
      <c r="E599" s="656"/>
      <c r="F599" s="634"/>
    </row>
    <row r="600" spans="2:6" x14ac:dyDescent="0.25">
      <c r="B600" s="632" t="s">
        <v>1503</v>
      </c>
      <c r="C600" s="634">
        <v>99401</v>
      </c>
      <c r="D600" s="656"/>
      <c r="E600" s="656"/>
      <c r="F600" s="634"/>
    </row>
    <row r="601" spans="2:6" x14ac:dyDescent="0.25">
      <c r="B601" s="632" t="s">
        <v>1478</v>
      </c>
      <c r="C601" s="634">
        <v>39400</v>
      </c>
      <c r="D601" s="656"/>
      <c r="E601" s="656"/>
      <c r="F601" s="634"/>
    </row>
    <row r="602" spans="2:6" x14ac:dyDescent="0.25">
      <c r="B602" s="632" t="s">
        <v>1480</v>
      </c>
      <c r="C602" s="634">
        <v>39500</v>
      </c>
      <c r="D602" s="656"/>
      <c r="E602" s="656"/>
      <c r="F602" s="634"/>
    </row>
    <row r="603" spans="2:6" x14ac:dyDescent="0.25">
      <c r="B603" s="632" t="s">
        <v>1483</v>
      </c>
      <c r="C603" s="634">
        <v>39605</v>
      </c>
      <c r="D603" s="656"/>
      <c r="E603" s="656"/>
      <c r="F603" s="634"/>
    </row>
    <row r="604" spans="2:6" x14ac:dyDescent="0.25">
      <c r="B604" s="632" t="s">
        <v>1482</v>
      </c>
      <c r="C604" s="634">
        <v>39600</v>
      </c>
      <c r="D604" s="656"/>
      <c r="E604" s="656"/>
      <c r="F604" s="634"/>
    </row>
    <row r="605" spans="2:6" x14ac:dyDescent="0.25">
      <c r="B605" s="632" t="s">
        <v>1350</v>
      </c>
      <c r="C605" s="634">
        <v>34230</v>
      </c>
      <c r="D605" s="656"/>
      <c r="E605" s="656"/>
      <c r="F605" s="634"/>
    </row>
    <row r="606" spans="2:6" x14ac:dyDescent="0.25">
      <c r="B606" s="632" t="s">
        <v>1251</v>
      </c>
      <c r="C606" s="634">
        <v>21800</v>
      </c>
      <c r="D606" s="656"/>
      <c r="E606" s="656"/>
      <c r="F606" s="634"/>
    </row>
    <row r="607" spans="2:6" x14ac:dyDescent="0.25">
      <c r="B607" s="632" t="s">
        <v>1283</v>
      </c>
      <c r="C607" s="634">
        <v>31205</v>
      </c>
      <c r="D607" s="656"/>
      <c r="E607" s="656"/>
      <c r="F607" s="634"/>
    </row>
    <row r="608" spans="2:6" x14ac:dyDescent="0.25">
      <c r="B608" s="632" t="s">
        <v>1306</v>
      </c>
      <c r="C608" s="634">
        <v>32410</v>
      </c>
      <c r="D608" s="656"/>
      <c r="E608" s="656"/>
      <c r="F608" s="634"/>
    </row>
    <row r="609" spans="2:6" x14ac:dyDescent="0.25">
      <c r="B609" s="632" t="s">
        <v>1217</v>
      </c>
      <c r="C609" s="634">
        <v>11600</v>
      </c>
      <c r="D609" s="656"/>
      <c r="E609" s="656"/>
      <c r="F609" s="634"/>
    </row>
    <row r="610" spans="2:6" x14ac:dyDescent="0.25">
      <c r="B610" s="632" t="s">
        <v>1486</v>
      </c>
      <c r="C610" s="634">
        <v>39705</v>
      </c>
      <c r="D610" s="656"/>
      <c r="E610" s="656"/>
      <c r="F610" s="634"/>
    </row>
    <row r="611" spans="2:6" x14ac:dyDescent="0.25">
      <c r="B611" s="632" t="s">
        <v>1484</v>
      </c>
      <c r="C611" s="634">
        <v>39700</v>
      </c>
      <c r="D611" s="656"/>
      <c r="E611" s="656"/>
      <c r="F611" s="634"/>
    </row>
    <row r="612" spans="2:6" x14ac:dyDescent="0.25">
      <c r="B612" s="632" t="s">
        <v>1408</v>
      </c>
      <c r="C612" s="634">
        <v>36502</v>
      </c>
      <c r="D612" s="656"/>
      <c r="E612" s="656"/>
      <c r="F612" s="634"/>
    </row>
    <row r="613" spans="2:6" x14ac:dyDescent="0.25">
      <c r="B613" s="632" t="s">
        <v>1488</v>
      </c>
      <c r="C613" s="634">
        <v>39805</v>
      </c>
      <c r="D613" s="656"/>
      <c r="E613" s="656"/>
      <c r="F613" s="634"/>
    </row>
    <row r="614" spans="2:6" x14ac:dyDescent="0.25">
      <c r="B614" s="632" t="s">
        <v>1487</v>
      </c>
      <c r="C614" s="634">
        <v>39800</v>
      </c>
      <c r="D614" s="656"/>
      <c r="E614" s="656"/>
      <c r="F614" s="634"/>
    </row>
    <row r="615" spans="2:6" x14ac:dyDescent="0.25">
      <c r="B615" s="632" t="s">
        <v>1252</v>
      </c>
      <c r="C615" s="634">
        <v>21900</v>
      </c>
      <c r="D615" s="656"/>
      <c r="E615" s="656"/>
      <c r="F615" s="634"/>
    </row>
    <row r="616" spans="2:6" x14ac:dyDescent="0.25">
      <c r="B616" s="632" t="s">
        <v>1334</v>
      </c>
      <c r="C616" s="634">
        <v>33400</v>
      </c>
      <c r="D616" s="656"/>
      <c r="E616" s="656"/>
      <c r="F616" s="634"/>
    </row>
    <row r="617" spans="2:6" x14ac:dyDescent="0.25">
      <c r="B617" s="632" t="s">
        <v>1489</v>
      </c>
      <c r="C617" s="634">
        <v>39900</v>
      </c>
      <c r="D617" s="656"/>
      <c r="E617" s="656"/>
      <c r="F617" s="634"/>
    </row>
    <row r="618" spans="2:6" x14ac:dyDescent="0.25">
      <c r="B618" s="632" t="s">
        <v>1257</v>
      </c>
      <c r="C618" s="634">
        <v>30000</v>
      </c>
      <c r="D618" s="656"/>
      <c r="E618" s="656"/>
      <c r="F618" s="634"/>
    </row>
    <row r="619" spans="2:6" x14ac:dyDescent="0.25">
      <c r="B619" s="632" t="s">
        <v>1413</v>
      </c>
      <c r="C619" s="634">
        <v>36701</v>
      </c>
      <c r="D619" s="656"/>
      <c r="E619" s="656"/>
      <c r="F619" s="634"/>
    </row>
    <row r="620" spans="2:6" x14ac:dyDescent="0.25">
      <c r="B620" s="632" t="s">
        <v>1145</v>
      </c>
      <c r="C620" s="660" t="s">
        <v>1508</v>
      </c>
      <c r="D620" s="656"/>
      <c r="E620" s="656"/>
      <c r="F620" s="634"/>
    </row>
    <row r="621" spans="2:6" x14ac:dyDescent="0.25">
      <c r="B621" s="632"/>
      <c r="C621" s="656"/>
      <c r="D621" s="656"/>
      <c r="E621" s="656"/>
      <c r="F621" s="634"/>
    </row>
  </sheetData>
  <sheetProtection algorithmName="SHA-512" hashValue="o35eJmfak+8ff0BsYKhtuto5MCS+4EWhiTDW56imHNmyYeToGhRp8yQetOdaEbbJYBfoQTObk/fVGEvkef/URQ==" saltValue="hSxGavZdpCr1Rz24hiuEuA==" spinCount="100000" sheet="1" objects="1" scenarios="1"/>
  <autoFilter ref="A4:AD312"/>
  <mergeCells count="4">
    <mergeCell ref="A1:B2"/>
    <mergeCell ref="I3:L3"/>
    <mergeCell ref="N3:R3"/>
    <mergeCell ref="T3:V3"/>
  </mergeCells>
  <printOptions horizontalCentered="1"/>
  <pageMargins left="0" right="0" top="0.75" bottom="0.75" header="0.3" footer="0.3"/>
  <pageSetup paperSize="5" scale="36" firstPageNumber="7" fitToHeight="0" orientation="landscape" r:id="rId1"/>
  <headerFooter scaleWithDoc="0" alignWithMargins="0"/>
  <rowBreaks count="1" manualBreakCount="1">
    <brk id="313" max="16383" man="1"/>
  </rowBreaks>
  <colBreaks count="1" manualBreakCount="1">
    <brk id="10" max="1048575" man="1"/>
  </colBreaks>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X196"/>
  <sheetViews>
    <sheetView topLeftCell="B1" zoomScaleNormal="100" workbookViewId="0">
      <selection activeCell="C14" sqref="C14"/>
    </sheetView>
  </sheetViews>
  <sheetFormatPr defaultRowHeight="12.75" x14ac:dyDescent="0.2"/>
  <cols>
    <col min="1" max="1" width="15.28515625" style="665" customWidth="1"/>
    <col min="2" max="2" width="62.7109375" style="665" customWidth="1"/>
    <col min="3" max="3" width="29.28515625" style="665" customWidth="1"/>
    <col min="4" max="4" width="21.42578125" style="665" customWidth="1"/>
    <col min="5" max="5" width="18.28515625" style="665" customWidth="1"/>
    <col min="6" max="6" width="30.85546875" style="665" customWidth="1"/>
    <col min="7" max="7" width="18.28515625" style="665" customWidth="1"/>
    <col min="8" max="8" width="20" style="665" customWidth="1"/>
    <col min="9" max="9" width="8.7109375" style="665" customWidth="1"/>
    <col min="10" max="10" width="19.42578125" style="665" customWidth="1"/>
    <col min="11" max="11" width="50.28515625" style="665" customWidth="1"/>
    <col min="12" max="12" width="18.28515625" style="665" customWidth="1"/>
    <col min="13" max="13" width="20" style="665" customWidth="1"/>
    <col min="14" max="14" width="8.7109375" style="665" customWidth="1"/>
    <col min="15" max="15" width="19.42578125" style="665" customWidth="1"/>
    <col min="16" max="16" width="50.5703125" style="665" customWidth="1"/>
    <col min="17" max="17" width="13.85546875" style="665" customWidth="1"/>
    <col min="18" max="18" width="30.85546875" style="665" customWidth="1"/>
    <col min="19" max="19" width="12.42578125" style="665" customWidth="1"/>
    <col min="20" max="20" width="18.7109375" style="665" customWidth="1"/>
    <col min="21" max="21" width="33" style="665" customWidth="1"/>
    <col min="22" max="22" width="15" style="665" bestFit="1" customWidth="1"/>
    <col min="23" max="16384" width="9.140625" style="665"/>
  </cols>
  <sheetData>
    <row r="2" spans="1:24" ht="19.5" customHeight="1" x14ac:dyDescent="0.2">
      <c r="A2" s="1115" t="s">
        <v>1625</v>
      </c>
      <c r="B2" s="1116"/>
      <c r="C2" s="1117"/>
    </row>
    <row r="5" spans="1:24" ht="98.25" customHeight="1" x14ac:dyDescent="0.2">
      <c r="A5" s="1108" t="s">
        <v>1566</v>
      </c>
      <c r="B5" s="1108"/>
      <c r="C5" s="1108"/>
    </row>
    <row r="11" spans="1:24" ht="18" customHeight="1" x14ac:dyDescent="0.2">
      <c r="A11" s="832" t="s">
        <v>333</v>
      </c>
      <c r="B11" s="833" t="s">
        <v>1108</v>
      </c>
      <c r="C11" s="465"/>
    </row>
    <row r="13" spans="1:24" x14ac:dyDescent="0.2">
      <c r="B13" s="840"/>
    </row>
    <row r="14" spans="1:24" x14ac:dyDescent="0.2">
      <c r="B14" s="23" t="s">
        <v>1067</v>
      </c>
      <c r="C14" s="605" t="s">
        <v>1527</v>
      </c>
    </row>
    <row r="15" spans="1:24" x14ac:dyDescent="0.2">
      <c r="A15" s="667"/>
      <c r="B15" s="552" t="s">
        <v>765</v>
      </c>
      <c r="C15" s="667" t="str">
        <f>VLOOKUP(C14,'La. 2018 DIPNC Summary'!B302:C597,2,FALSE)</f>
        <v>N/A</v>
      </c>
      <c r="D15" s="667"/>
      <c r="E15" s="667"/>
      <c r="F15" s="848"/>
      <c r="G15" s="667"/>
      <c r="H15" s="667"/>
      <c r="I15" s="667"/>
      <c r="J15" s="667"/>
      <c r="K15" s="667"/>
      <c r="L15" s="667"/>
      <c r="M15" s="667"/>
      <c r="N15" s="8"/>
      <c r="O15" s="667"/>
      <c r="P15" s="667"/>
      <c r="Q15" s="667"/>
      <c r="R15" s="667"/>
      <c r="S15" s="667"/>
      <c r="T15" s="667"/>
      <c r="U15" s="667"/>
      <c r="V15" s="667"/>
      <c r="W15" s="667"/>
      <c r="X15" s="667"/>
    </row>
    <row r="16" spans="1:24" x14ac:dyDescent="0.2">
      <c r="A16" s="667"/>
      <c r="B16" s="667"/>
      <c r="C16" s="667"/>
      <c r="D16" s="667"/>
      <c r="E16" s="667"/>
      <c r="F16" s="667"/>
      <c r="G16" s="667"/>
      <c r="H16" s="8"/>
      <c r="I16" s="667"/>
      <c r="J16" s="667"/>
      <c r="K16" s="667"/>
      <c r="L16" s="667"/>
      <c r="M16" s="667"/>
      <c r="N16" s="667"/>
      <c r="O16" s="667"/>
      <c r="P16" s="667"/>
      <c r="Q16" s="667"/>
      <c r="R16" s="667"/>
      <c r="S16" s="667"/>
      <c r="T16" s="667"/>
      <c r="U16" s="667"/>
      <c r="V16" s="667"/>
      <c r="W16" s="667"/>
      <c r="X16" s="667"/>
    </row>
    <row r="17" spans="1:24" ht="43.5" customHeight="1" x14ac:dyDescent="0.2">
      <c r="A17" s="667"/>
      <c r="B17" s="834" t="s">
        <v>1511</v>
      </c>
      <c r="C17" s="835">
        <v>0</v>
      </c>
      <c r="D17" s="667"/>
      <c r="E17" s="667"/>
      <c r="F17" s="667"/>
      <c r="G17" s="667"/>
      <c r="H17" s="667"/>
      <c r="I17" s="667"/>
      <c r="J17" s="667"/>
      <c r="K17" s="667"/>
      <c r="L17" s="667"/>
      <c r="M17" s="667"/>
      <c r="N17" s="667"/>
      <c r="O17" s="667"/>
      <c r="P17" s="667"/>
      <c r="Q17" s="667"/>
      <c r="R17" s="667"/>
      <c r="S17" s="667"/>
      <c r="T17" s="667"/>
      <c r="U17" s="667"/>
      <c r="V17" s="667"/>
      <c r="W17" s="667"/>
      <c r="X17" s="667"/>
    </row>
    <row r="18" spans="1:24" x14ac:dyDescent="0.2">
      <c r="W18" s="667"/>
      <c r="X18" s="667"/>
    </row>
    <row r="19" spans="1:24" hidden="1" x14ac:dyDescent="0.2">
      <c r="B19" s="665">
        <v>2</v>
      </c>
      <c r="C19" s="665">
        <v>3</v>
      </c>
      <c r="D19" s="665">
        <v>4</v>
      </c>
      <c r="F19" s="665">
        <v>5</v>
      </c>
      <c r="G19" s="665">
        <v>6</v>
      </c>
      <c r="H19" s="665">
        <v>7</v>
      </c>
      <c r="I19" s="665">
        <v>8</v>
      </c>
      <c r="J19" s="665">
        <v>9</v>
      </c>
      <c r="K19" s="665">
        <v>10</v>
      </c>
      <c r="L19" s="665">
        <v>11</v>
      </c>
      <c r="M19" s="665">
        <v>12</v>
      </c>
      <c r="N19" s="665">
        <v>13</v>
      </c>
      <c r="O19" s="665">
        <v>14</v>
      </c>
      <c r="P19" s="665">
        <v>15</v>
      </c>
      <c r="Q19" s="665">
        <v>16</v>
      </c>
      <c r="R19" s="665">
        <v>17</v>
      </c>
      <c r="S19" s="665">
        <v>18</v>
      </c>
      <c r="T19" s="665">
        <v>19</v>
      </c>
      <c r="U19" s="665">
        <v>20</v>
      </c>
      <c r="V19" s="665">
        <v>21</v>
      </c>
      <c r="W19" s="667"/>
      <c r="X19" s="667"/>
    </row>
    <row r="20" spans="1:24" ht="15" x14ac:dyDescent="0.25">
      <c r="F20" s="52"/>
      <c r="G20" s="52"/>
      <c r="J20" s="462" t="s">
        <v>762</v>
      </c>
      <c r="K20" s="462"/>
      <c r="L20" s="462"/>
      <c r="M20" s="462"/>
      <c r="O20" s="462" t="s">
        <v>763</v>
      </c>
      <c r="P20" s="462"/>
      <c r="Q20" s="462"/>
      <c r="R20" s="462"/>
      <c r="T20" s="462" t="s">
        <v>1189</v>
      </c>
      <c r="U20" s="462"/>
      <c r="V20" s="462"/>
      <c r="W20" s="667"/>
      <c r="X20" s="667"/>
    </row>
    <row r="21" spans="1:24" ht="105" x14ac:dyDescent="0.25">
      <c r="A21" s="463" t="s">
        <v>765</v>
      </c>
      <c r="B21" s="463" t="s">
        <v>766</v>
      </c>
      <c r="C21" s="463" t="s">
        <v>1112</v>
      </c>
      <c r="D21" s="463" t="s">
        <v>1113</v>
      </c>
      <c r="E21" s="463" t="s">
        <v>1134</v>
      </c>
      <c r="F21" s="463" t="s">
        <v>1135</v>
      </c>
      <c r="G21" s="463" t="s">
        <v>1513</v>
      </c>
      <c r="H21" s="463" t="s">
        <v>1514</v>
      </c>
      <c r="I21" s="463"/>
      <c r="J21" s="463" t="s">
        <v>768</v>
      </c>
      <c r="K21" s="463" t="s">
        <v>769</v>
      </c>
      <c r="L21" s="463" t="s">
        <v>770</v>
      </c>
      <c r="M21" s="463" t="s">
        <v>771</v>
      </c>
      <c r="N21" s="463"/>
      <c r="O21" s="463" t="s">
        <v>768</v>
      </c>
      <c r="P21" s="463" t="s">
        <v>769</v>
      </c>
      <c r="Q21" s="463" t="s">
        <v>770</v>
      </c>
      <c r="R21" s="463" t="s">
        <v>771</v>
      </c>
      <c r="S21" s="463"/>
      <c r="T21" s="463" t="s">
        <v>1526</v>
      </c>
      <c r="U21" s="463" t="s">
        <v>773</v>
      </c>
      <c r="V21" s="463" t="s">
        <v>1567</v>
      </c>
      <c r="W21" s="667"/>
      <c r="X21" s="667"/>
    </row>
    <row r="22" spans="1:24" ht="15" x14ac:dyDescent="0.25">
      <c r="A22" s="463"/>
      <c r="B22" s="463"/>
      <c r="C22" s="463"/>
      <c r="D22" s="463"/>
      <c r="E22" s="463"/>
      <c r="F22" s="463"/>
      <c r="G22" s="463"/>
      <c r="H22" s="463"/>
      <c r="I22" s="463"/>
      <c r="J22" s="463"/>
      <c r="K22" s="463"/>
      <c r="L22" s="463"/>
      <c r="M22" s="463"/>
      <c r="N22" s="463"/>
      <c r="O22" s="463"/>
      <c r="P22" s="463"/>
      <c r="Q22" s="463"/>
      <c r="R22" s="463"/>
      <c r="S22" s="463"/>
      <c r="T22" s="463"/>
      <c r="U22" s="463"/>
      <c r="V22" s="463"/>
      <c r="W22" s="667"/>
      <c r="X22" s="667"/>
    </row>
    <row r="23" spans="1:24" ht="15" x14ac:dyDescent="0.25">
      <c r="A23" s="463" t="s">
        <v>1137</v>
      </c>
      <c r="B23" s="463"/>
      <c r="C23" s="463"/>
      <c r="D23" s="463"/>
      <c r="E23" s="463"/>
      <c r="F23" s="463"/>
      <c r="G23" s="463"/>
      <c r="H23" s="463"/>
      <c r="I23" s="463"/>
      <c r="J23" s="463"/>
      <c r="K23" s="463"/>
      <c r="L23" s="463"/>
      <c r="M23" s="463"/>
      <c r="N23" s="463"/>
      <c r="O23" s="463"/>
      <c r="P23" s="463"/>
      <c r="Q23" s="463"/>
      <c r="R23" s="463"/>
      <c r="S23" s="463"/>
      <c r="T23" s="463"/>
      <c r="U23" s="463"/>
      <c r="V23" s="463"/>
      <c r="W23" s="667"/>
      <c r="X23" s="667"/>
    </row>
    <row r="24" spans="1:24" x14ac:dyDescent="0.2">
      <c r="A24" s="23" t="str">
        <f>C15</f>
        <v>N/A</v>
      </c>
      <c r="B24" s="665" t="str">
        <f>C14</f>
        <v>NO AGENCY CHOSEN</v>
      </c>
      <c r="C24" s="557">
        <f>VLOOKUP($A$24,'La. 2018 DIPNC Summary'!$A:$V,4,FALSE)</f>
        <v>0</v>
      </c>
      <c r="D24" s="557">
        <f>VLOOKUP($A$24,'La. 2018 DIPNC Summary'!$A:$V,3,FALSE)</f>
        <v>0</v>
      </c>
      <c r="E24" s="557">
        <f>C24-D24</f>
        <v>0</v>
      </c>
      <c r="F24" s="662">
        <f>VLOOKUP($A$24,'La. 2018 DIPNC Summary'!$A:$V,5,FALSE)</f>
        <v>0</v>
      </c>
      <c r="G24" s="662">
        <f>VLOOKUP($A$24,'La. 2018 DIPNC Summary'!$A:$V,6,FALSE)</f>
        <v>0</v>
      </c>
      <c r="H24" s="662">
        <f>VLOOKUP($A$24,'La. 2018 DIPNC Summary'!$A:$V,7,FALSE)</f>
        <v>0</v>
      </c>
      <c r="I24" s="662"/>
      <c r="J24" s="742">
        <f>VLOOKUP($A$24,'La. 2018 DIPNC Summary'!$A:$V,9,FALSE)</f>
        <v>0</v>
      </c>
      <c r="K24" s="742">
        <f>VLOOKUP($A$24,'La. 2018 DIPNC Summary'!$A:$V,10,FALSE)</f>
        <v>0</v>
      </c>
      <c r="L24" s="742">
        <f>VLOOKUP($A$24,'La. 2018 DIPNC Summary'!$A:$V,11,FALSE)</f>
        <v>0</v>
      </c>
      <c r="M24" s="742">
        <f>VLOOKUP($A$24,'La. 2018 DIPNC Summary'!$A:$V,12,FALSE)</f>
        <v>0</v>
      </c>
      <c r="N24" s="662"/>
      <c r="O24" s="662">
        <f>VLOOKUP($A$24,'La. 2018 DIPNC Summary'!$A:$V,14,FALSE)</f>
        <v>0</v>
      </c>
      <c r="P24" s="662">
        <f>VLOOKUP($A$24,'La. 2018 DIPNC Summary'!$A:$V,15,FALSE)</f>
        <v>0</v>
      </c>
      <c r="Q24" s="662">
        <f>VLOOKUP($A$24,'La. 2018 DIPNC Summary'!$A:$V,16,FALSE)</f>
        <v>0</v>
      </c>
      <c r="R24" s="662">
        <f>VLOOKUP($A$24,'La. 2018 DIPNC Summary'!$A:$V,17,FALSE)</f>
        <v>0</v>
      </c>
      <c r="S24" s="662"/>
      <c r="T24" s="662">
        <f>VLOOKUP($A$24,'La. 2018 DIPNC Summary'!$A:$V,19,FALSE)</f>
        <v>0</v>
      </c>
      <c r="U24" s="662">
        <f>VLOOKUP($A$24,'La. 2018 DIPNC Summary'!$A:$V,20,FALSE)</f>
        <v>0</v>
      </c>
      <c r="V24" s="662">
        <f>VLOOKUP($A$24,'La. 2018 DIPNC Summary'!$A:$V,21,FALSE)</f>
        <v>0</v>
      </c>
      <c r="W24" s="667"/>
      <c r="X24" s="667"/>
    </row>
    <row r="25" spans="1:24" x14ac:dyDescent="0.2">
      <c r="W25" s="667"/>
      <c r="X25" s="667"/>
    </row>
    <row r="26" spans="1:24" s="714" customFormat="1" x14ac:dyDescent="0.2">
      <c r="A26" s="716"/>
      <c r="B26" s="717" t="s">
        <v>1510</v>
      </c>
      <c r="F26" s="541">
        <f>'La. 2018 DIPNC Summary'!E300</f>
        <v>61654000</v>
      </c>
      <c r="G26" s="541">
        <f>'La. 2018 DIPNC Summary'!F300</f>
        <v>-62099998</v>
      </c>
      <c r="H26" s="541">
        <f>'La. 2018 DIPNC Summary'!G300</f>
        <v>-61120000</v>
      </c>
      <c r="I26" s="541"/>
      <c r="J26" s="541">
        <f>'La. 2018 DIPNC Summary'!I300</f>
        <v>16758000</v>
      </c>
      <c r="K26" s="541">
        <f>'La. 2018 DIPNC Summary'!J300</f>
        <v>13397000</v>
      </c>
      <c r="L26" s="541">
        <f>'La. 2018 DIPNC Summary'!K300</f>
        <v>0</v>
      </c>
      <c r="M26" s="541">
        <f>'La. 2018 DIPNC Summary'!L300</f>
        <v>1710444</v>
      </c>
      <c r="N26" s="541"/>
      <c r="O26" s="541">
        <f>'La. 2018 DIPNC Summary'!N300</f>
        <v>0</v>
      </c>
      <c r="P26" s="541">
        <f>'La. 2018 DIPNC Summary'!O300</f>
        <v>0</v>
      </c>
      <c r="Q26" s="541">
        <f>'La. 2018 DIPNC Summary'!P300</f>
        <v>0</v>
      </c>
      <c r="R26" s="541">
        <f>'La. 2018 DIPNC Summary'!Q300</f>
        <v>1710078</v>
      </c>
      <c r="S26" s="541"/>
      <c r="T26" s="541">
        <f>'La. 2018 DIPNC Summary'!S300</f>
        <v>32473000</v>
      </c>
      <c r="U26" s="541">
        <f>'La. 2018 DIPNC Summary'!T300</f>
        <v>122</v>
      </c>
      <c r="V26" s="541">
        <f>'La. 2018 DIPNC Summary'!U300</f>
        <v>32473122</v>
      </c>
      <c r="W26" s="715"/>
      <c r="X26" s="715"/>
    </row>
    <row r="27" spans="1:24" x14ac:dyDescent="0.2">
      <c r="A27" s="23"/>
      <c r="F27" s="551"/>
      <c r="G27" s="551"/>
      <c r="H27" s="551"/>
      <c r="J27" s="551"/>
      <c r="K27" s="551"/>
      <c r="L27" s="551"/>
      <c r="M27" s="551"/>
      <c r="O27" s="551"/>
      <c r="P27" s="551"/>
      <c r="Q27" s="551"/>
      <c r="R27" s="551"/>
      <c r="T27" s="551"/>
      <c r="U27" s="551"/>
      <c r="V27" s="551"/>
      <c r="W27" s="667"/>
      <c r="X27" s="667"/>
    </row>
    <row r="28" spans="1:24" ht="15" hidden="1" x14ac:dyDescent="0.25">
      <c r="A28" s="554" t="s">
        <v>1139</v>
      </c>
      <c r="F28" s="551"/>
      <c r="G28" s="551"/>
      <c r="H28" s="551"/>
      <c r="J28" s="551"/>
      <c r="K28" s="551"/>
      <c r="L28" s="551"/>
      <c r="M28" s="551"/>
      <c r="O28" s="551"/>
      <c r="P28" s="551"/>
      <c r="Q28" s="551"/>
      <c r="R28" s="551"/>
      <c r="T28" s="551"/>
      <c r="U28" s="551"/>
      <c r="V28" s="551"/>
      <c r="W28" s="667"/>
      <c r="X28" s="667"/>
    </row>
    <row r="29" spans="1:24" hidden="1" x14ac:dyDescent="0.2">
      <c r="A29" s="23" t="str">
        <f>C15</f>
        <v>N/A</v>
      </c>
      <c r="B29" s="665" t="str">
        <f>C14</f>
        <v>NO AGENCY CHOSEN</v>
      </c>
      <c r="C29" s="557" t="e">
        <f>VLOOKUP($A$29,'Jb. TSERS Data PY'!$A:$U,'L. GASB 75 DIPNC'!C19,FALSE)</f>
        <v>#N/A</v>
      </c>
      <c r="D29" s="557" t="e">
        <f>VLOOKUP($A$29,'Jb. TSERS Data PY'!$A:$U,'L. GASB 75 DIPNC'!D19,FALSE)</f>
        <v>#N/A</v>
      </c>
      <c r="E29" s="553" t="e">
        <f>C29-D29</f>
        <v>#N/A</v>
      </c>
      <c r="F29" s="36" t="e">
        <f>VLOOKUP($A29,'Jb. TSERS Data PY'!$A:$U,F19,FALSE)</f>
        <v>#N/A</v>
      </c>
      <c r="G29" s="36" t="e">
        <f>VLOOKUP($A29,'Jb. TSERS Data PY'!$A:$U,G19,FALSE)</f>
        <v>#N/A</v>
      </c>
      <c r="H29" s="36" t="e">
        <f>VLOOKUP($A29,'Jb. TSERS Data PY'!$A:$U,H19,FALSE)</f>
        <v>#N/A</v>
      </c>
      <c r="I29" s="36"/>
      <c r="J29" s="36" t="e">
        <f>VLOOKUP($A29,'Jb. TSERS Data PY'!$A:$U,J19,FALSE)</f>
        <v>#N/A</v>
      </c>
      <c r="K29" s="36" t="e">
        <f>VLOOKUP($A29,'Jb. TSERS Data PY'!$A:$U,K19,FALSE)</f>
        <v>#N/A</v>
      </c>
      <c r="L29" s="36" t="e">
        <f>VLOOKUP($A29,'Jb. TSERS Data PY'!$A:$U,L19,FALSE)</f>
        <v>#N/A</v>
      </c>
      <c r="M29" s="36" t="e">
        <f>VLOOKUP($A29,'Jb. TSERS Data PY'!$A:$U,M19,FALSE)</f>
        <v>#N/A</v>
      </c>
      <c r="N29" s="36"/>
      <c r="O29" s="36" t="e">
        <f>VLOOKUP($A29,'Jb. TSERS Data PY'!$A:$U,O19,FALSE)</f>
        <v>#N/A</v>
      </c>
      <c r="P29" s="36" t="e">
        <f>VLOOKUP($A29,'Jb. TSERS Data PY'!$A:$U,P19,FALSE)</f>
        <v>#N/A</v>
      </c>
      <c r="Q29" s="36" t="e">
        <f>VLOOKUP($A29,'Jb. TSERS Data PY'!$A:$U,Q19,FALSE)</f>
        <v>#N/A</v>
      </c>
      <c r="R29" s="36" t="e">
        <f>VLOOKUP($A29,'Jb. TSERS Data PY'!$A:$U,R19,FALSE)</f>
        <v>#N/A</v>
      </c>
      <c r="S29" s="36"/>
      <c r="T29" s="36" t="e">
        <f>VLOOKUP($A29,'Jb. TSERS Data PY'!$A:$U,T19,FALSE)</f>
        <v>#N/A</v>
      </c>
      <c r="U29" s="36" t="e">
        <f>VLOOKUP($A29,'Jb. TSERS Data PY'!$A:$U,U19,FALSE)</f>
        <v>#N/A</v>
      </c>
      <c r="V29" s="36" t="e">
        <f>VLOOKUP($A29,'Jb. TSERS Data PY'!$A:$U,V19,FALSE)</f>
        <v>#N/A</v>
      </c>
      <c r="W29" s="667"/>
      <c r="X29" s="667"/>
    </row>
    <row r="30" spans="1:24" hidden="1" x14ac:dyDescent="0.2">
      <c r="A30" s="23"/>
      <c r="F30" s="551"/>
      <c r="G30" s="551"/>
      <c r="H30" s="551"/>
      <c r="J30" s="551"/>
      <c r="K30" s="551"/>
      <c r="L30" s="551"/>
      <c r="M30" s="551"/>
      <c r="O30" s="551"/>
      <c r="P30" s="551"/>
      <c r="Q30" s="551"/>
      <c r="R30" s="551"/>
      <c r="T30" s="551"/>
      <c r="U30" s="551"/>
      <c r="V30" s="551"/>
      <c r="W30" s="667"/>
      <c r="X30" s="667"/>
    </row>
    <row r="31" spans="1:24" hidden="1" x14ac:dyDescent="0.2">
      <c r="A31" s="23"/>
      <c r="B31" s="665" t="s">
        <v>1138</v>
      </c>
      <c r="F31" s="551">
        <f>'Jb. TSERS Data PY'!E298</f>
        <v>1262508386</v>
      </c>
      <c r="G31" s="551">
        <f>'Jb. TSERS Data PY'!F298</f>
        <v>1172421109</v>
      </c>
      <c r="H31" s="551">
        <f>'Jb. TSERS Data PY'!G298</f>
        <v>3685197999</v>
      </c>
      <c r="I31" s="551"/>
      <c r="J31" s="551">
        <f>'Jb. TSERS Data PY'!I298</f>
        <v>0</v>
      </c>
      <c r="K31" s="551">
        <f>'Jb. TSERS Data PY'!J298</f>
        <v>2571626007</v>
      </c>
      <c r="L31" s="551">
        <f>'Jb. TSERS Data PY'!K298</f>
        <v>0</v>
      </c>
      <c r="M31" s="551">
        <f>'Jb. TSERS Data PY'!L298</f>
        <v>90295984</v>
      </c>
      <c r="N31" s="551"/>
      <c r="O31" s="551">
        <f>'Jb. TSERS Data PY'!N298</f>
        <v>419007001</v>
      </c>
      <c r="P31" s="551">
        <f>'Jb. TSERS Data PY'!O298</f>
        <v>2970886000</v>
      </c>
      <c r="Q31" s="551">
        <f>'Jb. TSERS Data PY'!P298</f>
        <v>0</v>
      </c>
      <c r="R31" s="551">
        <f>'Jb. TSERS Data PY'!Q298</f>
        <v>90295817</v>
      </c>
      <c r="S31" s="551"/>
      <c r="T31" s="551">
        <f>'Jb. TSERS Data PY'!S298</f>
        <v>359085000</v>
      </c>
      <c r="U31" s="551">
        <f>'Jb. TSERS Data PY'!T298</f>
        <v>69</v>
      </c>
      <c r="V31" s="551">
        <f>'Jb. TSERS Data PY'!U298</f>
        <v>359085071</v>
      </c>
      <c r="W31" s="667"/>
      <c r="X31" s="667"/>
    </row>
    <row r="32" spans="1:24" hidden="1" x14ac:dyDescent="0.2">
      <c r="A32" s="23"/>
      <c r="F32" s="551"/>
      <c r="G32" s="551"/>
      <c r="H32" s="551"/>
      <c r="J32" s="551"/>
      <c r="K32" s="551"/>
      <c r="L32" s="551"/>
      <c r="M32" s="551"/>
      <c r="O32" s="551"/>
      <c r="P32" s="551"/>
      <c r="Q32" s="551"/>
      <c r="R32" s="551"/>
      <c r="T32" s="551"/>
      <c r="U32" s="551"/>
      <c r="V32" s="551"/>
      <c r="W32" s="667"/>
      <c r="X32" s="667"/>
    </row>
    <row r="33" spans="1:24" ht="25.5" hidden="1" x14ac:dyDescent="0.2">
      <c r="A33" s="23"/>
      <c r="F33" s="551"/>
      <c r="G33" s="551"/>
      <c r="H33" s="551"/>
      <c r="J33" s="82" t="s">
        <v>1155</v>
      </c>
      <c r="K33" s="8" t="e">
        <f>K29-P29</f>
        <v>#N/A</v>
      </c>
      <c r="L33" s="551"/>
      <c r="M33" s="551"/>
      <c r="O33" s="551"/>
      <c r="P33" s="551"/>
      <c r="Q33" s="551"/>
      <c r="R33" s="551"/>
      <c r="T33" s="551"/>
      <c r="U33" s="551"/>
      <c r="V33" s="551"/>
      <c r="W33" s="667"/>
      <c r="X33" s="667"/>
    </row>
    <row r="34" spans="1:24" ht="15" hidden="1" x14ac:dyDescent="0.25">
      <c r="A34" s="552"/>
      <c r="B34" s="598"/>
      <c r="C34" s="667"/>
      <c r="D34" s="667"/>
      <c r="E34" s="667"/>
      <c r="F34" s="594"/>
      <c r="G34" s="594"/>
      <c r="H34" s="594"/>
      <c r="I34" s="667"/>
      <c r="J34" s="594"/>
      <c r="K34" s="594"/>
      <c r="L34" s="594"/>
      <c r="M34" s="594"/>
      <c r="N34" s="667"/>
      <c r="O34" s="594"/>
      <c r="P34" s="551"/>
      <c r="Q34" s="551"/>
      <c r="R34" s="551"/>
      <c r="T34" s="551"/>
      <c r="U34" s="551"/>
      <c r="V34" s="551"/>
      <c r="W34" s="667"/>
      <c r="X34" s="667"/>
    </row>
    <row r="35" spans="1:24" hidden="1" x14ac:dyDescent="0.2">
      <c r="A35" s="552"/>
      <c r="B35" s="667" t="s">
        <v>1515</v>
      </c>
      <c r="C35" s="667"/>
      <c r="D35" s="8">
        <f>IF(G24-F24&gt;0,G24-F24,0)</f>
        <v>0</v>
      </c>
      <c r="E35" s="599">
        <f>IF(G24-F24&lt;0,-(G24-F24),0)</f>
        <v>0</v>
      </c>
      <c r="F35" s="594"/>
      <c r="G35" s="594"/>
      <c r="H35" s="594"/>
      <c r="I35" s="667"/>
      <c r="J35" s="594"/>
      <c r="K35" s="594"/>
      <c r="L35" s="594"/>
      <c r="M35" s="594"/>
      <c r="N35" s="667"/>
      <c r="O35" s="594"/>
      <c r="P35" s="551"/>
      <c r="Q35" s="551"/>
      <c r="R35" s="551"/>
      <c r="T35" s="551"/>
      <c r="U35" s="551"/>
      <c r="V35" s="551"/>
      <c r="W35" s="667"/>
      <c r="X35" s="667"/>
    </row>
    <row r="36" spans="1:24" ht="15" hidden="1" x14ac:dyDescent="0.25">
      <c r="A36" s="552"/>
      <c r="B36" s="667" t="s">
        <v>1177</v>
      </c>
      <c r="C36" s="667"/>
      <c r="D36" s="8">
        <f>IF(H24&lt;0,-H24,0)</f>
        <v>0</v>
      </c>
      <c r="E36" s="599">
        <f>IF(H24&lt;0,0,H24)</f>
        <v>0</v>
      </c>
      <c r="F36" s="463"/>
      <c r="G36" s="594"/>
      <c r="H36" s="667"/>
      <c r="I36" s="594"/>
      <c r="J36" s="594"/>
      <c r="K36" s="594"/>
      <c r="L36" s="594"/>
      <c r="M36" s="667"/>
      <c r="N36" s="594"/>
      <c r="O36" s="667"/>
      <c r="P36" s="551"/>
      <c r="Q36" s="551"/>
      <c r="R36" s="551"/>
      <c r="T36" s="551"/>
      <c r="U36" s="551"/>
      <c r="V36" s="551"/>
      <c r="W36" s="667"/>
      <c r="X36" s="667"/>
    </row>
    <row r="37" spans="1:24" hidden="1" x14ac:dyDescent="0.2">
      <c r="A37" s="552"/>
      <c r="B37" s="667" t="s">
        <v>1568</v>
      </c>
      <c r="C37" s="667"/>
      <c r="D37" s="8">
        <f>V24</f>
        <v>0</v>
      </c>
      <c r="E37" s="599"/>
      <c r="F37" s="594"/>
      <c r="G37" s="594"/>
      <c r="H37" s="667"/>
      <c r="I37" s="594"/>
      <c r="J37" s="594"/>
      <c r="K37" s="594"/>
      <c r="L37" s="594"/>
      <c r="M37" s="667"/>
      <c r="N37" s="594"/>
      <c r="O37" s="667"/>
      <c r="P37" s="551"/>
      <c r="Q37" s="551"/>
      <c r="R37" s="551"/>
      <c r="T37" s="551"/>
      <c r="U37" s="551"/>
      <c r="V37" s="551"/>
      <c r="W37" s="667"/>
      <c r="X37" s="667"/>
    </row>
    <row r="38" spans="1:24" hidden="1" x14ac:dyDescent="0.2">
      <c r="A38" s="552"/>
      <c r="B38" s="667" t="s">
        <v>1157</v>
      </c>
      <c r="C38" s="667"/>
      <c r="D38" s="8"/>
      <c r="E38" s="599">
        <v>0</v>
      </c>
      <c r="F38" s="594"/>
      <c r="G38" s="594"/>
      <c r="H38" s="667"/>
      <c r="I38" s="594"/>
      <c r="J38" s="594"/>
      <c r="K38" s="594"/>
      <c r="L38" s="594"/>
      <c r="M38" s="667"/>
      <c r="N38" s="594"/>
      <c r="O38" s="667"/>
      <c r="P38" s="551"/>
      <c r="Q38" s="551"/>
      <c r="R38" s="551"/>
      <c r="T38" s="551"/>
      <c r="U38" s="551"/>
      <c r="V38" s="551"/>
      <c r="W38" s="667"/>
      <c r="X38" s="667"/>
    </row>
    <row r="39" spans="1:24" hidden="1" x14ac:dyDescent="0.2">
      <c r="A39" s="552"/>
      <c r="B39" s="667" t="s">
        <v>1158</v>
      </c>
      <c r="C39" s="667"/>
      <c r="D39" s="8"/>
      <c r="E39" s="599">
        <v>0</v>
      </c>
      <c r="F39" s="594"/>
      <c r="G39" s="594"/>
      <c r="H39" s="667"/>
      <c r="I39" s="594"/>
      <c r="J39" s="594"/>
      <c r="K39" s="594"/>
      <c r="L39" s="594"/>
      <c r="M39" s="667"/>
      <c r="N39" s="594"/>
      <c r="O39" s="667"/>
      <c r="P39" s="551"/>
      <c r="Q39" s="551"/>
      <c r="R39" s="551"/>
      <c r="T39" s="551"/>
      <c r="U39" s="551"/>
      <c r="V39" s="551"/>
      <c r="W39" s="667"/>
      <c r="X39" s="667"/>
    </row>
    <row r="40" spans="1:24" hidden="1" x14ac:dyDescent="0.2">
      <c r="A40" s="552"/>
      <c r="B40" s="667" t="s">
        <v>1159</v>
      </c>
      <c r="C40" s="667"/>
      <c r="D40" s="8"/>
      <c r="E40" s="599">
        <v>0</v>
      </c>
      <c r="F40" s="101"/>
      <c r="G40" s="101"/>
      <c r="H40" s="101"/>
      <c r="I40" s="101"/>
      <c r="J40" s="101"/>
      <c r="K40" s="101"/>
      <c r="L40" s="101"/>
      <c r="M40" s="101"/>
      <c r="N40" s="101"/>
      <c r="O40" s="667"/>
      <c r="P40" s="551"/>
      <c r="Q40" s="551"/>
      <c r="R40" s="551"/>
      <c r="T40" s="551"/>
      <c r="U40" s="551"/>
      <c r="V40" s="551"/>
      <c r="W40" s="667"/>
      <c r="X40" s="667"/>
    </row>
    <row r="41" spans="1:24" hidden="1" x14ac:dyDescent="0.2">
      <c r="A41" s="552"/>
      <c r="B41" s="82" t="s">
        <v>1160</v>
      </c>
      <c r="C41" s="667"/>
      <c r="D41" s="8"/>
      <c r="E41" s="599">
        <v>0</v>
      </c>
      <c r="F41" s="101"/>
      <c r="G41" s="101"/>
      <c r="H41" s="101"/>
      <c r="I41" s="101"/>
      <c r="J41" s="101"/>
      <c r="K41" s="101"/>
      <c r="L41" s="101"/>
      <c r="M41" s="101"/>
      <c r="N41" s="101"/>
      <c r="O41" s="667"/>
      <c r="P41" s="551"/>
      <c r="Q41" s="551"/>
      <c r="R41" s="551"/>
      <c r="T41" s="551"/>
      <c r="U41" s="551"/>
      <c r="V41" s="551"/>
      <c r="W41" s="667"/>
      <c r="X41" s="667"/>
    </row>
    <row r="42" spans="1:24" hidden="1" x14ac:dyDescent="0.2">
      <c r="A42" s="552"/>
      <c r="B42" s="82" t="s">
        <v>1161</v>
      </c>
      <c r="C42" s="667"/>
      <c r="D42" s="8">
        <v>0</v>
      </c>
      <c r="E42" s="364"/>
      <c r="F42" s="668"/>
      <c r="G42" s="668"/>
      <c r="H42" s="668"/>
      <c r="I42" s="667"/>
      <c r="J42" s="555"/>
      <c r="K42" s="667"/>
      <c r="L42" s="667"/>
      <c r="M42" s="667"/>
      <c r="N42" s="667"/>
      <c r="O42" s="667"/>
      <c r="P42" s="551"/>
      <c r="Q42" s="551"/>
      <c r="R42" s="551"/>
      <c r="T42" s="551"/>
      <c r="U42" s="551"/>
      <c r="V42" s="551"/>
      <c r="W42" s="667"/>
      <c r="X42" s="667"/>
    </row>
    <row r="43" spans="1:24" hidden="1" x14ac:dyDescent="0.2">
      <c r="A43" s="552"/>
      <c r="B43" s="667" t="s">
        <v>1162</v>
      </c>
      <c r="C43" s="667"/>
      <c r="D43" s="8">
        <v>0</v>
      </c>
      <c r="E43" s="599"/>
      <c r="F43" s="668"/>
      <c r="G43" s="668"/>
      <c r="H43" s="668"/>
      <c r="I43" s="667"/>
      <c r="J43" s="555"/>
      <c r="K43" s="667"/>
      <c r="L43" s="667"/>
      <c r="M43" s="667"/>
      <c r="N43" s="667"/>
      <c r="O43" s="667"/>
      <c r="P43" s="551"/>
      <c r="Q43" s="551"/>
      <c r="R43" s="551"/>
      <c r="T43" s="551"/>
      <c r="U43" s="551"/>
      <c r="V43" s="551"/>
      <c r="W43" s="667"/>
      <c r="X43" s="667"/>
    </row>
    <row r="44" spans="1:24" ht="15" hidden="1" x14ac:dyDescent="0.25">
      <c r="A44" s="552"/>
      <c r="B44" s="602" t="s">
        <v>1163</v>
      </c>
      <c r="C44" s="600"/>
      <c r="D44" s="603">
        <v>0</v>
      </c>
      <c r="E44" s="603"/>
      <c r="F44" s="601"/>
      <c r="G44" s="601"/>
      <c r="H44" s="601"/>
      <c r="I44" s="601"/>
      <c r="J44" s="601"/>
      <c r="K44" s="601"/>
      <c r="L44" s="601"/>
      <c r="M44" s="601"/>
      <c r="N44" s="601"/>
      <c r="O44" s="667"/>
      <c r="P44" s="551"/>
      <c r="Q44" s="551"/>
      <c r="R44" s="551"/>
      <c r="T44" s="551"/>
      <c r="U44" s="551"/>
      <c r="V44" s="551"/>
      <c r="W44" s="667"/>
      <c r="X44" s="667"/>
    </row>
    <row r="45" spans="1:24" hidden="1" x14ac:dyDescent="0.2">
      <c r="A45" s="552"/>
      <c r="B45" s="602" t="s">
        <v>1164</v>
      </c>
      <c r="C45" s="600"/>
      <c r="D45" s="603">
        <v>0</v>
      </c>
      <c r="E45" s="603"/>
      <c r="F45" s="595"/>
      <c r="G45" s="595"/>
      <c r="H45" s="595"/>
      <c r="I45" s="667"/>
      <c r="J45" s="667"/>
      <c r="K45" s="667"/>
      <c r="L45" s="667"/>
      <c r="M45" s="667"/>
      <c r="N45" s="667"/>
      <c r="O45" s="667"/>
      <c r="P45" s="551"/>
      <c r="Q45" s="551"/>
      <c r="R45" s="551"/>
      <c r="T45" s="551"/>
      <c r="U45" s="551"/>
      <c r="V45" s="551"/>
      <c r="W45" s="667"/>
      <c r="X45" s="667"/>
    </row>
    <row r="46" spans="1:24" hidden="1" x14ac:dyDescent="0.2">
      <c r="A46" s="552"/>
      <c r="B46" s="667" t="s">
        <v>1165</v>
      </c>
      <c r="C46" s="600"/>
      <c r="D46" s="603">
        <f>J24</f>
        <v>0</v>
      </c>
      <c r="E46" s="603"/>
      <c r="F46" s="667"/>
      <c r="G46" s="667"/>
      <c r="H46" s="667"/>
      <c r="I46" s="667"/>
      <c r="J46" s="667"/>
      <c r="K46" s="667"/>
      <c r="L46" s="667"/>
      <c r="M46" s="667"/>
      <c r="N46" s="667"/>
      <c r="O46" s="667"/>
      <c r="P46" s="551"/>
      <c r="Q46" s="551"/>
      <c r="R46" s="551"/>
      <c r="T46" s="551"/>
      <c r="U46" s="551"/>
      <c r="V46" s="551"/>
      <c r="W46" s="667"/>
      <c r="X46" s="667"/>
    </row>
    <row r="47" spans="1:24" hidden="1" x14ac:dyDescent="0.2">
      <c r="A47" s="552"/>
      <c r="B47" s="667" t="s">
        <v>1166</v>
      </c>
      <c r="C47" s="600"/>
      <c r="D47" s="603">
        <f>IF(K24&gt;P24,K24-P24,0)</f>
        <v>0</v>
      </c>
      <c r="E47" s="603"/>
      <c r="F47" s="596"/>
      <c r="G47" s="596"/>
      <c r="H47" s="596"/>
      <c r="I47" s="667"/>
      <c r="J47" s="667"/>
      <c r="K47" s="667"/>
      <c r="L47" s="667"/>
      <c r="M47" s="667"/>
      <c r="N47" s="667"/>
      <c r="O47" s="667"/>
      <c r="P47" s="551"/>
      <c r="Q47" s="551"/>
      <c r="R47" s="551"/>
      <c r="T47" s="551"/>
      <c r="U47" s="551"/>
      <c r="V47" s="551"/>
      <c r="W47" s="667"/>
      <c r="X47" s="667"/>
    </row>
    <row r="48" spans="1:24" hidden="1" x14ac:dyDescent="0.2">
      <c r="A48" s="552"/>
      <c r="B48" s="667" t="s">
        <v>1167</v>
      </c>
      <c r="C48" s="600"/>
      <c r="D48" s="603">
        <f>L24</f>
        <v>0</v>
      </c>
      <c r="E48" s="364"/>
      <c r="F48" s="667"/>
      <c r="G48" s="667"/>
      <c r="H48" s="667"/>
      <c r="I48" s="667"/>
      <c r="J48" s="667"/>
      <c r="K48" s="667"/>
      <c r="L48" s="667"/>
      <c r="M48" s="667"/>
      <c r="N48" s="667"/>
      <c r="O48" s="667"/>
      <c r="P48" s="551"/>
      <c r="Q48" s="551"/>
      <c r="R48" s="551"/>
      <c r="T48" s="551"/>
      <c r="U48" s="551"/>
      <c r="V48" s="551"/>
      <c r="W48" s="667"/>
      <c r="X48" s="667"/>
    </row>
    <row r="49" spans="1:24" ht="15" hidden="1" x14ac:dyDescent="0.25">
      <c r="A49" s="552"/>
      <c r="B49" s="82" t="s">
        <v>1168</v>
      </c>
      <c r="C49" s="600"/>
      <c r="D49" s="603">
        <f>M24</f>
        <v>0</v>
      </c>
      <c r="E49" s="364"/>
      <c r="F49" s="597"/>
      <c r="G49" s="597"/>
      <c r="H49" s="597"/>
      <c r="I49" s="598"/>
      <c r="J49" s="598"/>
      <c r="K49" s="598"/>
      <c r="L49" s="598"/>
      <c r="M49" s="598"/>
      <c r="N49" s="598"/>
      <c r="O49" s="667"/>
      <c r="P49" s="551"/>
      <c r="Q49" s="551"/>
      <c r="R49" s="551"/>
      <c r="T49" s="551"/>
      <c r="U49" s="551"/>
      <c r="V49" s="551"/>
      <c r="W49" s="667"/>
      <c r="X49" s="667"/>
    </row>
    <row r="50" spans="1:24" hidden="1" x14ac:dyDescent="0.2">
      <c r="A50" s="552"/>
      <c r="B50" s="82" t="s">
        <v>1169</v>
      </c>
      <c r="C50" s="600"/>
      <c r="D50" s="603"/>
      <c r="E50" s="364">
        <f>O24</f>
        <v>0</v>
      </c>
      <c r="F50" s="667"/>
      <c r="G50" s="667"/>
      <c r="H50" s="667"/>
      <c r="I50" s="667"/>
      <c r="J50" s="667"/>
      <c r="K50" s="667"/>
      <c r="L50" s="667"/>
      <c r="M50" s="667"/>
      <c r="N50" s="667"/>
      <c r="O50" s="667"/>
      <c r="P50" s="551"/>
      <c r="Q50" s="551"/>
      <c r="R50" s="551"/>
      <c r="T50" s="551"/>
      <c r="U50" s="551"/>
      <c r="V50" s="551"/>
      <c r="W50" s="667"/>
      <c r="X50" s="667"/>
    </row>
    <row r="51" spans="1:24" hidden="1" x14ac:dyDescent="0.2">
      <c r="A51" s="552"/>
      <c r="B51" s="667" t="s">
        <v>1170</v>
      </c>
      <c r="C51" s="667"/>
      <c r="D51" s="8"/>
      <c r="E51" s="599">
        <f>IF(P24&gt;K24,P24-K24,0)</f>
        <v>0</v>
      </c>
      <c r="F51" s="667"/>
      <c r="G51" s="667"/>
      <c r="H51" s="667"/>
      <c r="I51" s="667"/>
      <c r="J51" s="667"/>
      <c r="K51" s="667"/>
      <c r="L51" s="596"/>
      <c r="M51" s="667"/>
      <c r="N51" s="667"/>
      <c r="O51" s="667"/>
      <c r="P51" s="551"/>
      <c r="Q51" s="551"/>
      <c r="R51" s="551"/>
      <c r="T51" s="551"/>
      <c r="U51" s="551"/>
      <c r="V51" s="551"/>
      <c r="W51" s="667"/>
      <c r="X51" s="667"/>
    </row>
    <row r="52" spans="1:24" hidden="1" x14ac:dyDescent="0.2">
      <c r="A52" s="552"/>
      <c r="B52" s="602" t="s">
        <v>1171</v>
      </c>
      <c r="C52" s="667"/>
      <c r="D52" s="8"/>
      <c r="E52" s="599">
        <f>Q24</f>
        <v>0</v>
      </c>
      <c r="F52" s="667"/>
      <c r="G52" s="667"/>
      <c r="H52" s="667"/>
      <c r="I52" s="667"/>
      <c r="J52" s="667"/>
      <c r="K52" s="667"/>
      <c r="L52" s="596"/>
      <c r="M52" s="667"/>
      <c r="N52" s="667"/>
      <c r="O52" s="667"/>
      <c r="P52" s="551"/>
      <c r="Q52" s="551"/>
      <c r="R52" s="551"/>
      <c r="T52" s="551"/>
      <c r="U52" s="551"/>
      <c r="V52" s="551"/>
      <c r="W52" s="667"/>
      <c r="X52" s="667"/>
    </row>
    <row r="53" spans="1:24" hidden="1" x14ac:dyDescent="0.2">
      <c r="A53" s="552"/>
      <c r="B53" s="602" t="s">
        <v>1172</v>
      </c>
      <c r="C53" s="667"/>
      <c r="D53" s="8"/>
      <c r="E53" s="599">
        <f>R24</f>
        <v>0</v>
      </c>
      <c r="F53" s="667"/>
      <c r="G53" s="667"/>
      <c r="H53" s="667"/>
      <c r="I53" s="667"/>
      <c r="J53" s="667"/>
      <c r="K53" s="667"/>
      <c r="L53" s="595"/>
      <c r="M53" s="667"/>
      <c r="N53" s="667"/>
      <c r="O53" s="667"/>
      <c r="P53" s="551"/>
      <c r="Q53" s="551"/>
      <c r="R53" s="551"/>
      <c r="T53" s="551"/>
      <c r="U53" s="551"/>
      <c r="V53" s="551"/>
      <c r="W53" s="667"/>
      <c r="X53" s="667"/>
    </row>
    <row r="54" spans="1:24" hidden="1" x14ac:dyDescent="0.2">
      <c r="A54" s="552"/>
      <c r="B54" s="667" t="s">
        <v>1516</v>
      </c>
      <c r="C54" s="667"/>
      <c r="D54" s="8">
        <f>C17</f>
        <v>0</v>
      </c>
      <c r="E54" s="599">
        <v>0</v>
      </c>
      <c r="F54" s="667"/>
      <c r="G54" s="667"/>
      <c r="H54" s="667"/>
      <c r="I54" s="667"/>
      <c r="J54" s="667"/>
      <c r="K54" s="667"/>
      <c r="L54" s="596"/>
      <c r="M54" s="667"/>
      <c r="N54" s="667"/>
      <c r="O54" s="667"/>
      <c r="P54" s="551"/>
      <c r="Q54" s="551"/>
      <c r="R54" s="551"/>
      <c r="T54" s="551"/>
      <c r="U54" s="551"/>
      <c r="V54" s="551"/>
      <c r="W54" s="667"/>
      <c r="X54" s="667"/>
    </row>
    <row r="55" spans="1:24" hidden="1" x14ac:dyDescent="0.2">
      <c r="A55" s="552"/>
      <c r="B55" s="667" t="s">
        <v>1517</v>
      </c>
      <c r="C55" s="667"/>
      <c r="D55" s="8"/>
      <c r="E55" s="599">
        <f>C17</f>
        <v>0</v>
      </c>
      <c r="F55" s="667"/>
      <c r="G55" s="667"/>
      <c r="H55" s="667"/>
      <c r="I55" s="667"/>
      <c r="J55" s="667"/>
      <c r="K55" s="667"/>
      <c r="L55" s="596"/>
      <c r="M55" s="667"/>
      <c r="N55" s="667"/>
      <c r="O55" s="667"/>
      <c r="P55" s="551"/>
      <c r="Q55" s="551"/>
      <c r="R55" s="551"/>
      <c r="T55" s="551"/>
      <c r="U55" s="551"/>
      <c r="V55" s="551"/>
      <c r="W55" s="667"/>
      <c r="X55" s="667"/>
    </row>
    <row r="56" spans="1:24" hidden="1" x14ac:dyDescent="0.2">
      <c r="A56" s="552"/>
      <c r="B56" s="667" t="s">
        <v>1569</v>
      </c>
      <c r="C56" s="667"/>
      <c r="D56" s="8">
        <v>0</v>
      </c>
      <c r="E56" s="599">
        <v>0</v>
      </c>
      <c r="F56" s="596"/>
      <c r="G56" s="596"/>
      <c r="H56" s="596"/>
      <c r="I56" s="596"/>
      <c r="J56" s="596"/>
      <c r="K56" s="596"/>
      <c r="L56" s="596"/>
      <c r="M56" s="595"/>
      <c r="N56" s="596"/>
      <c r="O56" s="667"/>
      <c r="P56" s="551"/>
      <c r="Q56" s="551"/>
      <c r="R56" s="551"/>
      <c r="T56" s="551"/>
      <c r="U56" s="551"/>
      <c r="V56" s="551"/>
      <c r="W56" s="667"/>
      <c r="X56" s="667"/>
    </row>
    <row r="57" spans="1:24" hidden="1" x14ac:dyDescent="0.2">
      <c r="A57" s="552"/>
      <c r="B57" s="667" t="s">
        <v>1570</v>
      </c>
      <c r="C57" s="667"/>
      <c r="D57" s="8">
        <v>0</v>
      </c>
      <c r="E57" s="599">
        <v>0</v>
      </c>
      <c r="F57" s="667"/>
      <c r="G57" s="667"/>
      <c r="H57" s="667"/>
      <c r="I57" s="667"/>
      <c r="J57" s="667"/>
      <c r="K57" s="667"/>
      <c r="L57" s="667"/>
      <c r="M57" s="667"/>
      <c r="N57" s="667"/>
      <c r="O57" s="667"/>
      <c r="P57" s="551"/>
      <c r="Q57" s="551"/>
      <c r="R57" s="551"/>
      <c r="T57" s="551"/>
      <c r="U57" s="551"/>
      <c r="V57" s="551"/>
      <c r="W57" s="667"/>
      <c r="X57" s="667"/>
    </row>
    <row r="58" spans="1:24" hidden="1" x14ac:dyDescent="0.2">
      <c r="A58" s="552"/>
      <c r="B58" s="667"/>
      <c r="C58" s="667"/>
      <c r="D58" s="8">
        <f>SUM(D35:D57)</f>
        <v>0</v>
      </c>
      <c r="E58" s="8">
        <f>SUM(E35:E57)</f>
        <v>0</v>
      </c>
      <c r="F58" s="595"/>
      <c r="G58" s="595"/>
      <c r="H58" s="595"/>
      <c r="I58" s="595"/>
      <c r="J58" s="595"/>
      <c r="K58" s="595"/>
      <c r="L58" s="595"/>
      <c r="M58" s="595"/>
      <c r="N58" s="595"/>
      <c r="O58" s="667"/>
      <c r="P58" s="551"/>
      <c r="Q58" s="551"/>
      <c r="R58" s="551"/>
      <c r="T58" s="551"/>
      <c r="U58" s="551"/>
      <c r="V58" s="551"/>
      <c r="W58" s="667"/>
      <c r="X58" s="667"/>
    </row>
    <row r="59" spans="1:24" hidden="1" x14ac:dyDescent="0.2">
      <c r="A59" s="552"/>
      <c r="B59" s="667"/>
      <c r="C59" s="667"/>
      <c r="D59" s="667"/>
      <c r="E59" s="667"/>
      <c r="F59" s="667"/>
      <c r="G59" s="667"/>
      <c r="H59" s="667"/>
      <c r="I59" s="667"/>
      <c r="J59" s="667"/>
      <c r="K59" s="667"/>
      <c r="L59" s="667"/>
      <c r="M59" s="667"/>
      <c r="N59" s="667"/>
      <c r="O59" s="667"/>
      <c r="P59" s="551"/>
      <c r="Q59" s="551"/>
      <c r="R59" s="551"/>
      <c r="T59" s="551"/>
      <c r="U59" s="551"/>
      <c r="V59" s="551"/>
      <c r="W59" s="667"/>
      <c r="X59" s="667"/>
    </row>
    <row r="60" spans="1:24" ht="15" hidden="1" x14ac:dyDescent="0.25">
      <c r="A60" s="552"/>
      <c r="B60" s="598"/>
      <c r="C60" s="597"/>
      <c r="D60" s="597"/>
      <c r="E60" s="597"/>
      <c r="F60" s="597"/>
      <c r="G60" s="597"/>
      <c r="H60" s="597"/>
      <c r="I60" s="597"/>
      <c r="J60" s="597"/>
      <c r="K60" s="597"/>
      <c r="L60" s="597"/>
      <c r="M60" s="597"/>
      <c r="N60" s="597"/>
      <c r="O60" s="667"/>
      <c r="P60" s="551"/>
      <c r="Q60" s="551"/>
      <c r="R60" s="551"/>
      <c r="T60" s="551"/>
      <c r="U60" s="551"/>
      <c r="V60" s="551"/>
      <c r="W60" s="667"/>
      <c r="X60" s="667"/>
    </row>
    <row r="61" spans="1:24" x14ac:dyDescent="0.2">
      <c r="A61" s="552"/>
      <c r="B61" s="667"/>
      <c r="C61" s="667"/>
      <c r="D61" s="667"/>
      <c r="E61" s="594"/>
      <c r="F61" s="594"/>
      <c r="G61" s="594"/>
      <c r="H61" s="667"/>
      <c r="I61" s="594"/>
      <c r="J61" s="594"/>
      <c r="K61" s="594"/>
      <c r="L61" s="594"/>
      <c r="M61" s="667"/>
      <c r="N61" s="594"/>
      <c r="O61" s="667"/>
      <c r="P61" s="551"/>
      <c r="Q61" s="551"/>
      <c r="R61" s="551"/>
      <c r="T61" s="551"/>
      <c r="U61" s="551"/>
      <c r="V61" s="551"/>
      <c r="W61" s="667"/>
      <c r="X61" s="667"/>
    </row>
    <row r="62" spans="1:24" ht="15" x14ac:dyDescent="0.25">
      <c r="A62" s="552"/>
      <c r="B62" s="598"/>
      <c r="C62" s="667"/>
      <c r="D62" s="667"/>
      <c r="E62" s="594"/>
      <c r="F62" s="594"/>
      <c r="G62" s="594"/>
      <c r="H62" s="667"/>
      <c r="I62" s="594"/>
      <c r="J62" s="594"/>
      <c r="K62" s="594"/>
      <c r="L62" s="594"/>
      <c r="M62" s="667"/>
      <c r="N62" s="594"/>
      <c r="O62" s="667"/>
      <c r="P62" s="551"/>
      <c r="Q62" s="551"/>
      <c r="R62" s="551"/>
      <c r="T62" s="551"/>
      <c r="U62" s="551"/>
      <c r="V62" s="551"/>
      <c r="W62" s="667"/>
      <c r="X62" s="667"/>
    </row>
    <row r="63" spans="1:24" ht="18" customHeight="1" x14ac:dyDescent="0.2">
      <c r="A63" s="832" t="s">
        <v>334</v>
      </c>
      <c r="B63" s="1109" t="s">
        <v>1636</v>
      </c>
      <c r="C63" s="1110"/>
      <c r="D63" s="1110"/>
      <c r="E63" s="1110"/>
      <c r="F63" s="1110"/>
      <c r="G63" s="1110"/>
      <c r="H63" s="1110"/>
      <c r="I63" s="1111"/>
    </row>
    <row r="64" spans="1:24" x14ac:dyDescent="0.2">
      <c r="A64" s="468"/>
      <c r="B64" s="469"/>
      <c r="C64" s="469"/>
      <c r="D64" s="469"/>
      <c r="E64" s="469"/>
      <c r="F64" s="469"/>
      <c r="G64" s="469"/>
      <c r="H64" s="469"/>
      <c r="I64" s="469"/>
    </row>
    <row r="65" spans="1:9" ht="18" customHeight="1" x14ac:dyDescent="0.2">
      <c r="A65" s="468"/>
      <c r="B65" s="1112" t="s">
        <v>1111</v>
      </c>
      <c r="C65" s="1113"/>
      <c r="D65" s="1113"/>
      <c r="E65" s="1114"/>
      <c r="F65" s="469"/>
      <c r="G65" s="469"/>
      <c r="H65" s="469"/>
      <c r="I65" s="469"/>
    </row>
    <row r="66" spans="1:9" x14ac:dyDescent="0.2">
      <c r="A66" s="468"/>
      <c r="B66" s="489" t="s">
        <v>1571</v>
      </c>
      <c r="C66" s="486">
        <f>'H. Other Liabilities &amp; Expenses'!L186</f>
        <v>0.8</v>
      </c>
      <c r="D66" s="469"/>
      <c r="E66" s="490"/>
      <c r="F66" s="469"/>
      <c r="G66" s="469"/>
      <c r="H66" s="469"/>
      <c r="I66" s="469"/>
    </row>
    <row r="67" spans="1:9" x14ac:dyDescent="0.2">
      <c r="A67" s="468"/>
      <c r="B67" s="489" t="s">
        <v>1572</v>
      </c>
      <c r="C67" s="486">
        <f>'H. Other Liabilities &amp; Expenses'!L187</f>
        <v>0.2</v>
      </c>
      <c r="D67" s="469"/>
      <c r="E67" s="490"/>
      <c r="F67" s="469"/>
      <c r="G67" s="469"/>
      <c r="H67" s="469"/>
      <c r="I67" s="469"/>
    </row>
    <row r="68" spans="1:9" x14ac:dyDescent="0.2">
      <c r="A68" s="468"/>
      <c r="B68" s="491" t="s">
        <v>1084</v>
      </c>
      <c r="C68" s="486">
        <f>SUM(C66:C67)</f>
        <v>1</v>
      </c>
      <c r="D68" s="469" t="str">
        <f>IF(C68=1,"=100%","DOES NOT EQUAL 100%!!!")</f>
        <v>=100%</v>
      </c>
      <c r="E68" s="490"/>
      <c r="F68" s="469"/>
      <c r="G68" s="469"/>
      <c r="H68" s="469"/>
      <c r="I68" s="469"/>
    </row>
    <row r="69" spans="1:9" x14ac:dyDescent="0.2">
      <c r="A69" s="468"/>
      <c r="B69" s="492"/>
      <c r="C69" s="486"/>
      <c r="D69" s="469"/>
      <c r="E69" s="490"/>
      <c r="F69" s="469"/>
      <c r="G69" s="469"/>
      <c r="H69" s="469"/>
      <c r="I69" s="469"/>
    </row>
    <row r="70" spans="1:9" ht="18" customHeight="1" x14ac:dyDescent="0.2">
      <c r="A70" s="468"/>
      <c r="B70" s="837" t="s">
        <v>1085</v>
      </c>
      <c r="C70" s="486"/>
      <c r="D70" s="469"/>
      <c r="E70" s="490"/>
      <c r="F70" s="469"/>
      <c r="G70" s="469"/>
      <c r="H70" s="469"/>
      <c r="I70" s="469"/>
    </row>
    <row r="71" spans="1:9" x14ac:dyDescent="0.2">
      <c r="A71" s="468"/>
      <c r="B71" s="493" t="s">
        <v>263</v>
      </c>
      <c r="C71" s="486">
        <f>'H. Other Liabilities &amp; Expenses'!L191</f>
        <v>0.4</v>
      </c>
      <c r="D71" s="469"/>
      <c r="E71" s="490"/>
      <c r="F71" s="469"/>
      <c r="G71" s="469"/>
      <c r="H71" s="469"/>
      <c r="I71" s="469"/>
    </row>
    <row r="72" spans="1:9" x14ac:dyDescent="0.2">
      <c r="A72" s="468"/>
      <c r="B72" s="493" t="s">
        <v>264</v>
      </c>
      <c r="C72" s="486">
        <f>'H. Other Liabilities &amp; Expenses'!L192</f>
        <v>0</v>
      </c>
      <c r="D72" s="469"/>
      <c r="E72" s="490"/>
      <c r="F72" s="469"/>
      <c r="G72" s="469"/>
      <c r="H72" s="469"/>
      <c r="I72" s="469"/>
    </row>
    <row r="73" spans="1:9" x14ac:dyDescent="0.2">
      <c r="A73" s="468"/>
      <c r="B73" s="493" t="s">
        <v>265</v>
      </c>
      <c r="C73" s="486">
        <f>'H. Other Liabilities &amp; Expenses'!L193</f>
        <v>0</v>
      </c>
      <c r="D73" s="469"/>
      <c r="E73" s="490"/>
      <c r="F73" s="469"/>
      <c r="G73" s="469"/>
      <c r="H73" s="469"/>
      <c r="I73" s="469"/>
    </row>
    <row r="74" spans="1:9" x14ac:dyDescent="0.2">
      <c r="A74" s="468"/>
      <c r="B74" s="493" t="s">
        <v>266</v>
      </c>
      <c r="C74" s="486">
        <f>'H. Other Liabilities &amp; Expenses'!L194</f>
        <v>0</v>
      </c>
      <c r="D74" s="469"/>
      <c r="E74" s="490"/>
      <c r="F74" s="469"/>
      <c r="G74" s="469"/>
      <c r="H74" s="469"/>
      <c r="I74" s="469"/>
    </row>
    <row r="75" spans="1:9" x14ac:dyDescent="0.2">
      <c r="A75" s="468"/>
      <c r="B75" s="493" t="s">
        <v>267</v>
      </c>
      <c r="C75" s="486">
        <f>'H. Other Liabilities &amp; Expenses'!L195</f>
        <v>0</v>
      </c>
      <c r="D75" s="469"/>
      <c r="E75" s="490"/>
      <c r="F75" s="469"/>
      <c r="G75" s="469"/>
      <c r="H75" s="469"/>
      <c r="I75" s="469"/>
    </row>
    <row r="76" spans="1:9" x14ac:dyDescent="0.2">
      <c r="A76" s="468"/>
      <c r="B76" s="493" t="s">
        <v>268</v>
      </c>
      <c r="C76" s="486">
        <f>'H. Other Liabilities &amp; Expenses'!L196</f>
        <v>0</v>
      </c>
      <c r="D76" s="469"/>
      <c r="E76" s="490"/>
      <c r="F76" s="469"/>
      <c r="G76" s="469"/>
      <c r="H76" s="469"/>
      <c r="I76" s="469"/>
    </row>
    <row r="77" spans="1:9" x14ac:dyDescent="0.2">
      <c r="A77" s="468"/>
      <c r="B77" s="493" t="s">
        <v>269</v>
      </c>
      <c r="C77" s="486">
        <f>'H. Other Liabilities &amp; Expenses'!L197</f>
        <v>0.4</v>
      </c>
      <c r="D77" s="469"/>
      <c r="E77" s="490"/>
      <c r="F77" s="469"/>
      <c r="G77" s="469"/>
      <c r="H77" s="469"/>
      <c r="I77" s="469"/>
    </row>
    <row r="78" spans="1:9" x14ac:dyDescent="0.2">
      <c r="A78" s="468"/>
      <c r="B78" s="493" t="s">
        <v>379</v>
      </c>
      <c r="C78" s="486">
        <f>'H. Other Liabilities &amp; Expenses'!L198</f>
        <v>0</v>
      </c>
      <c r="D78" s="469"/>
      <c r="E78" s="490"/>
      <c r="F78" s="469"/>
      <c r="G78" s="469"/>
      <c r="H78" s="469"/>
      <c r="I78" s="469"/>
    </row>
    <row r="79" spans="1:9" x14ac:dyDescent="0.2">
      <c r="A79" s="468"/>
      <c r="B79" s="493" t="s">
        <v>380</v>
      </c>
      <c r="C79" s="486">
        <f>'H. Other Liabilities &amp; Expenses'!L199</f>
        <v>0</v>
      </c>
      <c r="D79" s="469"/>
      <c r="E79" s="490"/>
      <c r="F79" s="469"/>
      <c r="G79" s="469"/>
      <c r="H79" s="469"/>
      <c r="I79" s="469"/>
    </row>
    <row r="80" spans="1:9" x14ac:dyDescent="0.2">
      <c r="A80" s="468"/>
      <c r="B80" s="493" t="s">
        <v>237</v>
      </c>
      <c r="C80" s="486">
        <f>'H. Other Liabilities &amp; Expenses'!L200</f>
        <v>0</v>
      </c>
      <c r="D80" s="469"/>
      <c r="E80" s="490"/>
      <c r="F80" s="469"/>
      <c r="G80" s="469"/>
      <c r="H80" s="469"/>
      <c r="I80" s="469"/>
    </row>
    <row r="81" spans="1:9" x14ac:dyDescent="0.2">
      <c r="A81" s="468"/>
      <c r="B81" s="493" t="s">
        <v>238</v>
      </c>
      <c r="C81" s="486">
        <f>'H. Other Liabilities &amp; Expenses'!L201</f>
        <v>0</v>
      </c>
      <c r="D81" s="469"/>
      <c r="E81" s="490"/>
      <c r="F81" s="469"/>
      <c r="G81" s="469"/>
      <c r="H81" s="469"/>
      <c r="I81" s="469"/>
    </row>
    <row r="82" spans="1:9" x14ac:dyDescent="0.2">
      <c r="A82" s="468"/>
      <c r="B82" s="493" t="s">
        <v>271</v>
      </c>
      <c r="C82" s="486">
        <f>'H. Other Liabilities &amp; Expenses'!L202</f>
        <v>0</v>
      </c>
      <c r="D82" s="469"/>
      <c r="E82" s="490"/>
      <c r="F82" s="469"/>
      <c r="G82" s="469"/>
      <c r="H82" s="469"/>
      <c r="I82" s="469"/>
    </row>
    <row r="83" spans="1:9" x14ac:dyDescent="0.2">
      <c r="A83" s="468"/>
      <c r="B83" s="493" t="s">
        <v>273</v>
      </c>
      <c r="C83" s="486">
        <f>'H. Other Liabilities &amp; Expenses'!L203</f>
        <v>0</v>
      </c>
      <c r="D83" s="469"/>
      <c r="E83" s="490"/>
      <c r="F83" s="469"/>
      <c r="G83" s="469"/>
      <c r="H83" s="469"/>
      <c r="I83" s="469"/>
    </row>
    <row r="84" spans="1:9" x14ac:dyDescent="0.2">
      <c r="A84" s="468"/>
      <c r="B84" s="493" t="s">
        <v>274</v>
      </c>
      <c r="C84" s="486">
        <f>'H. Other Liabilities &amp; Expenses'!L204</f>
        <v>0</v>
      </c>
      <c r="D84" s="469"/>
      <c r="E84" s="490"/>
      <c r="F84" s="469"/>
      <c r="G84" s="469"/>
      <c r="H84" s="469"/>
      <c r="I84" s="469"/>
    </row>
    <row r="85" spans="1:9" x14ac:dyDescent="0.2">
      <c r="A85" s="468"/>
      <c r="B85" s="493" t="s">
        <v>381</v>
      </c>
      <c r="C85" s="486">
        <f>'H. Other Liabilities &amp; Expenses'!L205</f>
        <v>0</v>
      </c>
      <c r="D85" s="469"/>
      <c r="E85" s="490"/>
      <c r="F85" s="469"/>
      <c r="G85" s="469"/>
      <c r="H85" s="469"/>
      <c r="I85" s="469"/>
    </row>
    <row r="86" spans="1:9" x14ac:dyDescent="0.2">
      <c r="A86" s="468"/>
      <c r="B86" s="493" t="s">
        <v>257</v>
      </c>
      <c r="C86" s="486">
        <f>'H. Other Liabilities &amp; Expenses'!L206</f>
        <v>0</v>
      </c>
      <c r="D86" s="469"/>
      <c r="E86" s="490"/>
      <c r="F86" s="469"/>
      <c r="G86" s="469"/>
      <c r="H86" s="469"/>
      <c r="I86" s="469"/>
    </row>
    <row r="87" spans="1:9" x14ac:dyDescent="0.2">
      <c r="A87" s="468"/>
      <c r="B87" s="493" t="s">
        <v>55</v>
      </c>
      <c r="C87" s="486">
        <f>'H. Other Liabilities &amp; Expenses'!L207</f>
        <v>0</v>
      </c>
      <c r="D87" s="469"/>
      <c r="E87" s="490"/>
      <c r="F87" s="469"/>
      <c r="G87" s="469"/>
      <c r="H87" s="469"/>
      <c r="I87" s="469"/>
    </row>
    <row r="88" spans="1:9" x14ac:dyDescent="0.2">
      <c r="A88" s="468"/>
      <c r="B88" s="494" t="s">
        <v>1086</v>
      </c>
      <c r="C88" s="495">
        <f>SUM(C71:C87)</f>
        <v>0.8</v>
      </c>
      <c r="D88" s="523" t="str">
        <f>IF(C88=C66,"Equals Governmental Fund","DOES NOT EQUAL Governmental Fund!!!")</f>
        <v>Equals Governmental Fund</v>
      </c>
      <c r="E88" s="496"/>
      <c r="F88" s="469"/>
      <c r="G88" s="469"/>
      <c r="H88" s="469"/>
      <c r="I88" s="469"/>
    </row>
    <row r="89" spans="1:9" x14ac:dyDescent="0.2">
      <c r="A89" s="468"/>
      <c r="B89" s="469"/>
      <c r="C89" s="486"/>
      <c r="D89" s="469"/>
      <c r="E89" s="469"/>
      <c r="F89" s="469"/>
      <c r="G89" s="469"/>
      <c r="H89" s="469"/>
      <c r="I89" s="469"/>
    </row>
    <row r="90" spans="1:9" x14ac:dyDescent="0.2">
      <c r="A90" s="160"/>
      <c r="B90" s="669"/>
      <c r="C90" s="667"/>
      <c r="D90" s="667"/>
      <c r="E90" s="667"/>
      <c r="F90" s="667"/>
      <c r="G90" s="667"/>
      <c r="H90" s="667"/>
      <c r="I90" s="667"/>
    </row>
    <row r="91" spans="1:9" x14ac:dyDescent="0.2">
      <c r="A91" s="160"/>
      <c r="B91" s="664"/>
      <c r="C91" s="470" t="s">
        <v>1069</v>
      </c>
      <c r="D91" s="470" t="s">
        <v>1070</v>
      </c>
    </row>
    <row r="92" spans="1:9" x14ac:dyDescent="0.2">
      <c r="A92" s="160"/>
      <c r="B92" s="666" t="s">
        <v>726</v>
      </c>
      <c r="C92" s="471">
        <f>G147</f>
        <v>0</v>
      </c>
      <c r="D92" s="471">
        <f>H147</f>
        <v>0</v>
      </c>
    </row>
    <row r="93" spans="1:9" x14ac:dyDescent="0.2">
      <c r="A93" s="160"/>
      <c r="B93" s="666" t="s">
        <v>1573</v>
      </c>
      <c r="C93" s="471">
        <f t="shared" ref="C93:D108" si="0">G148</f>
        <v>0</v>
      </c>
      <c r="D93" s="471">
        <f t="shared" si="0"/>
        <v>0</v>
      </c>
      <c r="E93" s="464"/>
    </row>
    <row r="94" spans="1:9" x14ac:dyDescent="0.2">
      <c r="A94" s="160"/>
      <c r="B94" s="497" t="s">
        <v>1574</v>
      </c>
      <c r="C94" s="471">
        <f t="shared" si="0"/>
        <v>0</v>
      </c>
      <c r="D94" s="471">
        <f t="shared" si="0"/>
        <v>0</v>
      </c>
      <c r="E94" s="464"/>
    </row>
    <row r="95" spans="1:9" x14ac:dyDescent="0.2">
      <c r="A95" s="160"/>
      <c r="B95" s="497" t="s">
        <v>1575</v>
      </c>
      <c r="C95" s="471">
        <f t="shared" si="0"/>
        <v>0</v>
      </c>
      <c r="D95" s="471">
        <f t="shared" si="0"/>
        <v>0</v>
      </c>
      <c r="E95" s="464"/>
    </row>
    <row r="96" spans="1:9" x14ac:dyDescent="0.2">
      <c r="A96" s="160"/>
      <c r="B96" s="497" t="s">
        <v>1576</v>
      </c>
      <c r="C96" s="471">
        <f t="shared" si="0"/>
        <v>0</v>
      </c>
      <c r="D96" s="471">
        <f t="shared" si="0"/>
        <v>0</v>
      </c>
      <c r="E96" s="464"/>
    </row>
    <row r="97" spans="1:5" x14ac:dyDescent="0.2">
      <c r="A97" s="160"/>
      <c r="B97" s="497" t="s">
        <v>1577</v>
      </c>
      <c r="C97" s="471">
        <f t="shared" si="0"/>
        <v>0</v>
      </c>
      <c r="D97" s="471">
        <f t="shared" si="0"/>
        <v>0</v>
      </c>
      <c r="E97" s="464"/>
    </row>
    <row r="98" spans="1:5" x14ac:dyDescent="0.2">
      <c r="A98" s="160"/>
      <c r="B98" s="497" t="s">
        <v>1578</v>
      </c>
      <c r="C98" s="471">
        <f t="shared" si="0"/>
        <v>0</v>
      </c>
      <c r="D98" s="471">
        <f t="shared" si="0"/>
        <v>0</v>
      </c>
      <c r="E98" s="464"/>
    </row>
    <row r="99" spans="1:5" x14ac:dyDescent="0.2">
      <c r="A99" s="160"/>
      <c r="B99" s="497" t="s">
        <v>1579</v>
      </c>
      <c r="C99" s="471">
        <f t="shared" si="0"/>
        <v>0</v>
      </c>
      <c r="D99" s="471">
        <f t="shared" si="0"/>
        <v>0</v>
      </c>
      <c r="E99" s="464"/>
    </row>
    <row r="100" spans="1:5" x14ac:dyDescent="0.2">
      <c r="A100" s="160"/>
      <c r="B100" s="497" t="s">
        <v>1580</v>
      </c>
      <c r="C100" s="471">
        <f t="shared" si="0"/>
        <v>0</v>
      </c>
      <c r="D100" s="471">
        <f t="shared" si="0"/>
        <v>0</v>
      </c>
      <c r="E100" s="464"/>
    </row>
    <row r="101" spans="1:5" x14ac:dyDescent="0.2">
      <c r="A101" s="160"/>
      <c r="B101" s="497" t="s">
        <v>1581</v>
      </c>
      <c r="C101" s="471">
        <f t="shared" si="0"/>
        <v>0</v>
      </c>
      <c r="D101" s="471">
        <f t="shared" si="0"/>
        <v>0</v>
      </c>
      <c r="E101" s="464"/>
    </row>
    <row r="102" spans="1:5" x14ac:dyDescent="0.2">
      <c r="A102" s="160"/>
      <c r="B102" s="497" t="s">
        <v>1582</v>
      </c>
      <c r="C102" s="471">
        <f t="shared" si="0"/>
        <v>0</v>
      </c>
      <c r="D102" s="471">
        <f t="shared" si="0"/>
        <v>0</v>
      </c>
      <c r="E102" s="464"/>
    </row>
    <row r="103" spans="1:5" x14ac:dyDescent="0.2">
      <c r="A103" s="160"/>
      <c r="B103" s="497" t="s">
        <v>1583</v>
      </c>
      <c r="C103" s="471">
        <f t="shared" si="0"/>
        <v>0</v>
      </c>
      <c r="D103" s="471">
        <f t="shared" si="0"/>
        <v>0</v>
      </c>
      <c r="E103" s="464"/>
    </row>
    <row r="104" spans="1:5" x14ac:dyDescent="0.2">
      <c r="A104" s="160"/>
      <c r="B104" s="497" t="s">
        <v>1584</v>
      </c>
      <c r="C104" s="471">
        <f t="shared" si="0"/>
        <v>0</v>
      </c>
      <c r="D104" s="471">
        <f t="shared" si="0"/>
        <v>0</v>
      </c>
      <c r="E104" s="464"/>
    </row>
    <row r="105" spans="1:5" x14ac:dyDescent="0.2">
      <c r="A105" s="160"/>
      <c r="B105" s="497" t="s">
        <v>1585</v>
      </c>
      <c r="C105" s="471">
        <f t="shared" si="0"/>
        <v>0</v>
      </c>
      <c r="D105" s="471">
        <f t="shared" si="0"/>
        <v>0</v>
      </c>
      <c r="E105" s="464"/>
    </row>
    <row r="106" spans="1:5" x14ac:dyDescent="0.2">
      <c r="A106" s="160"/>
      <c r="B106" s="497" t="s">
        <v>1586</v>
      </c>
      <c r="C106" s="471">
        <f t="shared" si="0"/>
        <v>0</v>
      </c>
      <c r="D106" s="471">
        <f t="shared" si="0"/>
        <v>0</v>
      </c>
      <c r="E106" s="464"/>
    </row>
    <row r="107" spans="1:5" x14ac:dyDescent="0.2">
      <c r="A107" s="160"/>
      <c r="B107" s="497" t="s">
        <v>1587</v>
      </c>
      <c r="C107" s="471">
        <f t="shared" si="0"/>
        <v>0</v>
      </c>
      <c r="D107" s="471">
        <f t="shared" si="0"/>
        <v>0</v>
      </c>
      <c r="E107" s="464"/>
    </row>
    <row r="108" spans="1:5" x14ac:dyDescent="0.2">
      <c r="A108" s="160"/>
      <c r="B108" s="497" t="s">
        <v>1588</v>
      </c>
      <c r="C108" s="471">
        <f t="shared" si="0"/>
        <v>0</v>
      </c>
      <c r="D108" s="471">
        <f t="shared" si="0"/>
        <v>0</v>
      </c>
      <c r="E108" s="464"/>
    </row>
    <row r="109" spans="1:5" x14ac:dyDescent="0.2">
      <c r="A109" s="160"/>
      <c r="B109" s="497" t="s">
        <v>1589</v>
      </c>
      <c r="C109" s="471">
        <f t="shared" ref="C109:D119" si="1">G164</f>
        <v>0</v>
      </c>
      <c r="D109" s="471">
        <f t="shared" si="1"/>
        <v>0</v>
      </c>
      <c r="E109" s="464"/>
    </row>
    <row r="110" spans="1:5" x14ac:dyDescent="0.2">
      <c r="A110" s="160"/>
      <c r="B110" s="497" t="s">
        <v>1590</v>
      </c>
      <c r="C110" s="471">
        <f t="shared" si="1"/>
        <v>0</v>
      </c>
      <c r="D110" s="471">
        <f t="shared" si="1"/>
        <v>0</v>
      </c>
      <c r="E110" s="464"/>
    </row>
    <row r="111" spans="1:5" x14ac:dyDescent="0.2">
      <c r="A111" s="845" t="s">
        <v>1659</v>
      </c>
      <c r="B111" s="666" t="s">
        <v>1178</v>
      </c>
      <c r="C111" s="471">
        <f t="shared" si="1"/>
        <v>0</v>
      </c>
      <c r="D111" s="471">
        <f t="shared" si="1"/>
        <v>0</v>
      </c>
    </row>
    <row r="112" spans="1:5" ht="25.5" x14ac:dyDescent="0.2">
      <c r="A112" s="845" t="s">
        <v>1659</v>
      </c>
      <c r="B112" s="666" t="s">
        <v>1142</v>
      </c>
      <c r="C112" s="471">
        <f t="shared" si="1"/>
        <v>0</v>
      </c>
      <c r="D112" s="471">
        <f t="shared" si="1"/>
        <v>0</v>
      </c>
    </row>
    <row r="113" spans="1:4" x14ac:dyDescent="0.2">
      <c r="A113" s="845" t="s">
        <v>1659</v>
      </c>
      <c r="B113" s="666" t="s">
        <v>1179</v>
      </c>
      <c r="C113" s="471">
        <f t="shared" si="1"/>
        <v>0</v>
      </c>
      <c r="D113" s="471">
        <f t="shared" si="1"/>
        <v>0</v>
      </c>
    </row>
    <row r="114" spans="1:4" ht="25.5" x14ac:dyDescent="0.2">
      <c r="A114" s="845" t="s">
        <v>1659</v>
      </c>
      <c r="B114" s="666" t="s">
        <v>1180</v>
      </c>
      <c r="C114" s="471">
        <f t="shared" si="1"/>
        <v>0</v>
      </c>
      <c r="D114" s="471">
        <f t="shared" si="1"/>
        <v>0</v>
      </c>
    </row>
    <row r="115" spans="1:4" x14ac:dyDescent="0.2">
      <c r="A115" s="844" t="s">
        <v>1660</v>
      </c>
      <c r="B115" s="666" t="s">
        <v>1181</v>
      </c>
      <c r="C115" s="471">
        <f t="shared" si="1"/>
        <v>0</v>
      </c>
      <c r="D115" s="471">
        <f t="shared" si="1"/>
        <v>0</v>
      </c>
    </row>
    <row r="116" spans="1:4" ht="25.5" x14ac:dyDescent="0.2">
      <c r="A116" s="844" t="s">
        <v>1660</v>
      </c>
      <c r="B116" s="666" t="s">
        <v>1182</v>
      </c>
      <c r="C116" s="471">
        <f t="shared" si="1"/>
        <v>0</v>
      </c>
      <c r="D116" s="471">
        <f t="shared" si="1"/>
        <v>0</v>
      </c>
    </row>
    <row r="117" spans="1:4" x14ac:dyDescent="0.2">
      <c r="A117" s="844" t="s">
        <v>1660</v>
      </c>
      <c r="B117" s="666" t="s">
        <v>1183</v>
      </c>
      <c r="C117" s="471">
        <f t="shared" si="1"/>
        <v>0</v>
      </c>
      <c r="D117" s="471">
        <f t="shared" si="1"/>
        <v>0</v>
      </c>
    </row>
    <row r="118" spans="1:4" ht="25.5" x14ac:dyDescent="0.2">
      <c r="A118" s="844" t="s">
        <v>1660</v>
      </c>
      <c r="B118" s="666" t="s">
        <v>1184</v>
      </c>
      <c r="C118" s="471">
        <f t="shared" si="1"/>
        <v>0</v>
      </c>
      <c r="D118" s="471">
        <f t="shared" si="1"/>
        <v>0</v>
      </c>
    </row>
    <row r="119" spans="1:4" x14ac:dyDescent="0.2">
      <c r="A119" s="845" t="s">
        <v>1659</v>
      </c>
      <c r="B119" s="666" t="s">
        <v>1512</v>
      </c>
      <c r="C119" s="471">
        <f t="shared" si="1"/>
        <v>0</v>
      </c>
      <c r="D119" s="471">
        <f t="shared" si="1"/>
        <v>0</v>
      </c>
    </row>
    <row r="120" spans="1:4" s="718" customFormat="1" x14ac:dyDescent="0.2">
      <c r="A120" s="160"/>
      <c r="B120" s="447" t="s">
        <v>1608</v>
      </c>
      <c r="C120" s="471">
        <f t="shared" ref="C120:C136" si="2">G175</f>
        <v>0</v>
      </c>
      <c r="D120" s="471">
        <f t="shared" ref="D120:D136" si="3">H175</f>
        <v>0</v>
      </c>
    </row>
    <row r="121" spans="1:4" s="718" customFormat="1" x14ac:dyDescent="0.2">
      <c r="A121" s="160"/>
      <c r="B121" s="447" t="s">
        <v>1609</v>
      </c>
      <c r="C121" s="471">
        <f t="shared" si="2"/>
        <v>0</v>
      </c>
      <c r="D121" s="471">
        <f t="shared" si="3"/>
        <v>0</v>
      </c>
    </row>
    <row r="122" spans="1:4" s="718" customFormat="1" x14ac:dyDescent="0.2">
      <c r="A122" s="160"/>
      <c r="B122" s="447" t="s">
        <v>1610</v>
      </c>
      <c r="C122" s="471">
        <f t="shared" si="2"/>
        <v>0</v>
      </c>
      <c r="D122" s="471">
        <f t="shared" si="3"/>
        <v>0</v>
      </c>
    </row>
    <row r="123" spans="1:4" s="718" customFormat="1" x14ac:dyDescent="0.2">
      <c r="A123" s="160"/>
      <c r="B123" s="447" t="s">
        <v>1611</v>
      </c>
      <c r="C123" s="471">
        <f t="shared" si="2"/>
        <v>0</v>
      </c>
      <c r="D123" s="471">
        <f t="shared" si="3"/>
        <v>0</v>
      </c>
    </row>
    <row r="124" spans="1:4" s="718" customFormat="1" x14ac:dyDescent="0.2">
      <c r="A124" s="160"/>
      <c r="B124" s="447" t="s">
        <v>1612</v>
      </c>
      <c r="C124" s="471">
        <f t="shared" si="2"/>
        <v>0</v>
      </c>
      <c r="D124" s="471">
        <f t="shared" si="3"/>
        <v>0</v>
      </c>
    </row>
    <row r="125" spans="1:4" s="718" customFormat="1" x14ac:dyDescent="0.2">
      <c r="A125" s="160"/>
      <c r="B125" s="447" t="s">
        <v>1613</v>
      </c>
      <c r="C125" s="471">
        <f t="shared" si="2"/>
        <v>0</v>
      </c>
      <c r="D125" s="471">
        <f t="shared" si="3"/>
        <v>0</v>
      </c>
    </row>
    <row r="126" spans="1:4" s="718" customFormat="1" x14ac:dyDescent="0.2">
      <c r="A126" s="160"/>
      <c r="B126" s="447" t="s">
        <v>1614</v>
      </c>
      <c r="C126" s="471">
        <f t="shared" si="2"/>
        <v>0</v>
      </c>
      <c r="D126" s="471">
        <f t="shared" si="3"/>
        <v>0</v>
      </c>
    </row>
    <row r="127" spans="1:4" s="718" customFormat="1" x14ac:dyDescent="0.2">
      <c r="A127" s="160"/>
      <c r="B127" s="447" t="s">
        <v>1615</v>
      </c>
      <c r="C127" s="471">
        <f t="shared" si="2"/>
        <v>0</v>
      </c>
      <c r="D127" s="471">
        <f t="shared" si="3"/>
        <v>0</v>
      </c>
    </row>
    <row r="128" spans="1:4" s="718" customFormat="1" x14ac:dyDescent="0.2">
      <c r="A128" s="160"/>
      <c r="B128" s="447" t="s">
        <v>1616</v>
      </c>
      <c r="C128" s="471">
        <f t="shared" si="2"/>
        <v>0</v>
      </c>
      <c r="D128" s="471">
        <f t="shared" si="3"/>
        <v>0</v>
      </c>
    </row>
    <row r="129" spans="1:9" s="718" customFormat="1" x14ac:dyDescent="0.2">
      <c r="A129" s="160"/>
      <c r="B129" s="447" t="s">
        <v>1617</v>
      </c>
      <c r="C129" s="471">
        <f t="shared" si="2"/>
        <v>0</v>
      </c>
      <c r="D129" s="471">
        <f t="shared" si="3"/>
        <v>0</v>
      </c>
    </row>
    <row r="130" spans="1:9" s="718" customFormat="1" x14ac:dyDescent="0.2">
      <c r="A130" s="160"/>
      <c r="B130" s="447" t="s">
        <v>1618</v>
      </c>
      <c r="C130" s="471">
        <f t="shared" si="2"/>
        <v>0</v>
      </c>
      <c r="D130" s="471">
        <f t="shared" si="3"/>
        <v>0</v>
      </c>
    </row>
    <row r="131" spans="1:9" s="718" customFormat="1" x14ac:dyDescent="0.2">
      <c r="A131" s="160"/>
      <c r="B131" s="447" t="s">
        <v>1619</v>
      </c>
      <c r="C131" s="471">
        <f t="shared" si="2"/>
        <v>0</v>
      </c>
      <c r="D131" s="471">
        <f t="shared" si="3"/>
        <v>0</v>
      </c>
    </row>
    <row r="132" spans="1:9" s="718" customFormat="1" x14ac:dyDescent="0.2">
      <c r="A132" s="160"/>
      <c r="B132" s="447" t="s">
        <v>1620</v>
      </c>
      <c r="C132" s="471">
        <f t="shared" si="2"/>
        <v>0</v>
      </c>
      <c r="D132" s="471">
        <f t="shared" si="3"/>
        <v>0</v>
      </c>
    </row>
    <row r="133" spans="1:9" s="718" customFormat="1" x14ac:dyDescent="0.2">
      <c r="A133" s="160"/>
      <c r="B133" s="447" t="s">
        <v>1621</v>
      </c>
      <c r="C133" s="471">
        <f t="shared" si="2"/>
        <v>0</v>
      </c>
      <c r="D133" s="471">
        <f t="shared" si="3"/>
        <v>0</v>
      </c>
    </row>
    <row r="134" spans="1:9" s="718" customFormat="1" x14ac:dyDescent="0.2">
      <c r="A134" s="160"/>
      <c r="B134" s="447" t="s">
        <v>1622</v>
      </c>
      <c r="C134" s="471">
        <f t="shared" si="2"/>
        <v>0</v>
      </c>
      <c r="D134" s="471">
        <f t="shared" si="3"/>
        <v>0</v>
      </c>
    </row>
    <row r="135" spans="1:9" s="718" customFormat="1" x14ac:dyDescent="0.2">
      <c r="A135" s="160"/>
      <c r="B135" s="447" t="s">
        <v>1623</v>
      </c>
      <c r="C135" s="471">
        <f t="shared" si="2"/>
        <v>0</v>
      </c>
      <c r="D135" s="471">
        <f t="shared" si="3"/>
        <v>0</v>
      </c>
    </row>
    <row r="136" spans="1:9" s="718" customFormat="1" x14ac:dyDescent="0.2">
      <c r="A136" s="160"/>
      <c r="B136" s="447" t="s">
        <v>1624</v>
      </c>
      <c r="C136" s="471">
        <f t="shared" si="2"/>
        <v>0</v>
      </c>
      <c r="D136" s="471">
        <f t="shared" si="3"/>
        <v>0</v>
      </c>
    </row>
    <row r="137" spans="1:9" x14ac:dyDescent="0.2">
      <c r="A137" s="160"/>
      <c r="B137" s="666"/>
      <c r="C137" s="471">
        <f>SUM(C92:C136)</f>
        <v>0</v>
      </c>
      <c r="D137" s="471">
        <f>SUM(D92:D136)</f>
        <v>0</v>
      </c>
    </row>
    <row r="138" spans="1:9" x14ac:dyDescent="0.2">
      <c r="A138" s="160"/>
      <c r="B138" s="664"/>
      <c r="C138" s="466"/>
      <c r="D138" s="466"/>
      <c r="G138" s="447"/>
      <c r="H138" s="447"/>
      <c r="I138" s="447"/>
    </row>
    <row r="139" spans="1:9" ht="13.5" thickBot="1" x14ac:dyDescent="0.25">
      <c r="A139" s="160"/>
      <c r="B139" s="664"/>
      <c r="C139" s="472">
        <f>SUM(C92:C138)</f>
        <v>0</v>
      </c>
      <c r="D139" s="472">
        <f>SUM(D92:D138)</f>
        <v>0</v>
      </c>
      <c r="G139" s="447"/>
      <c r="H139" s="447"/>
      <c r="I139" s="663"/>
    </row>
    <row r="140" spans="1:9" ht="13.5" thickTop="1" x14ac:dyDescent="0.2">
      <c r="A140" s="160"/>
      <c r="B140" s="664"/>
      <c r="C140" s="466"/>
      <c r="D140" s="466"/>
    </row>
    <row r="141" spans="1:9" x14ac:dyDescent="0.2">
      <c r="A141" s="160"/>
      <c r="B141" s="664"/>
      <c r="C141" s="466"/>
      <c r="D141" s="466"/>
    </row>
    <row r="142" spans="1:9" x14ac:dyDescent="0.2">
      <c r="A142" s="160"/>
      <c r="B142" s="1104" t="s">
        <v>1638</v>
      </c>
      <c r="C142" s="1104"/>
      <c r="D142" s="1104"/>
      <c r="E142" s="1104"/>
      <c r="F142" s="1104"/>
      <c r="G142" s="1104"/>
      <c r="H142" s="1104"/>
    </row>
    <row r="143" spans="1:9" x14ac:dyDescent="0.2">
      <c r="A143" s="160"/>
      <c r="B143" s="1104"/>
      <c r="C143" s="1104"/>
      <c r="D143" s="1104"/>
      <c r="E143" s="1104"/>
      <c r="F143" s="1104"/>
      <c r="G143" s="1104"/>
      <c r="H143" s="1104"/>
    </row>
    <row r="144" spans="1:9" ht="18" x14ac:dyDescent="0.2">
      <c r="C144" s="498"/>
      <c r="D144" s="499"/>
      <c r="E144" s="500"/>
      <c r="F144" s="501"/>
      <c r="G144" s="1072" t="s">
        <v>457</v>
      </c>
      <c r="H144" s="1073"/>
    </row>
    <row r="145" spans="2:8" x14ac:dyDescent="0.2">
      <c r="C145" s="502"/>
      <c r="D145" s="503"/>
      <c r="E145" s="504"/>
      <c r="F145" s="667"/>
      <c r="G145" s="670"/>
      <c r="H145" s="127"/>
    </row>
    <row r="146" spans="2:8" x14ac:dyDescent="0.2">
      <c r="B146" s="82"/>
      <c r="C146" s="505" t="s">
        <v>645</v>
      </c>
      <c r="D146" s="110" t="s">
        <v>646</v>
      </c>
      <c r="E146" s="506" t="s">
        <v>1106</v>
      </c>
      <c r="F146" s="667"/>
      <c r="G146" s="59" t="s">
        <v>645</v>
      </c>
      <c r="H146" s="60" t="s">
        <v>646</v>
      </c>
    </row>
    <row r="147" spans="2:8" x14ac:dyDescent="0.2">
      <c r="B147" s="666" t="s">
        <v>726</v>
      </c>
      <c r="C147" s="671">
        <f>IF(F24-G24&gt;0,0,F24-G24)*C88</f>
        <v>0</v>
      </c>
      <c r="D147" s="672">
        <f>IF((F24-G24)&gt;0,(F24-G24)*C88,0)</f>
        <v>0</v>
      </c>
      <c r="E147" s="507">
        <f>C147-D147</f>
        <v>0</v>
      </c>
      <c r="G147" s="94">
        <f>IF(E147&lt;0,0,E147)</f>
        <v>0</v>
      </c>
      <c r="H147" s="515">
        <f>IF(E147&gt;0,0,E147*-1)</f>
        <v>0</v>
      </c>
    </row>
    <row r="148" spans="2:8" x14ac:dyDescent="0.2">
      <c r="B148" s="666" t="s">
        <v>1573</v>
      </c>
      <c r="C148" s="511">
        <f>IF(H24&lt;0,-H24*C88,0)</f>
        <v>0</v>
      </c>
      <c r="D148" s="512">
        <f>C66*(E36)</f>
        <v>0</v>
      </c>
      <c r="E148" s="507">
        <f t="shared" ref="E148:E191" si="4">C148-D148</f>
        <v>0</v>
      </c>
      <c r="G148" s="247">
        <f>IF(E148&lt;0,0,E148)</f>
        <v>0</v>
      </c>
      <c r="H148" s="516">
        <f>IF(E148&gt;0,0,E148*-1)</f>
        <v>0</v>
      </c>
    </row>
    <row r="149" spans="2:8" x14ac:dyDescent="0.2">
      <c r="B149" s="497" t="s">
        <v>1591</v>
      </c>
      <c r="C149" s="511">
        <f>C71*($D$37+$D$56+$D$57)</f>
        <v>0</v>
      </c>
      <c r="D149" s="512">
        <f t="shared" ref="D149:D165" si="5">C71*($E$37+$E$56+$E$57)</f>
        <v>0</v>
      </c>
      <c r="E149" s="507">
        <f t="shared" si="4"/>
        <v>0</v>
      </c>
      <c r="G149" s="247">
        <f>IF(E149&lt;0,0,E149-E192)</f>
        <v>0</v>
      </c>
      <c r="H149" s="516">
        <f>IF(E149&gt;0,0,-E149+E192)</f>
        <v>0</v>
      </c>
    </row>
    <row r="150" spans="2:8" x14ac:dyDescent="0.2">
      <c r="B150" s="497" t="s">
        <v>1592</v>
      </c>
      <c r="C150" s="511">
        <f t="shared" ref="C150:C165" si="6">C72*($D$37+$D$56+$D$57)</f>
        <v>0</v>
      </c>
      <c r="D150" s="512">
        <f t="shared" si="5"/>
        <v>0</v>
      </c>
      <c r="E150" s="507">
        <f t="shared" si="4"/>
        <v>0</v>
      </c>
      <c r="G150" s="247">
        <f t="shared" ref="G150:G174" si="7">IF(E150&lt;0,0,E150)</f>
        <v>0</v>
      </c>
      <c r="H150" s="516">
        <f t="shared" ref="H150:H174" si="8">IF(E150&gt;0,0,E150*-1)</f>
        <v>0</v>
      </c>
    </row>
    <row r="151" spans="2:8" x14ac:dyDescent="0.2">
      <c r="B151" s="497" t="s">
        <v>1593</v>
      </c>
      <c r="C151" s="511">
        <f t="shared" si="6"/>
        <v>0</v>
      </c>
      <c r="D151" s="512">
        <f t="shared" si="5"/>
        <v>0</v>
      </c>
      <c r="E151" s="507">
        <f t="shared" si="4"/>
        <v>0</v>
      </c>
      <c r="G151" s="247">
        <f t="shared" si="7"/>
        <v>0</v>
      </c>
      <c r="H151" s="516">
        <f t="shared" si="8"/>
        <v>0</v>
      </c>
    </row>
    <row r="152" spans="2:8" x14ac:dyDescent="0.2">
      <c r="B152" s="497" t="s">
        <v>1594</v>
      </c>
      <c r="C152" s="511">
        <f t="shared" si="6"/>
        <v>0</v>
      </c>
      <c r="D152" s="512">
        <f t="shared" si="5"/>
        <v>0</v>
      </c>
      <c r="E152" s="507">
        <f t="shared" si="4"/>
        <v>0</v>
      </c>
      <c r="G152" s="247">
        <f t="shared" si="7"/>
        <v>0</v>
      </c>
      <c r="H152" s="516">
        <f t="shared" si="8"/>
        <v>0</v>
      </c>
    </row>
    <row r="153" spans="2:8" x14ac:dyDescent="0.2">
      <c r="B153" s="497" t="s">
        <v>1595</v>
      </c>
      <c r="C153" s="511">
        <f t="shared" si="6"/>
        <v>0</v>
      </c>
      <c r="D153" s="512">
        <f t="shared" si="5"/>
        <v>0</v>
      </c>
      <c r="E153" s="507">
        <f t="shared" si="4"/>
        <v>0</v>
      </c>
      <c r="G153" s="247">
        <f t="shared" si="7"/>
        <v>0</v>
      </c>
      <c r="H153" s="516">
        <f t="shared" si="8"/>
        <v>0</v>
      </c>
    </row>
    <row r="154" spans="2:8" x14ac:dyDescent="0.2">
      <c r="B154" s="497" t="s">
        <v>1596</v>
      </c>
      <c r="C154" s="511">
        <f t="shared" si="6"/>
        <v>0</v>
      </c>
      <c r="D154" s="512">
        <f t="shared" si="5"/>
        <v>0</v>
      </c>
      <c r="E154" s="507">
        <f t="shared" si="4"/>
        <v>0</v>
      </c>
      <c r="G154" s="247">
        <f t="shared" si="7"/>
        <v>0</v>
      </c>
      <c r="H154" s="516">
        <f t="shared" si="8"/>
        <v>0</v>
      </c>
    </row>
    <row r="155" spans="2:8" x14ac:dyDescent="0.2">
      <c r="B155" s="497" t="s">
        <v>1597</v>
      </c>
      <c r="C155" s="511">
        <f t="shared" si="6"/>
        <v>0</v>
      </c>
      <c r="D155" s="512">
        <f t="shared" si="5"/>
        <v>0</v>
      </c>
      <c r="E155" s="507">
        <f t="shared" si="4"/>
        <v>0</v>
      </c>
      <c r="G155" s="247">
        <f t="shared" si="7"/>
        <v>0</v>
      </c>
      <c r="H155" s="516">
        <f t="shared" si="8"/>
        <v>0</v>
      </c>
    </row>
    <row r="156" spans="2:8" x14ac:dyDescent="0.2">
      <c r="B156" s="497" t="s">
        <v>1598</v>
      </c>
      <c r="C156" s="511">
        <f t="shared" si="6"/>
        <v>0</v>
      </c>
      <c r="D156" s="512">
        <f t="shared" si="5"/>
        <v>0</v>
      </c>
      <c r="E156" s="507">
        <f t="shared" si="4"/>
        <v>0</v>
      </c>
      <c r="G156" s="247">
        <f t="shared" si="7"/>
        <v>0</v>
      </c>
      <c r="H156" s="516">
        <f t="shared" si="8"/>
        <v>0</v>
      </c>
    </row>
    <row r="157" spans="2:8" x14ac:dyDescent="0.2">
      <c r="B157" s="497" t="s">
        <v>1599</v>
      </c>
      <c r="C157" s="511">
        <f t="shared" si="6"/>
        <v>0</v>
      </c>
      <c r="D157" s="512">
        <f t="shared" si="5"/>
        <v>0</v>
      </c>
      <c r="E157" s="507">
        <f t="shared" si="4"/>
        <v>0</v>
      </c>
      <c r="G157" s="247">
        <f t="shared" si="7"/>
        <v>0</v>
      </c>
      <c r="H157" s="516">
        <f t="shared" si="8"/>
        <v>0</v>
      </c>
    </row>
    <row r="158" spans="2:8" x14ac:dyDescent="0.2">
      <c r="B158" s="497" t="s">
        <v>1600</v>
      </c>
      <c r="C158" s="511">
        <f t="shared" si="6"/>
        <v>0</v>
      </c>
      <c r="D158" s="512">
        <f t="shared" si="5"/>
        <v>0</v>
      </c>
      <c r="E158" s="507">
        <f t="shared" si="4"/>
        <v>0</v>
      </c>
      <c r="G158" s="247">
        <f t="shared" si="7"/>
        <v>0</v>
      </c>
      <c r="H158" s="516">
        <f t="shared" si="8"/>
        <v>0</v>
      </c>
    </row>
    <row r="159" spans="2:8" x14ac:dyDescent="0.2">
      <c r="B159" s="497" t="s">
        <v>1601</v>
      </c>
      <c r="C159" s="511">
        <f t="shared" si="6"/>
        <v>0</v>
      </c>
      <c r="D159" s="512">
        <f t="shared" si="5"/>
        <v>0</v>
      </c>
      <c r="E159" s="507">
        <f t="shared" si="4"/>
        <v>0</v>
      </c>
      <c r="G159" s="247">
        <f t="shared" si="7"/>
        <v>0</v>
      </c>
      <c r="H159" s="516">
        <f t="shared" si="8"/>
        <v>0</v>
      </c>
    </row>
    <row r="160" spans="2:8" x14ac:dyDescent="0.2">
      <c r="B160" s="497" t="s">
        <v>1602</v>
      </c>
      <c r="C160" s="511">
        <f t="shared" si="6"/>
        <v>0</v>
      </c>
      <c r="D160" s="512">
        <f t="shared" si="5"/>
        <v>0</v>
      </c>
      <c r="E160" s="507">
        <f t="shared" si="4"/>
        <v>0</v>
      </c>
      <c r="G160" s="247">
        <f t="shared" si="7"/>
        <v>0</v>
      </c>
      <c r="H160" s="516">
        <f t="shared" si="8"/>
        <v>0</v>
      </c>
    </row>
    <row r="161" spans="2:8" x14ac:dyDescent="0.2">
      <c r="B161" s="497" t="s">
        <v>1603</v>
      </c>
      <c r="C161" s="511">
        <f t="shared" si="6"/>
        <v>0</v>
      </c>
      <c r="D161" s="512">
        <f t="shared" si="5"/>
        <v>0</v>
      </c>
      <c r="E161" s="507">
        <f t="shared" si="4"/>
        <v>0</v>
      </c>
      <c r="G161" s="247">
        <f t="shared" si="7"/>
        <v>0</v>
      </c>
      <c r="H161" s="516">
        <f t="shared" si="8"/>
        <v>0</v>
      </c>
    </row>
    <row r="162" spans="2:8" x14ac:dyDescent="0.2">
      <c r="B162" s="497" t="s">
        <v>1604</v>
      </c>
      <c r="C162" s="511">
        <f t="shared" si="6"/>
        <v>0</v>
      </c>
      <c r="D162" s="512">
        <f t="shared" si="5"/>
        <v>0</v>
      </c>
      <c r="E162" s="507">
        <f t="shared" si="4"/>
        <v>0</v>
      </c>
      <c r="G162" s="247">
        <f t="shared" si="7"/>
        <v>0</v>
      </c>
      <c r="H162" s="516">
        <f t="shared" si="8"/>
        <v>0</v>
      </c>
    </row>
    <row r="163" spans="2:8" x14ac:dyDescent="0.2">
      <c r="B163" s="497" t="s">
        <v>1605</v>
      </c>
      <c r="C163" s="511">
        <f t="shared" si="6"/>
        <v>0</v>
      </c>
      <c r="D163" s="512">
        <f t="shared" si="5"/>
        <v>0</v>
      </c>
      <c r="E163" s="507">
        <f t="shared" si="4"/>
        <v>0</v>
      </c>
      <c r="G163" s="247">
        <f t="shared" si="7"/>
        <v>0</v>
      </c>
      <c r="H163" s="516">
        <f t="shared" si="8"/>
        <v>0</v>
      </c>
    </row>
    <row r="164" spans="2:8" x14ac:dyDescent="0.2">
      <c r="B164" s="497" t="s">
        <v>1606</v>
      </c>
      <c r="C164" s="511">
        <f t="shared" si="6"/>
        <v>0</v>
      </c>
      <c r="D164" s="512">
        <f t="shared" si="5"/>
        <v>0</v>
      </c>
      <c r="E164" s="507">
        <f t="shared" si="4"/>
        <v>0</v>
      </c>
      <c r="G164" s="247">
        <f t="shared" si="7"/>
        <v>0</v>
      </c>
      <c r="H164" s="516">
        <f t="shared" si="8"/>
        <v>0</v>
      </c>
    </row>
    <row r="165" spans="2:8" x14ac:dyDescent="0.2">
      <c r="B165" s="497" t="s">
        <v>1607</v>
      </c>
      <c r="C165" s="511">
        <f t="shared" si="6"/>
        <v>0</v>
      </c>
      <c r="D165" s="512">
        <f t="shared" si="5"/>
        <v>0</v>
      </c>
      <c r="E165" s="507">
        <f t="shared" si="4"/>
        <v>0</v>
      </c>
      <c r="G165" s="247">
        <f t="shared" si="7"/>
        <v>0</v>
      </c>
      <c r="H165" s="516">
        <f t="shared" si="8"/>
        <v>0</v>
      </c>
    </row>
    <row r="166" spans="2:8" ht="26.25" customHeight="1" x14ac:dyDescent="0.2">
      <c r="B166" s="666" t="s">
        <v>1178</v>
      </c>
      <c r="C166" s="719">
        <f>$C$88*(D46)</f>
        <v>0</v>
      </c>
      <c r="D166" s="512">
        <f>$C$88*(E38+E46)</f>
        <v>0</v>
      </c>
      <c r="E166" s="604">
        <f t="shared" si="4"/>
        <v>0</v>
      </c>
      <c r="G166" s="247">
        <f t="shared" si="7"/>
        <v>0</v>
      </c>
      <c r="H166" s="516">
        <f t="shared" si="8"/>
        <v>0</v>
      </c>
    </row>
    <row r="167" spans="2:8" ht="25.5" x14ac:dyDescent="0.2">
      <c r="B167" s="666" t="s">
        <v>1545</v>
      </c>
      <c r="C167" s="511">
        <f>$C$88*(D47)</f>
        <v>0</v>
      </c>
      <c r="D167" s="512">
        <f>$C$71*(E39+E47)</f>
        <v>0</v>
      </c>
      <c r="E167" s="604">
        <f t="shared" si="4"/>
        <v>0</v>
      </c>
      <c r="G167" s="247">
        <f t="shared" si="7"/>
        <v>0</v>
      </c>
      <c r="H167" s="516">
        <f t="shared" si="8"/>
        <v>0</v>
      </c>
    </row>
    <row r="168" spans="2:8" x14ac:dyDescent="0.2">
      <c r="B168" s="666" t="s">
        <v>1179</v>
      </c>
      <c r="C168" s="511">
        <f>$C$88*(D48)</f>
        <v>0</v>
      </c>
      <c r="D168" s="512">
        <f>$C$88*(E40+E48)</f>
        <v>0</v>
      </c>
      <c r="E168" s="604">
        <f t="shared" si="4"/>
        <v>0</v>
      </c>
      <c r="G168" s="247">
        <f t="shared" si="7"/>
        <v>0</v>
      </c>
      <c r="H168" s="516">
        <f t="shared" si="8"/>
        <v>0</v>
      </c>
    </row>
    <row r="169" spans="2:8" ht="25.5" x14ac:dyDescent="0.2">
      <c r="B169" s="666" t="s">
        <v>1180</v>
      </c>
      <c r="C169" s="511">
        <f>$C$88*(D49)</f>
        <v>0</v>
      </c>
      <c r="D169" s="512">
        <f>$C$88*(E49)</f>
        <v>0</v>
      </c>
      <c r="E169" s="604">
        <f t="shared" si="4"/>
        <v>0</v>
      </c>
      <c r="G169" s="247">
        <f t="shared" si="7"/>
        <v>0</v>
      </c>
      <c r="H169" s="516">
        <f t="shared" si="8"/>
        <v>0</v>
      </c>
    </row>
    <row r="170" spans="2:8" x14ac:dyDescent="0.2">
      <c r="B170" s="666" t="s">
        <v>1181</v>
      </c>
      <c r="C170" s="511">
        <f>$C$88*(D42+D50)</f>
        <v>0</v>
      </c>
      <c r="D170" s="512">
        <f>$C$88*(E42+E50)</f>
        <v>0</v>
      </c>
      <c r="E170" s="604">
        <f t="shared" si="4"/>
        <v>0</v>
      </c>
      <c r="G170" s="247">
        <f t="shared" si="7"/>
        <v>0</v>
      </c>
      <c r="H170" s="516">
        <f t="shared" si="8"/>
        <v>0</v>
      </c>
    </row>
    <row r="171" spans="2:8" ht="25.5" x14ac:dyDescent="0.2">
      <c r="B171" s="666" t="s">
        <v>1182</v>
      </c>
      <c r="C171" s="511">
        <f>$C$88*(D43+D51)</f>
        <v>0</v>
      </c>
      <c r="D171" s="512">
        <f>$C$88*(E51)</f>
        <v>0</v>
      </c>
      <c r="E171" s="604">
        <f t="shared" si="4"/>
        <v>0</v>
      </c>
      <c r="G171" s="247">
        <f t="shared" si="7"/>
        <v>0</v>
      </c>
      <c r="H171" s="516">
        <f t="shared" si="8"/>
        <v>0</v>
      </c>
    </row>
    <row r="172" spans="2:8" x14ac:dyDescent="0.2">
      <c r="B172" s="666" t="s">
        <v>1183</v>
      </c>
      <c r="C172" s="511">
        <f>$C$88*(D44+D52)</f>
        <v>0</v>
      </c>
      <c r="D172" s="512">
        <f>$C$88*(E52)</f>
        <v>0</v>
      </c>
      <c r="E172" s="604">
        <f t="shared" si="4"/>
        <v>0</v>
      </c>
      <c r="G172" s="247">
        <f t="shared" si="7"/>
        <v>0</v>
      </c>
      <c r="H172" s="516">
        <f t="shared" si="8"/>
        <v>0</v>
      </c>
    </row>
    <row r="173" spans="2:8" ht="25.5" x14ac:dyDescent="0.2">
      <c r="B173" s="666" t="s">
        <v>1184</v>
      </c>
      <c r="C173" s="511">
        <f>$C$88*(D45+D53)</f>
        <v>0</v>
      </c>
      <c r="D173" s="512">
        <f>$C$88*(E45+E53)</f>
        <v>0</v>
      </c>
      <c r="E173" s="604">
        <f t="shared" si="4"/>
        <v>0</v>
      </c>
      <c r="G173" s="247">
        <f t="shared" si="7"/>
        <v>0</v>
      </c>
      <c r="H173" s="516">
        <f t="shared" si="8"/>
        <v>0</v>
      </c>
    </row>
    <row r="174" spans="2:8" x14ac:dyDescent="0.2">
      <c r="B174" s="666" t="str">
        <f>B119</f>
        <v>Deferred Outflow - contributions subsequent to the measurement date</v>
      </c>
      <c r="C174" s="719">
        <f>$C$88*$D$54</f>
        <v>0</v>
      </c>
      <c r="D174" s="720">
        <f>$C$88*E54</f>
        <v>0</v>
      </c>
      <c r="E174" s="604">
        <f t="shared" si="4"/>
        <v>0</v>
      </c>
      <c r="G174" s="247">
        <f t="shared" si="7"/>
        <v>0</v>
      </c>
      <c r="H174" s="516">
        <f t="shared" si="8"/>
        <v>0</v>
      </c>
    </row>
    <row r="175" spans="2:8" s="713" customFormat="1" x14ac:dyDescent="0.2">
      <c r="B175" s="497" t="s">
        <v>1608</v>
      </c>
      <c r="C175" s="719"/>
      <c r="D175" s="512">
        <f>C71*$D$54</f>
        <v>0</v>
      </c>
      <c r="E175" s="604">
        <f t="shared" si="4"/>
        <v>0</v>
      </c>
      <c r="G175" s="247">
        <f t="shared" ref="G175:G191" si="9">IF(E175&lt;0,0,E175)</f>
        <v>0</v>
      </c>
      <c r="H175" s="516">
        <f t="shared" ref="H175:H191" si="10">IF(E175&gt;0,0,E175*-1)</f>
        <v>0</v>
      </c>
    </row>
    <row r="176" spans="2:8" s="713" customFormat="1" x14ac:dyDescent="0.2">
      <c r="B176" s="497" t="s">
        <v>1609</v>
      </c>
      <c r="C176" s="719"/>
      <c r="D176" s="512">
        <f t="shared" ref="D176:D191" si="11">C72*$D$54</f>
        <v>0</v>
      </c>
      <c r="E176" s="604">
        <f t="shared" si="4"/>
        <v>0</v>
      </c>
      <c r="G176" s="247">
        <f t="shared" si="9"/>
        <v>0</v>
      </c>
      <c r="H176" s="516">
        <f t="shared" si="10"/>
        <v>0</v>
      </c>
    </row>
    <row r="177" spans="2:8" s="713" customFormat="1" x14ac:dyDescent="0.2">
      <c r="B177" s="497" t="s">
        <v>1610</v>
      </c>
      <c r="C177" s="719"/>
      <c r="D177" s="512">
        <f t="shared" si="11"/>
        <v>0</v>
      </c>
      <c r="E177" s="604">
        <f t="shared" si="4"/>
        <v>0</v>
      </c>
      <c r="G177" s="247">
        <f t="shared" si="9"/>
        <v>0</v>
      </c>
      <c r="H177" s="516">
        <f t="shared" si="10"/>
        <v>0</v>
      </c>
    </row>
    <row r="178" spans="2:8" s="713" customFormat="1" x14ac:dyDescent="0.2">
      <c r="B178" s="497" t="s">
        <v>1611</v>
      </c>
      <c r="C178" s="719"/>
      <c r="D178" s="512">
        <f t="shared" si="11"/>
        <v>0</v>
      </c>
      <c r="E178" s="604">
        <f t="shared" si="4"/>
        <v>0</v>
      </c>
      <c r="G178" s="247">
        <f t="shared" si="9"/>
        <v>0</v>
      </c>
      <c r="H178" s="516">
        <f t="shared" si="10"/>
        <v>0</v>
      </c>
    </row>
    <row r="179" spans="2:8" s="713" customFormat="1" x14ac:dyDescent="0.2">
      <c r="B179" s="497" t="s">
        <v>1612</v>
      </c>
      <c r="C179" s="719"/>
      <c r="D179" s="512">
        <f t="shared" si="11"/>
        <v>0</v>
      </c>
      <c r="E179" s="604">
        <f t="shared" si="4"/>
        <v>0</v>
      </c>
      <c r="G179" s="247">
        <f t="shared" si="9"/>
        <v>0</v>
      </c>
      <c r="H179" s="516">
        <f t="shared" si="10"/>
        <v>0</v>
      </c>
    </row>
    <row r="180" spans="2:8" s="713" customFormat="1" x14ac:dyDescent="0.2">
      <c r="B180" s="497" t="s">
        <v>1613</v>
      </c>
      <c r="C180" s="719"/>
      <c r="D180" s="512">
        <f t="shared" si="11"/>
        <v>0</v>
      </c>
      <c r="E180" s="604">
        <f t="shared" si="4"/>
        <v>0</v>
      </c>
      <c r="G180" s="247">
        <f t="shared" si="9"/>
        <v>0</v>
      </c>
      <c r="H180" s="516">
        <f t="shared" si="10"/>
        <v>0</v>
      </c>
    </row>
    <row r="181" spans="2:8" s="713" customFormat="1" x14ac:dyDescent="0.2">
      <c r="B181" s="497" t="s">
        <v>1614</v>
      </c>
      <c r="C181" s="719"/>
      <c r="D181" s="512">
        <f t="shared" si="11"/>
        <v>0</v>
      </c>
      <c r="E181" s="604">
        <f t="shared" si="4"/>
        <v>0</v>
      </c>
      <c r="G181" s="247">
        <f t="shared" si="9"/>
        <v>0</v>
      </c>
      <c r="H181" s="516">
        <f t="shared" si="10"/>
        <v>0</v>
      </c>
    </row>
    <row r="182" spans="2:8" s="713" customFormat="1" x14ac:dyDescent="0.2">
      <c r="B182" s="497" t="s">
        <v>1615</v>
      </c>
      <c r="C182" s="719"/>
      <c r="D182" s="512">
        <f t="shared" si="11"/>
        <v>0</v>
      </c>
      <c r="E182" s="604">
        <f t="shared" si="4"/>
        <v>0</v>
      </c>
      <c r="G182" s="247">
        <f t="shared" si="9"/>
        <v>0</v>
      </c>
      <c r="H182" s="516">
        <f t="shared" si="10"/>
        <v>0</v>
      </c>
    </row>
    <row r="183" spans="2:8" s="713" customFormat="1" x14ac:dyDescent="0.2">
      <c r="B183" s="497" t="s">
        <v>1616</v>
      </c>
      <c r="C183" s="719"/>
      <c r="D183" s="512">
        <f t="shared" si="11"/>
        <v>0</v>
      </c>
      <c r="E183" s="604">
        <f t="shared" si="4"/>
        <v>0</v>
      </c>
      <c r="G183" s="247">
        <f t="shared" si="9"/>
        <v>0</v>
      </c>
      <c r="H183" s="516">
        <f t="shared" si="10"/>
        <v>0</v>
      </c>
    </row>
    <row r="184" spans="2:8" s="713" customFormat="1" x14ac:dyDescent="0.2">
      <c r="B184" s="497" t="s">
        <v>1617</v>
      </c>
      <c r="C184" s="719"/>
      <c r="D184" s="512">
        <f t="shared" si="11"/>
        <v>0</v>
      </c>
      <c r="E184" s="604">
        <f t="shared" si="4"/>
        <v>0</v>
      </c>
      <c r="G184" s="247">
        <f t="shared" si="9"/>
        <v>0</v>
      </c>
      <c r="H184" s="516">
        <f t="shared" si="10"/>
        <v>0</v>
      </c>
    </row>
    <row r="185" spans="2:8" s="713" customFormat="1" x14ac:dyDescent="0.2">
      <c r="B185" s="497" t="s">
        <v>1618</v>
      </c>
      <c r="C185" s="719"/>
      <c r="D185" s="512">
        <f t="shared" si="11"/>
        <v>0</v>
      </c>
      <c r="E185" s="604">
        <f t="shared" si="4"/>
        <v>0</v>
      </c>
      <c r="G185" s="247">
        <f t="shared" si="9"/>
        <v>0</v>
      </c>
      <c r="H185" s="516">
        <f t="shared" si="10"/>
        <v>0</v>
      </c>
    </row>
    <row r="186" spans="2:8" s="713" customFormat="1" x14ac:dyDescent="0.2">
      <c r="B186" s="497" t="s">
        <v>1619</v>
      </c>
      <c r="C186" s="719"/>
      <c r="D186" s="512">
        <f t="shared" si="11"/>
        <v>0</v>
      </c>
      <c r="E186" s="604">
        <f t="shared" si="4"/>
        <v>0</v>
      </c>
      <c r="G186" s="247">
        <f t="shared" si="9"/>
        <v>0</v>
      </c>
      <c r="H186" s="516">
        <f t="shared" si="10"/>
        <v>0</v>
      </c>
    </row>
    <row r="187" spans="2:8" s="713" customFormat="1" x14ac:dyDescent="0.2">
      <c r="B187" s="497" t="s">
        <v>1620</v>
      </c>
      <c r="C187" s="719"/>
      <c r="D187" s="512">
        <f t="shared" si="11"/>
        <v>0</v>
      </c>
      <c r="E187" s="604">
        <f t="shared" si="4"/>
        <v>0</v>
      </c>
      <c r="G187" s="247">
        <f t="shared" si="9"/>
        <v>0</v>
      </c>
      <c r="H187" s="516">
        <f t="shared" si="10"/>
        <v>0</v>
      </c>
    </row>
    <row r="188" spans="2:8" s="713" customFormat="1" x14ac:dyDescent="0.2">
      <c r="B188" s="497" t="s">
        <v>1621</v>
      </c>
      <c r="C188" s="719"/>
      <c r="D188" s="512">
        <f t="shared" si="11"/>
        <v>0</v>
      </c>
      <c r="E188" s="604">
        <f t="shared" si="4"/>
        <v>0</v>
      </c>
      <c r="G188" s="247">
        <f t="shared" si="9"/>
        <v>0</v>
      </c>
      <c r="H188" s="516">
        <f t="shared" si="10"/>
        <v>0</v>
      </c>
    </row>
    <row r="189" spans="2:8" s="713" customFormat="1" x14ac:dyDescent="0.2">
      <c r="B189" s="497" t="s">
        <v>1622</v>
      </c>
      <c r="C189" s="719"/>
      <c r="D189" s="512">
        <f t="shared" si="11"/>
        <v>0</v>
      </c>
      <c r="E189" s="604">
        <f t="shared" si="4"/>
        <v>0</v>
      </c>
      <c r="G189" s="247">
        <f t="shared" si="9"/>
        <v>0</v>
      </c>
      <c r="H189" s="516">
        <f t="shared" si="10"/>
        <v>0</v>
      </c>
    </row>
    <row r="190" spans="2:8" s="713" customFormat="1" x14ac:dyDescent="0.2">
      <c r="B190" s="497" t="s">
        <v>1623</v>
      </c>
      <c r="C190" s="719"/>
      <c r="D190" s="512">
        <f t="shared" si="11"/>
        <v>0</v>
      </c>
      <c r="E190" s="604">
        <f t="shared" si="4"/>
        <v>0</v>
      </c>
      <c r="G190" s="247">
        <f t="shared" si="9"/>
        <v>0</v>
      </c>
      <c r="H190" s="516">
        <f t="shared" si="10"/>
        <v>0</v>
      </c>
    </row>
    <row r="191" spans="2:8" s="713" customFormat="1" x14ac:dyDescent="0.2">
      <c r="B191" s="497" t="s">
        <v>1624</v>
      </c>
      <c r="C191" s="719"/>
      <c r="D191" s="512">
        <f t="shared" si="11"/>
        <v>0</v>
      </c>
      <c r="E191" s="604">
        <f t="shared" si="4"/>
        <v>0</v>
      </c>
      <c r="G191" s="247">
        <f t="shared" si="9"/>
        <v>0</v>
      </c>
      <c r="H191" s="516">
        <f t="shared" si="10"/>
        <v>0</v>
      </c>
    </row>
    <row r="192" spans="2:8" x14ac:dyDescent="0.2">
      <c r="C192" s="513">
        <f>SUM(C147:C191)</f>
        <v>0</v>
      </c>
      <c r="D192" s="514">
        <f>SUM(D147:D191)</f>
        <v>0</v>
      </c>
      <c r="E192" s="508">
        <f>SUM(E147:E191)</f>
        <v>0</v>
      </c>
      <c r="G192" s="513">
        <f>SUM(G147:G191)</f>
        <v>0</v>
      </c>
      <c r="H192" s="514">
        <f>SUM(H147:H191)</f>
        <v>0</v>
      </c>
    </row>
    <row r="194" spans="4:4" x14ac:dyDescent="0.2">
      <c r="D194" s="5"/>
    </row>
    <row r="195" spans="4:4" x14ac:dyDescent="0.2">
      <c r="D195" s="5"/>
    </row>
    <row r="196" spans="4:4" x14ac:dyDescent="0.2">
      <c r="D196" s="464"/>
    </row>
  </sheetData>
  <sheetProtection algorithmName="SHA-512" hashValue="QiPAzkdaXkrqHF7q07WFsqVfLMpEywGGGjCulWS4nvxYMBxV8LENfX1dlZISezbuNHNcagD3jJnWV61OeqCOVw==" saltValue="TuEr3zoyCeHlVgaQaVHS8g==" spinCount="100000" sheet="1" objects="1" scenarios="1"/>
  <mergeCells count="6">
    <mergeCell ref="G144:H144"/>
    <mergeCell ref="A2:C2"/>
    <mergeCell ref="A5:C5"/>
    <mergeCell ref="B63:I63"/>
    <mergeCell ref="B65:E65"/>
    <mergeCell ref="B142:H143"/>
  </mergeCells>
  <conditionalFormatting sqref="B36:E43 C51:E53 B54:E55 B57:E58 B56:C56">
    <cfRule type="expression" dxfId="11" priority="12">
      <formula>#REF!=2</formula>
    </cfRule>
  </conditionalFormatting>
  <conditionalFormatting sqref="B44">
    <cfRule type="expression" dxfId="10" priority="11">
      <formula>#REF!=2</formula>
    </cfRule>
  </conditionalFormatting>
  <conditionalFormatting sqref="E48:E50">
    <cfRule type="expression" dxfId="9" priority="10">
      <formula>#REF!=2</formula>
    </cfRule>
  </conditionalFormatting>
  <conditionalFormatting sqref="C44:E44">
    <cfRule type="expression" dxfId="8" priority="9">
      <formula>#REF!=2</formula>
    </cfRule>
  </conditionalFormatting>
  <conditionalFormatting sqref="B45">
    <cfRule type="expression" dxfId="7" priority="8">
      <formula>#REF!=2</formula>
    </cfRule>
  </conditionalFormatting>
  <conditionalFormatting sqref="C45:C50">
    <cfRule type="expression" dxfId="6" priority="7">
      <formula>#REF!=2</formula>
    </cfRule>
  </conditionalFormatting>
  <conditionalFormatting sqref="D45:D50">
    <cfRule type="expression" dxfId="5" priority="6">
      <formula>#REF!=2</formula>
    </cfRule>
  </conditionalFormatting>
  <conditionalFormatting sqref="E45:E47">
    <cfRule type="expression" dxfId="4" priority="5">
      <formula>#REF!=2</formula>
    </cfRule>
  </conditionalFormatting>
  <conditionalFormatting sqref="B46:B51">
    <cfRule type="expression" dxfId="3" priority="4">
      <formula>#REF!=2</formula>
    </cfRule>
  </conditionalFormatting>
  <conditionalFormatting sqref="B52">
    <cfRule type="expression" dxfId="2" priority="3">
      <formula>#REF!=2</formula>
    </cfRule>
  </conditionalFormatting>
  <conditionalFormatting sqref="B53">
    <cfRule type="expression" dxfId="1" priority="2">
      <formula>#REF!=2</formula>
    </cfRule>
  </conditionalFormatting>
  <conditionalFormatting sqref="D56:E56">
    <cfRule type="expression" dxfId="0" priority="1">
      <formula>#REF!=2</formula>
    </cfRule>
  </conditionalFormatting>
  <pageMargins left="0.7" right="0.7" top="0.75" bottom="0.75" header="0.3" footer="0.3"/>
  <pageSetup scale="81" fitToHeight="0"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'La. 2018 DIPNC Summary'!$B$302:$B$597</xm:f>
          </x14:formula1>
          <xm:sqref>C14</xm:sqref>
        </x14:dataValidation>
      </x14:dataValidation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597"/>
  <sheetViews>
    <sheetView zoomScale="80" zoomScaleNormal="80" workbookViewId="0">
      <pane xSplit="2" ySplit="2" topLeftCell="C3" activePane="bottomRight" state="frozen"/>
      <selection pane="topRight" activeCell="C1" sqref="C1"/>
      <selection pane="bottomLeft" activeCell="A3" sqref="A3"/>
      <selection pane="bottomRight" activeCell="L7" sqref="L7"/>
    </sheetView>
  </sheetViews>
  <sheetFormatPr defaultColWidth="9.140625" defaultRowHeight="15" x14ac:dyDescent="0.25"/>
  <cols>
    <col min="1" max="1" width="15.28515625" style="681" customWidth="1"/>
    <col min="2" max="2" width="69.7109375" style="681" customWidth="1"/>
    <col min="3" max="5" width="13.85546875" style="681" customWidth="1"/>
    <col min="6" max="6" width="18.28515625" style="683" customWidth="1"/>
    <col min="7" max="7" width="18.28515625" style="681" customWidth="1"/>
    <col min="8" max="8" width="3.85546875" style="681" customWidth="1"/>
    <col min="9" max="9" width="18.28515625" style="681" customWidth="1"/>
    <col min="10" max="10" width="20" style="681" customWidth="1"/>
    <col min="11" max="11" width="15.5703125" style="681" customWidth="1"/>
    <col min="12" max="12" width="19.42578125" style="681" customWidth="1"/>
    <col min="13" max="13" width="3.85546875" style="681" customWidth="1"/>
    <col min="14" max="14" width="18.28515625" style="681" customWidth="1"/>
    <col min="15" max="15" width="20" style="681" customWidth="1"/>
    <col min="16" max="16" width="14.42578125" style="681" customWidth="1"/>
    <col min="17" max="17" width="19.42578125" style="681" customWidth="1"/>
    <col min="18" max="18" width="3.85546875" style="681" customWidth="1"/>
    <col min="19" max="19" width="15" style="681" customWidth="1"/>
    <col min="20" max="20" width="22.42578125" style="681" customWidth="1"/>
    <col min="21" max="21" width="14.85546875" style="681" bestFit="1" customWidth="1"/>
    <col min="22" max="16384" width="9.140625" style="681"/>
  </cols>
  <sheetData>
    <row r="1" spans="1:21" x14ac:dyDescent="0.25">
      <c r="C1" s="682"/>
      <c r="D1" s="682"/>
      <c r="E1" s="682"/>
      <c r="I1" s="684" t="s">
        <v>762</v>
      </c>
      <c r="J1" s="684"/>
      <c r="K1" s="684"/>
      <c r="L1" s="684"/>
      <c r="N1" s="684" t="s">
        <v>763</v>
      </c>
      <c r="O1" s="684"/>
      <c r="P1" s="684"/>
      <c r="Q1" s="684"/>
      <c r="S1" s="684" t="s">
        <v>764</v>
      </c>
      <c r="T1" s="684"/>
      <c r="U1" s="684"/>
    </row>
    <row r="2" spans="1:21" ht="135" x14ac:dyDescent="0.25">
      <c r="A2" s="685" t="s">
        <v>765</v>
      </c>
      <c r="B2" s="685" t="s">
        <v>766</v>
      </c>
      <c r="C2" s="685" t="s">
        <v>1112</v>
      </c>
      <c r="D2" s="685" t="s">
        <v>1113</v>
      </c>
      <c r="E2" s="685" t="s">
        <v>1544</v>
      </c>
      <c r="F2" s="686" t="s">
        <v>1192</v>
      </c>
      <c r="G2" s="685" t="s">
        <v>1193</v>
      </c>
      <c r="H2" s="685"/>
      <c r="I2" s="685" t="s">
        <v>768</v>
      </c>
      <c r="J2" s="685" t="s">
        <v>769</v>
      </c>
      <c r="K2" s="685" t="s">
        <v>770</v>
      </c>
      <c r="L2" s="685" t="s">
        <v>771</v>
      </c>
      <c r="M2" s="685"/>
      <c r="N2" s="685" t="s">
        <v>768</v>
      </c>
      <c r="O2" s="685" t="s">
        <v>769</v>
      </c>
      <c r="P2" s="685" t="s">
        <v>770</v>
      </c>
      <c r="Q2" s="685" t="s">
        <v>771</v>
      </c>
      <c r="R2" s="685"/>
      <c r="S2" s="685" t="s">
        <v>1526</v>
      </c>
      <c r="T2" s="685" t="s">
        <v>773</v>
      </c>
      <c r="U2" s="685" t="s">
        <v>1202</v>
      </c>
    </row>
    <row r="3" spans="1:21" x14ac:dyDescent="0.25">
      <c r="A3" s="687" t="s">
        <v>521</v>
      </c>
      <c r="B3" s="688" t="s">
        <v>1527</v>
      </c>
      <c r="C3" s="689">
        <v>0</v>
      </c>
      <c r="D3" s="689">
        <v>0</v>
      </c>
      <c r="E3" s="689">
        <v>0</v>
      </c>
      <c r="F3" s="689">
        <v>0</v>
      </c>
      <c r="G3" s="689">
        <v>0</v>
      </c>
      <c r="H3" s="685"/>
      <c r="I3" s="689">
        <v>0</v>
      </c>
      <c r="J3" s="689">
        <v>0</v>
      </c>
      <c r="K3" s="689">
        <v>0</v>
      </c>
      <c r="L3" s="689">
        <v>0</v>
      </c>
      <c r="M3" s="685"/>
      <c r="N3" s="689">
        <v>0</v>
      </c>
      <c r="O3" s="689">
        <v>0</v>
      </c>
      <c r="P3" s="689">
        <v>0</v>
      </c>
      <c r="Q3" s="689">
        <v>0</v>
      </c>
      <c r="R3" s="685"/>
      <c r="S3" s="689">
        <v>0</v>
      </c>
      <c r="T3" s="689">
        <v>0</v>
      </c>
      <c r="U3" s="689">
        <v>0</v>
      </c>
    </row>
    <row r="4" spans="1:21" x14ac:dyDescent="0.25">
      <c r="A4" s="690">
        <v>10200</v>
      </c>
      <c r="B4" s="691" t="s">
        <v>775</v>
      </c>
      <c r="C4" s="692">
        <v>9.6029999999999998E-4</v>
      </c>
      <c r="D4" s="692">
        <v>9.8879999999999997E-4</v>
      </c>
      <c r="E4" s="689">
        <v>55028</v>
      </c>
      <c r="F4" s="693">
        <v>-61404</v>
      </c>
      <c r="G4" s="693">
        <v>-58694</v>
      </c>
      <c r="H4" s="693"/>
      <c r="I4" s="689">
        <v>16093</v>
      </c>
      <c r="J4" s="689">
        <v>12865</v>
      </c>
      <c r="K4" s="689">
        <v>0</v>
      </c>
      <c r="L4" s="693">
        <v>0</v>
      </c>
      <c r="M4" s="693"/>
      <c r="N4" s="689">
        <v>0</v>
      </c>
      <c r="O4" s="689">
        <v>0</v>
      </c>
      <c r="P4" s="689">
        <v>0</v>
      </c>
      <c r="Q4" s="693">
        <v>1802</v>
      </c>
      <c r="R4" s="693"/>
      <c r="S4" s="689">
        <v>31184</v>
      </c>
      <c r="T4" s="694">
        <v>-601</v>
      </c>
      <c r="U4" s="694">
        <v>30583</v>
      </c>
    </row>
    <row r="5" spans="1:21" x14ac:dyDescent="0.25">
      <c r="A5" s="690">
        <v>10400</v>
      </c>
      <c r="B5" s="691" t="s">
        <v>776</v>
      </c>
      <c r="C5" s="692">
        <v>2.8278000000000001E-3</v>
      </c>
      <c r="D5" s="692">
        <v>2.8936000000000001E-3</v>
      </c>
      <c r="E5" s="689">
        <v>188627</v>
      </c>
      <c r="F5" s="693">
        <v>-179693</v>
      </c>
      <c r="G5" s="693">
        <v>-172835</v>
      </c>
      <c r="H5" s="693"/>
      <c r="I5" s="689">
        <v>47388</v>
      </c>
      <c r="J5" s="689">
        <v>37884</v>
      </c>
      <c r="K5" s="689">
        <v>0</v>
      </c>
      <c r="L5" s="693">
        <v>13789</v>
      </c>
      <c r="M5" s="693"/>
      <c r="N5" s="689">
        <v>0</v>
      </c>
      <c r="O5" s="689">
        <v>0</v>
      </c>
      <c r="P5" s="689">
        <v>0</v>
      </c>
      <c r="Q5" s="693">
        <v>0</v>
      </c>
      <c r="R5" s="693"/>
      <c r="S5" s="689">
        <v>91827</v>
      </c>
      <c r="T5" s="694">
        <v>4596</v>
      </c>
      <c r="U5" s="694">
        <v>96424</v>
      </c>
    </row>
    <row r="6" spans="1:21" x14ac:dyDescent="0.25">
      <c r="A6" s="690">
        <v>10500</v>
      </c>
      <c r="B6" s="691" t="s">
        <v>777</v>
      </c>
      <c r="C6" s="692">
        <v>7.0100000000000002E-4</v>
      </c>
      <c r="D6" s="692">
        <v>6.6390000000000004E-4</v>
      </c>
      <c r="E6" s="689">
        <v>40465</v>
      </c>
      <c r="F6" s="693">
        <v>-41228</v>
      </c>
      <c r="G6" s="693">
        <v>-42845.120000000003</v>
      </c>
      <c r="H6" s="693"/>
      <c r="I6" s="689">
        <v>11747</v>
      </c>
      <c r="J6" s="689">
        <v>9391</v>
      </c>
      <c r="K6" s="689">
        <v>0</v>
      </c>
      <c r="L6" s="693">
        <v>0</v>
      </c>
      <c r="M6" s="693"/>
      <c r="N6" s="689">
        <v>0</v>
      </c>
      <c r="O6" s="689">
        <v>0</v>
      </c>
      <c r="P6" s="689">
        <v>0</v>
      </c>
      <c r="Q6" s="693">
        <v>3791</v>
      </c>
      <c r="R6" s="693"/>
      <c r="S6" s="689">
        <v>22764</v>
      </c>
      <c r="T6" s="694">
        <v>-1264</v>
      </c>
      <c r="U6" s="694">
        <v>21500</v>
      </c>
    </row>
    <row r="7" spans="1:21" x14ac:dyDescent="0.25">
      <c r="A7" s="690">
        <v>10700</v>
      </c>
      <c r="B7" s="691" t="s">
        <v>1528</v>
      </c>
      <c r="C7" s="692">
        <v>4.0867000000000004E-3</v>
      </c>
      <c r="D7" s="692">
        <v>4.0207999999999997E-3</v>
      </c>
      <c r="E7" s="689">
        <v>279735</v>
      </c>
      <c r="F7" s="693">
        <v>-249692</v>
      </c>
      <c r="G7" s="693">
        <v>-249779</v>
      </c>
      <c r="H7" s="693"/>
      <c r="I7" s="689">
        <v>68485</v>
      </c>
      <c r="J7" s="689">
        <v>54750</v>
      </c>
      <c r="K7" s="689">
        <v>0</v>
      </c>
      <c r="L7" s="693">
        <v>17779</v>
      </c>
      <c r="M7" s="693"/>
      <c r="N7" s="689">
        <v>0</v>
      </c>
      <c r="O7" s="689">
        <v>0</v>
      </c>
      <c r="P7" s="689">
        <v>0</v>
      </c>
      <c r="Q7" s="693">
        <v>0</v>
      </c>
      <c r="R7" s="693"/>
      <c r="S7" s="689">
        <v>132707</v>
      </c>
      <c r="T7" s="694">
        <v>5926</v>
      </c>
      <c r="U7" s="694">
        <v>138634</v>
      </c>
    </row>
    <row r="8" spans="1:21" x14ac:dyDescent="0.25">
      <c r="A8" s="690">
        <v>10800</v>
      </c>
      <c r="B8" s="691" t="s">
        <v>779</v>
      </c>
      <c r="C8" s="692">
        <v>1.74542E-2</v>
      </c>
      <c r="D8" s="692">
        <v>1.69856E-2</v>
      </c>
      <c r="E8" s="689">
        <v>1172145</v>
      </c>
      <c r="F8" s="693">
        <v>-1054806</v>
      </c>
      <c r="G8" s="693">
        <v>-1066801</v>
      </c>
      <c r="H8" s="693"/>
      <c r="I8" s="689">
        <v>292497</v>
      </c>
      <c r="J8" s="689">
        <v>233834</v>
      </c>
      <c r="K8" s="689">
        <v>0</v>
      </c>
      <c r="L8" s="693">
        <v>50271</v>
      </c>
      <c r="M8" s="693"/>
      <c r="N8" s="689">
        <v>0</v>
      </c>
      <c r="O8" s="689">
        <v>0</v>
      </c>
      <c r="P8" s="689">
        <v>0</v>
      </c>
      <c r="Q8" s="693">
        <v>0</v>
      </c>
      <c r="R8" s="693"/>
      <c r="S8" s="689">
        <v>566790</v>
      </c>
      <c r="T8" s="694">
        <v>16757</v>
      </c>
      <c r="U8" s="694">
        <v>583547</v>
      </c>
    </row>
    <row r="9" spans="1:21" x14ac:dyDescent="0.25">
      <c r="A9" s="690">
        <v>10850</v>
      </c>
      <c r="B9" s="691" t="s">
        <v>780</v>
      </c>
      <c r="C9" s="692">
        <v>1.292E-4</v>
      </c>
      <c r="D9" s="692">
        <v>1.1900000000000001E-4</v>
      </c>
      <c r="E9" s="689">
        <v>11879</v>
      </c>
      <c r="F9" s="693">
        <v>-7390</v>
      </c>
      <c r="G9" s="693">
        <v>-7897</v>
      </c>
      <c r="H9" s="693"/>
      <c r="I9" s="689">
        <v>2165</v>
      </c>
      <c r="J9" s="689">
        <v>1731</v>
      </c>
      <c r="K9" s="689">
        <v>0</v>
      </c>
      <c r="L9" s="693">
        <v>2460</v>
      </c>
      <c r="M9" s="693"/>
      <c r="N9" s="689">
        <v>0</v>
      </c>
      <c r="O9" s="689">
        <v>0</v>
      </c>
      <c r="P9" s="689">
        <v>0</v>
      </c>
      <c r="Q9" s="693">
        <v>0</v>
      </c>
      <c r="R9" s="693"/>
      <c r="S9" s="689">
        <v>4196</v>
      </c>
      <c r="T9" s="694">
        <v>820</v>
      </c>
      <c r="U9" s="694">
        <v>5016</v>
      </c>
    </row>
    <row r="10" spans="1:21" x14ac:dyDescent="0.25">
      <c r="A10" s="690">
        <v>10900</v>
      </c>
      <c r="B10" s="691" t="s">
        <v>781</v>
      </c>
      <c r="C10" s="692">
        <v>1.5231999999999999E-3</v>
      </c>
      <c r="D10" s="692">
        <v>1.6461E-3</v>
      </c>
      <c r="E10" s="689">
        <v>122380</v>
      </c>
      <c r="F10" s="693">
        <v>-102223</v>
      </c>
      <c r="G10" s="693">
        <v>-93098</v>
      </c>
      <c r="H10" s="693"/>
      <c r="I10" s="689">
        <v>25526</v>
      </c>
      <c r="J10" s="689">
        <v>20406</v>
      </c>
      <c r="K10" s="689">
        <v>0</v>
      </c>
      <c r="L10" s="693">
        <v>27083</v>
      </c>
      <c r="M10" s="693"/>
      <c r="N10" s="689">
        <v>0</v>
      </c>
      <c r="O10" s="689">
        <v>0</v>
      </c>
      <c r="P10" s="689">
        <v>0</v>
      </c>
      <c r="Q10" s="693">
        <v>0</v>
      </c>
      <c r="R10" s="693"/>
      <c r="S10" s="689">
        <v>49463</v>
      </c>
      <c r="T10" s="694">
        <v>9028</v>
      </c>
      <c r="U10" s="694">
        <v>58490</v>
      </c>
    </row>
    <row r="11" spans="1:21" x14ac:dyDescent="0.25">
      <c r="A11" s="690">
        <v>10910</v>
      </c>
      <c r="B11" s="691" t="s">
        <v>782</v>
      </c>
      <c r="C11" s="692">
        <v>2.6190000000000002E-4</v>
      </c>
      <c r="D11" s="692">
        <v>2.3949999999999999E-4</v>
      </c>
      <c r="E11" s="689">
        <v>15737</v>
      </c>
      <c r="F11" s="693">
        <v>-14873</v>
      </c>
      <c r="G11" s="693">
        <v>-16007</v>
      </c>
      <c r="H11" s="693"/>
      <c r="I11" s="689">
        <v>4389</v>
      </c>
      <c r="J11" s="689">
        <v>3509</v>
      </c>
      <c r="K11" s="689">
        <v>0</v>
      </c>
      <c r="L11" s="693">
        <v>0</v>
      </c>
      <c r="M11" s="693"/>
      <c r="N11" s="689">
        <v>0</v>
      </c>
      <c r="O11" s="689">
        <v>0</v>
      </c>
      <c r="P11" s="689">
        <v>0</v>
      </c>
      <c r="Q11" s="693">
        <v>1350</v>
      </c>
      <c r="R11" s="693"/>
      <c r="S11" s="689">
        <v>8505</v>
      </c>
      <c r="T11" s="694">
        <v>-450</v>
      </c>
      <c r="U11" s="694">
        <v>8055</v>
      </c>
    </row>
    <row r="12" spans="1:21" x14ac:dyDescent="0.25">
      <c r="A12" s="690">
        <v>10930</v>
      </c>
      <c r="B12" s="691" t="s">
        <v>783</v>
      </c>
      <c r="C12" s="692">
        <v>2.3619000000000001E-3</v>
      </c>
      <c r="D12" s="692">
        <v>2.1821000000000002E-3</v>
      </c>
      <c r="E12" s="689">
        <v>175276</v>
      </c>
      <c r="F12" s="693">
        <v>-135508</v>
      </c>
      <c r="G12" s="693">
        <v>-144359</v>
      </c>
      <c r="H12" s="693"/>
      <c r="I12" s="689">
        <v>39581</v>
      </c>
      <c r="J12" s="689">
        <v>31642</v>
      </c>
      <c r="K12" s="689">
        <v>0</v>
      </c>
      <c r="L12" s="693">
        <v>13878</v>
      </c>
      <c r="M12" s="693"/>
      <c r="N12" s="689">
        <v>0</v>
      </c>
      <c r="O12" s="689">
        <v>0</v>
      </c>
      <c r="P12" s="689">
        <v>0</v>
      </c>
      <c r="Q12" s="693">
        <v>0</v>
      </c>
      <c r="R12" s="693"/>
      <c r="S12" s="689">
        <v>76698</v>
      </c>
      <c r="T12" s="694">
        <v>4626</v>
      </c>
      <c r="U12" s="694">
        <v>81324</v>
      </c>
    </row>
    <row r="13" spans="1:21" x14ac:dyDescent="0.25">
      <c r="A13" s="690">
        <v>10940</v>
      </c>
      <c r="B13" s="691" t="s">
        <v>784</v>
      </c>
      <c r="C13" s="692">
        <v>5.8889999999999995E-4</v>
      </c>
      <c r="D13" s="692">
        <v>6.0190000000000005E-4</v>
      </c>
      <c r="E13" s="689">
        <v>44236</v>
      </c>
      <c r="F13" s="693">
        <v>-37378</v>
      </c>
      <c r="G13" s="693">
        <v>-35994</v>
      </c>
      <c r="H13" s="693"/>
      <c r="I13" s="689">
        <v>9869</v>
      </c>
      <c r="J13" s="689">
        <v>7889</v>
      </c>
      <c r="K13" s="689">
        <v>0</v>
      </c>
      <c r="L13" s="693">
        <v>6554</v>
      </c>
      <c r="M13" s="693"/>
      <c r="N13" s="689">
        <v>0</v>
      </c>
      <c r="O13" s="689">
        <v>0</v>
      </c>
      <c r="P13" s="689">
        <v>0</v>
      </c>
      <c r="Q13" s="693">
        <v>0</v>
      </c>
      <c r="R13" s="693"/>
      <c r="S13" s="689">
        <v>19123</v>
      </c>
      <c r="T13" s="694">
        <v>2185</v>
      </c>
      <c r="U13" s="694">
        <v>21308</v>
      </c>
    </row>
    <row r="14" spans="1:21" x14ac:dyDescent="0.25">
      <c r="A14" s="690">
        <v>10950</v>
      </c>
      <c r="B14" s="691" t="s">
        <v>785</v>
      </c>
      <c r="C14" s="692">
        <v>7.5250000000000002E-4</v>
      </c>
      <c r="D14" s="692">
        <v>7.7360000000000005E-4</v>
      </c>
      <c r="E14" s="689">
        <v>48129</v>
      </c>
      <c r="F14" s="693">
        <v>-48041</v>
      </c>
      <c r="G14" s="693">
        <v>-45992.800000000003</v>
      </c>
      <c r="H14" s="693"/>
      <c r="I14" s="689">
        <v>12610</v>
      </c>
      <c r="J14" s="689">
        <v>10081</v>
      </c>
      <c r="K14" s="689">
        <v>0</v>
      </c>
      <c r="L14" s="693">
        <v>2287</v>
      </c>
      <c r="M14" s="693"/>
      <c r="N14" s="689">
        <v>0</v>
      </c>
      <c r="O14" s="689">
        <v>0</v>
      </c>
      <c r="P14" s="689">
        <v>0</v>
      </c>
      <c r="Q14" s="693">
        <v>0</v>
      </c>
      <c r="R14" s="693"/>
      <c r="S14" s="689">
        <v>24436</v>
      </c>
      <c r="T14" s="694">
        <v>762</v>
      </c>
      <c r="U14" s="694">
        <v>25198.125</v>
      </c>
    </row>
    <row r="15" spans="1:21" x14ac:dyDescent="0.25">
      <c r="A15" s="690">
        <v>11300</v>
      </c>
      <c r="B15" s="691" t="s">
        <v>786</v>
      </c>
      <c r="C15" s="692">
        <v>4.1510000000000002E-3</v>
      </c>
      <c r="D15" s="692">
        <v>4.5649999999999996E-3</v>
      </c>
      <c r="E15" s="689">
        <v>308429</v>
      </c>
      <c r="F15" s="693">
        <v>-283487</v>
      </c>
      <c r="G15" s="693">
        <v>-253709</v>
      </c>
      <c r="H15" s="693"/>
      <c r="I15" s="689">
        <v>69562</v>
      </c>
      <c r="J15" s="689">
        <v>55611</v>
      </c>
      <c r="K15" s="689">
        <v>0</v>
      </c>
      <c r="L15" s="693">
        <v>58679</v>
      </c>
      <c r="M15" s="693"/>
      <c r="N15" s="689">
        <v>0</v>
      </c>
      <c r="O15" s="689">
        <v>0</v>
      </c>
      <c r="P15" s="689">
        <v>0</v>
      </c>
      <c r="Q15" s="693">
        <v>0</v>
      </c>
      <c r="R15" s="693"/>
      <c r="S15" s="689">
        <v>134795</v>
      </c>
      <c r="T15" s="694">
        <v>19560</v>
      </c>
      <c r="U15" s="694">
        <v>154355</v>
      </c>
    </row>
    <row r="16" spans="1:21" x14ac:dyDescent="0.25">
      <c r="A16" s="690">
        <v>11310</v>
      </c>
      <c r="B16" s="691" t="s">
        <v>787</v>
      </c>
      <c r="C16" s="692">
        <v>4.4979999999999998E-4</v>
      </c>
      <c r="D16" s="692">
        <v>4.3340000000000002E-4</v>
      </c>
      <c r="E16" s="689">
        <v>32828</v>
      </c>
      <c r="F16" s="693">
        <v>-26914</v>
      </c>
      <c r="G16" s="693">
        <v>-27492</v>
      </c>
      <c r="H16" s="693"/>
      <c r="I16" s="689">
        <v>7538</v>
      </c>
      <c r="J16" s="689">
        <v>6026</v>
      </c>
      <c r="K16" s="689">
        <v>0</v>
      </c>
      <c r="L16" s="693">
        <v>3060</v>
      </c>
      <c r="M16" s="693"/>
      <c r="N16" s="689">
        <v>0</v>
      </c>
      <c r="O16" s="689">
        <v>0</v>
      </c>
      <c r="P16" s="689">
        <v>0</v>
      </c>
      <c r="Q16" s="693">
        <v>0</v>
      </c>
      <c r="R16" s="693"/>
      <c r="S16" s="689">
        <v>14606</v>
      </c>
      <c r="T16" s="694">
        <v>1020</v>
      </c>
      <c r="U16" s="694">
        <v>15627</v>
      </c>
    </row>
    <row r="17" spans="1:21" x14ac:dyDescent="0.25">
      <c r="A17" s="690">
        <v>11600</v>
      </c>
      <c r="B17" s="691" t="s">
        <v>788</v>
      </c>
      <c r="C17" s="692">
        <v>1.9070999999999999E-3</v>
      </c>
      <c r="D17" s="692">
        <v>1.8975000000000001E-3</v>
      </c>
      <c r="E17" s="689">
        <v>118248</v>
      </c>
      <c r="F17" s="693">
        <v>-117835</v>
      </c>
      <c r="G17" s="693">
        <v>-116562</v>
      </c>
      <c r="H17" s="693"/>
      <c r="I17" s="689">
        <v>31959</v>
      </c>
      <c r="J17" s="689">
        <v>25549</v>
      </c>
      <c r="K17" s="689">
        <v>0</v>
      </c>
      <c r="L17" s="693">
        <v>62</v>
      </c>
      <c r="M17" s="693"/>
      <c r="N17" s="689">
        <v>0</v>
      </c>
      <c r="O17" s="689">
        <v>0</v>
      </c>
      <c r="P17" s="689">
        <v>0</v>
      </c>
      <c r="Q17" s="693">
        <v>0</v>
      </c>
      <c r="R17" s="693"/>
      <c r="S17" s="689">
        <v>61929</v>
      </c>
      <c r="T17" s="694">
        <v>21</v>
      </c>
      <c r="U17" s="694">
        <v>61950</v>
      </c>
    </row>
    <row r="18" spans="1:21" x14ac:dyDescent="0.25">
      <c r="A18" s="690">
        <v>11900</v>
      </c>
      <c r="B18" s="691" t="s">
        <v>789</v>
      </c>
      <c r="C18" s="692">
        <v>1.8780000000000001E-4</v>
      </c>
      <c r="D18" s="692">
        <v>2.186E-4</v>
      </c>
      <c r="E18" s="689">
        <v>11838</v>
      </c>
      <c r="F18" s="693">
        <v>-13575</v>
      </c>
      <c r="G18" s="693">
        <v>-11478</v>
      </c>
      <c r="H18" s="693"/>
      <c r="I18" s="689">
        <v>3147</v>
      </c>
      <c r="J18" s="689">
        <v>2516</v>
      </c>
      <c r="K18" s="689">
        <v>0</v>
      </c>
      <c r="L18" s="693">
        <v>1630</v>
      </c>
      <c r="M18" s="693"/>
      <c r="N18" s="689">
        <v>0</v>
      </c>
      <c r="O18" s="689">
        <v>0</v>
      </c>
      <c r="P18" s="689">
        <v>0</v>
      </c>
      <c r="Q18" s="693">
        <v>0</v>
      </c>
      <c r="R18" s="693"/>
      <c r="S18" s="689">
        <v>6098</v>
      </c>
      <c r="T18" s="694">
        <v>543</v>
      </c>
      <c r="U18" s="694">
        <v>6642</v>
      </c>
    </row>
    <row r="19" spans="1:21" x14ac:dyDescent="0.25">
      <c r="A19" s="690">
        <v>12100</v>
      </c>
      <c r="B19" s="691" t="s">
        <v>790</v>
      </c>
      <c r="C19" s="692">
        <v>2.3780000000000001E-4</v>
      </c>
      <c r="D19" s="692">
        <v>2.396E-4</v>
      </c>
      <c r="E19" s="689">
        <v>15324</v>
      </c>
      <c r="F19" s="693">
        <v>-14879</v>
      </c>
      <c r="G19" s="693">
        <v>-14534</v>
      </c>
      <c r="H19" s="693"/>
      <c r="I19" s="689">
        <v>3985</v>
      </c>
      <c r="J19" s="689">
        <v>3186</v>
      </c>
      <c r="K19" s="689">
        <v>0</v>
      </c>
      <c r="L19" s="693">
        <v>582</v>
      </c>
      <c r="M19" s="693"/>
      <c r="N19" s="689">
        <v>0</v>
      </c>
      <c r="O19" s="689">
        <v>0</v>
      </c>
      <c r="P19" s="689">
        <v>0</v>
      </c>
      <c r="Q19" s="693">
        <v>0</v>
      </c>
      <c r="R19" s="693"/>
      <c r="S19" s="689">
        <v>7722</v>
      </c>
      <c r="T19" s="694">
        <v>194</v>
      </c>
      <c r="U19" s="694">
        <v>7916</v>
      </c>
    </row>
    <row r="20" spans="1:21" x14ac:dyDescent="0.25">
      <c r="A20" s="690">
        <v>12150</v>
      </c>
      <c r="B20" s="691" t="s">
        <v>791</v>
      </c>
      <c r="C20" s="692">
        <v>3.6900000000000002E-5</v>
      </c>
      <c r="D20" s="692">
        <v>3.6999999999999998E-5</v>
      </c>
      <c r="E20" s="689">
        <v>1850</v>
      </c>
      <c r="F20" s="693">
        <v>-2298</v>
      </c>
      <c r="G20" s="693">
        <v>-2255</v>
      </c>
      <c r="H20" s="693"/>
      <c r="I20" s="689">
        <v>618</v>
      </c>
      <c r="J20" s="689">
        <v>494</v>
      </c>
      <c r="K20" s="689">
        <v>0</v>
      </c>
      <c r="L20" s="693">
        <v>0</v>
      </c>
      <c r="M20" s="693"/>
      <c r="N20" s="689">
        <v>0</v>
      </c>
      <c r="O20" s="689">
        <v>0</v>
      </c>
      <c r="P20" s="689">
        <v>0</v>
      </c>
      <c r="Q20" s="693">
        <v>314</v>
      </c>
      <c r="R20" s="693"/>
      <c r="S20" s="689">
        <v>1198</v>
      </c>
      <c r="T20" s="694">
        <v>-105</v>
      </c>
      <c r="U20" s="694">
        <v>1094</v>
      </c>
    </row>
    <row r="21" spans="1:21" x14ac:dyDescent="0.25">
      <c r="A21" s="690">
        <v>12160</v>
      </c>
      <c r="B21" s="691" t="s">
        <v>792</v>
      </c>
      <c r="C21" s="692">
        <v>1.6502000000000001E-3</v>
      </c>
      <c r="D21" s="692">
        <v>1.6967E-3</v>
      </c>
      <c r="E21" s="689">
        <v>117177</v>
      </c>
      <c r="F21" s="693">
        <v>-105365</v>
      </c>
      <c r="G21" s="693">
        <v>-100860</v>
      </c>
      <c r="H21" s="693"/>
      <c r="I21" s="689">
        <v>27654</v>
      </c>
      <c r="J21" s="689">
        <v>22108</v>
      </c>
      <c r="K21" s="689">
        <v>0</v>
      </c>
      <c r="L21" s="693">
        <v>13750</v>
      </c>
      <c r="M21" s="693"/>
      <c r="N21" s="689">
        <v>0</v>
      </c>
      <c r="O21" s="689">
        <v>0</v>
      </c>
      <c r="P21" s="689">
        <v>0</v>
      </c>
      <c r="Q21" s="693">
        <v>0</v>
      </c>
      <c r="R21" s="693"/>
      <c r="S21" s="689">
        <v>53587</v>
      </c>
      <c r="T21" s="694">
        <v>4583</v>
      </c>
      <c r="U21" s="694">
        <v>58170</v>
      </c>
    </row>
    <row r="22" spans="1:21" x14ac:dyDescent="0.25">
      <c r="A22" s="690">
        <v>12200</v>
      </c>
      <c r="B22" s="691" t="s">
        <v>1529</v>
      </c>
      <c r="C22" s="692">
        <v>3.0000000000000001E-6</v>
      </c>
      <c r="D22" s="692">
        <v>0</v>
      </c>
      <c r="E22" s="689" t="e">
        <v>#N/A</v>
      </c>
      <c r="F22" s="693">
        <v>0</v>
      </c>
      <c r="G22" s="693">
        <v>-183.36</v>
      </c>
      <c r="H22" s="693"/>
      <c r="I22" s="689">
        <v>50</v>
      </c>
      <c r="J22" s="689">
        <v>40</v>
      </c>
      <c r="K22" s="689">
        <v>0</v>
      </c>
      <c r="L22" s="693">
        <v>0</v>
      </c>
      <c r="M22" s="693"/>
      <c r="N22" s="689">
        <v>0</v>
      </c>
      <c r="O22" s="689">
        <v>0</v>
      </c>
      <c r="P22" s="689">
        <v>0</v>
      </c>
      <c r="Q22" s="693">
        <v>278</v>
      </c>
      <c r="R22" s="693"/>
      <c r="S22" s="689">
        <v>97</v>
      </c>
      <c r="T22" s="694">
        <v>-93</v>
      </c>
      <c r="U22" s="694">
        <v>5</v>
      </c>
    </row>
    <row r="23" spans="1:21" x14ac:dyDescent="0.25">
      <c r="A23" s="690">
        <v>12220</v>
      </c>
      <c r="B23" s="691" t="s">
        <v>793</v>
      </c>
      <c r="C23" s="692">
        <v>4.1776199999999999E-2</v>
      </c>
      <c r="D23" s="692">
        <v>4.1874000000000001E-2</v>
      </c>
      <c r="E23" s="689">
        <v>2915570</v>
      </c>
      <c r="F23" s="693">
        <v>-2600375</v>
      </c>
      <c r="G23" s="693">
        <v>-2553361</v>
      </c>
      <c r="H23" s="693"/>
      <c r="I23" s="689">
        <v>700086</v>
      </c>
      <c r="J23" s="689">
        <v>559676</v>
      </c>
      <c r="K23" s="689">
        <v>0</v>
      </c>
      <c r="L23" s="693">
        <v>259668</v>
      </c>
      <c r="M23" s="693"/>
      <c r="N23" s="689">
        <v>0</v>
      </c>
      <c r="O23" s="689">
        <v>0</v>
      </c>
      <c r="P23" s="689">
        <v>0</v>
      </c>
      <c r="Q23" s="693">
        <v>0</v>
      </c>
      <c r="R23" s="693"/>
      <c r="S23" s="689">
        <v>1356599</v>
      </c>
      <c r="T23" s="694">
        <v>86556</v>
      </c>
      <c r="U23" s="694">
        <v>1443155</v>
      </c>
    </row>
    <row r="24" spans="1:21" x14ac:dyDescent="0.25">
      <c r="A24" s="690">
        <v>12510</v>
      </c>
      <c r="B24" s="691" t="s">
        <v>794</v>
      </c>
      <c r="C24" s="692">
        <v>4.5719999999999997E-3</v>
      </c>
      <c r="D24" s="692">
        <v>4.6820000000000004E-3</v>
      </c>
      <c r="E24" s="689">
        <v>352155</v>
      </c>
      <c r="F24" s="693">
        <v>-290752</v>
      </c>
      <c r="G24" s="693">
        <v>-279441</v>
      </c>
      <c r="H24" s="693"/>
      <c r="I24" s="689">
        <v>76618</v>
      </c>
      <c r="J24" s="689">
        <v>61251</v>
      </c>
      <c r="K24" s="689">
        <v>0</v>
      </c>
      <c r="L24" s="693">
        <v>57848</v>
      </c>
      <c r="M24" s="693"/>
      <c r="N24" s="689">
        <v>0</v>
      </c>
      <c r="O24" s="689">
        <v>0</v>
      </c>
      <c r="P24" s="689">
        <v>0</v>
      </c>
      <c r="Q24" s="693">
        <v>0</v>
      </c>
      <c r="R24" s="693"/>
      <c r="S24" s="689">
        <v>148467</v>
      </c>
      <c r="T24" s="694">
        <v>19283</v>
      </c>
      <c r="U24" s="694">
        <v>167749</v>
      </c>
    </row>
    <row r="25" spans="1:21" x14ac:dyDescent="0.25">
      <c r="A25" s="690">
        <v>12600</v>
      </c>
      <c r="B25" s="691" t="s">
        <v>795</v>
      </c>
      <c r="C25" s="692">
        <v>1.2474999999999999E-3</v>
      </c>
      <c r="D25" s="692">
        <v>1.2949000000000001E-3</v>
      </c>
      <c r="E25" s="689">
        <v>95607</v>
      </c>
      <c r="F25" s="693">
        <v>-80413</v>
      </c>
      <c r="G25" s="693">
        <v>-76247.199999999997</v>
      </c>
      <c r="H25" s="693"/>
      <c r="I25" s="689">
        <v>20906</v>
      </c>
      <c r="J25" s="689">
        <v>16713</v>
      </c>
      <c r="K25" s="689">
        <v>0</v>
      </c>
      <c r="L25" s="693">
        <v>16234</v>
      </c>
      <c r="M25" s="693"/>
      <c r="N25" s="689">
        <v>0</v>
      </c>
      <c r="O25" s="689">
        <v>0</v>
      </c>
      <c r="P25" s="689">
        <v>0</v>
      </c>
      <c r="Q25" s="693">
        <v>0</v>
      </c>
      <c r="R25" s="693"/>
      <c r="S25" s="689">
        <v>40510</v>
      </c>
      <c r="T25" s="694">
        <v>5411</v>
      </c>
      <c r="U25" s="694">
        <v>45921.31</v>
      </c>
    </row>
    <row r="26" spans="1:21" x14ac:dyDescent="0.25">
      <c r="A26" s="690">
        <v>12700</v>
      </c>
      <c r="B26" s="691" t="s">
        <v>796</v>
      </c>
      <c r="C26" s="692">
        <v>9.745E-4</v>
      </c>
      <c r="D26" s="692">
        <v>9.923E-4</v>
      </c>
      <c r="E26" s="689">
        <v>73454</v>
      </c>
      <c r="F26" s="693">
        <v>-61622</v>
      </c>
      <c r="G26" s="693">
        <v>-59561.440000000002</v>
      </c>
      <c r="H26" s="693"/>
      <c r="I26" s="689">
        <v>16331</v>
      </c>
      <c r="J26" s="689">
        <v>13055</v>
      </c>
      <c r="K26" s="689">
        <v>0</v>
      </c>
      <c r="L26" s="693">
        <v>10862</v>
      </c>
      <c r="M26" s="693"/>
      <c r="N26" s="689">
        <v>0</v>
      </c>
      <c r="O26" s="689">
        <v>0</v>
      </c>
      <c r="P26" s="689">
        <v>0</v>
      </c>
      <c r="Q26" s="693">
        <v>0</v>
      </c>
      <c r="R26" s="693"/>
      <c r="S26" s="689">
        <v>31645</v>
      </c>
      <c r="T26" s="694">
        <v>3621</v>
      </c>
      <c r="U26" s="694">
        <v>35266</v>
      </c>
    </row>
    <row r="27" spans="1:21" x14ac:dyDescent="0.25">
      <c r="A27" s="690">
        <v>13500</v>
      </c>
      <c r="B27" s="691" t="s">
        <v>797</v>
      </c>
      <c r="C27" s="692">
        <v>3.8817999999999999E-3</v>
      </c>
      <c r="D27" s="692">
        <v>3.8471999999999998E-3</v>
      </c>
      <c r="E27" s="689">
        <v>265026</v>
      </c>
      <c r="F27" s="693">
        <v>-238911</v>
      </c>
      <c r="G27" s="693">
        <v>-237256</v>
      </c>
      <c r="H27" s="693"/>
      <c r="I27" s="689">
        <v>65051</v>
      </c>
      <c r="J27" s="689">
        <v>52004</v>
      </c>
      <c r="K27" s="689">
        <v>0</v>
      </c>
      <c r="L27" s="693">
        <v>17679</v>
      </c>
      <c r="M27" s="693"/>
      <c r="N27" s="689">
        <v>0</v>
      </c>
      <c r="O27" s="689">
        <v>0</v>
      </c>
      <c r="P27" s="689">
        <v>0</v>
      </c>
      <c r="Q27" s="693">
        <v>0</v>
      </c>
      <c r="R27" s="693"/>
      <c r="S27" s="689">
        <v>126054</v>
      </c>
      <c r="T27" s="694">
        <v>5893</v>
      </c>
      <c r="U27" s="694">
        <v>131947</v>
      </c>
    </row>
    <row r="28" spans="1:21" x14ac:dyDescent="0.25">
      <c r="A28" s="690">
        <v>13700</v>
      </c>
      <c r="B28" s="691" t="s">
        <v>798</v>
      </c>
      <c r="C28" s="692">
        <v>4.0979999999999999E-4</v>
      </c>
      <c r="D28" s="692">
        <v>4.505E-4</v>
      </c>
      <c r="E28" s="689">
        <v>31217</v>
      </c>
      <c r="F28" s="693">
        <v>-27976</v>
      </c>
      <c r="G28" s="693">
        <v>-25047</v>
      </c>
      <c r="H28" s="693"/>
      <c r="I28" s="689">
        <v>6867</v>
      </c>
      <c r="J28" s="689">
        <v>5490</v>
      </c>
      <c r="K28" s="689">
        <v>0</v>
      </c>
      <c r="L28" s="693">
        <v>6361</v>
      </c>
      <c r="M28" s="693"/>
      <c r="N28" s="689">
        <v>0</v>
      </c>
      <c r="O28" s="689">
        <v>0</v>
      </c>
      <c r="P28" s="689">
        <v>0</v>
      </c>
      <c r="Q28" s="693">
        <v>0</v>
      </c>
      <c r="R28" s="693"/>
      <c r="S28" s="689">
        <v>13307</v>
      </c>
      <c r="T28" s="694">
        <v>2120</v>
      </c>
      <c r="U28" s="694">
        <v>15428</v>
      </c>
    </row>
    <row r="29" spans="1:21" x14ac:dyDescent="0.25">
      <c r="A29" s="690">
        <v>14300</v>
      </c>
      <c r="B29" s="691" t="s">
        <v>1146</v>
      </c>
      <c r="C29" s="692">
        <v>1.4723E-3</v>
      </c>
      <c r="D29" s="692">
        <v>1.3385999999999999E-3</v>
      </c>
      <c r="E29" s="689">
        <v>104455</v>
      </c>
      <c r="F29" s="693">
        <v>-92324</v>
      </c>
      <c r="G29" s="693">
        <v>-89987</v>
      </c>
      <c r="H29" s="693"/>
      <c r="I29" s="689">
        <v>24673</v>
      </c>
      <c r="J29" s="689">
        <v>19724</v>
      </c>
      <c r="K29" s="689">
        <v>0</v>
      </c>
      <c r="L29" s="693">
        <v>0</v>
      </c>
      <c r="M29" s="693"/>
      <c r="N29" s="689">
        <v>0</v>
      </c>
      <c r="O29" s="689">
        <v>0</v>
      </c>
      <c r="P29" s="689">
        <v>0</v>
      </c>
      <c r="Q29" s="693">
        <v>5280</v>
      </c>
      <c r="R29" s="693"/>
      <c r="S29" s="689">
        <v>47810</v>
      </c>
      <c r="T29" s="694">
        <v>-1760</v>
      </c>
      <c r="U29" s="694">
        <v>46050</v>
      </c>
    </row>
    <row r="30" spans="1:21" x14ac:dyDescent="0.25">
      <c r="A30" s="690">
        <v>14300.2</v>
      </c>
      <c r="B30" s="691" t="s">
        <v>1147</v>
      </c>
      <c r="C30" s="692">
        <v>1.706E-4</v>
      </c>
      <c r="D30" s="692">
        <v>1.482E-4</v>
      </c>
      <c r="E30" s="689">
        <v>0</v>
      </c>
      <c r="F30" s="693">
        <v>0</v>
      </c>
      <c r="G30" s="693">
        <v>-10427</v>
      </c>
      <c r="H30" s="693"/>
      <c r="I30" s="689">
        <v>2859</v>
      </c>
      <c r="J30" s="689">
        <v>2286</v>
      </c>
      <c r="K30" s="689">
        <v>0</v>
      </c>
      <c r="L30" s="693">
        <v>389</v>
      </c>
      <c r="M30" s="693"/>
      <c r="N30" s="689">
        <v>0</v>
      </c>
      <c r="O30" s="689">
        <v>0</v>
      </c>
      <c r="P30" s="689">
        <v>0</v>
      </c>
      <c r="Q30" s="693">
        <v>0</v>
      </c>
      <c r="R30" s="693"/>
      <c r="S30" s="689">
        <v>5540</v>
      </c>
      <c r="T30" s="694">
        <v>130</v>
      </c>
      <c r="U30" s="694">
        <v>5670</v>
      </c>
    </row>
    <row r="31" spans="1:21" x14ac:dyDescent="0.25">
      <c r="A31" s="690">
        <v>18400</v>
      </c>
      <c r="B31" s="691" t="s">
        <v>1530</v>
      </c>
      <c r="C31" s="692">
        <v>4.8634000000000004E-3</v>
      </c>
      <c r="D31" s="692">
        <v>4.9541000000000003E-3</v>
      </c>
      <c r="E31" s="689">
        <v>342203</v>
      </c>
      <c r="F31" s="693">
        <v>-307650</v>
      </c>
      <c r="G31" s="693">
        <v>-297251</v>
      </c>
      <c r="H31" s="693"/>
      <c r="I31" s="689">
        <v>81501</v>
      </c>
      <c r="J31" s="689">
        <v>65155</v>
      </c>
      <c r="K31" s="689">
        <v>0</v>
      </c>
      <c r="L31" s="693">
        <v>36013</v>
      </c>
      <c r="M31" s="693"/>
      <c r="N31" s="689">
        <v>0</v>
      </c>
      <c r="O31" s="689">
        <v>0</v>
      </c>
      <c r="P31" s="689">
        <v>0</v>
      </c>
      <c r="Q31" s="693">
        <v>0</v>
      </c>
      <c r="R31" s="693"/>
      <c r="S31" s="689">
        <v>157929</v>
      </c>
      <c r="T31" s="694">
        <v>12004</v>
      </c>
      <c r="U31" s="694">
        <v>169933</v>
      </c>
    </row>
    <row r="32" spans="1:21" x14ac:dyDescent="0.25">
      <c r="A32" s="690">
        <v>18600</v>
      </c>
      <c r="B32" s="691" t="s">
        <v>802</v>
      </c>
      <c r="C32" s="692">
        <v>1.36E-5</v>
      </c>
      <c r="D32" s="692">
        <v>1.9000000000000001E-5</v>
      </c>
      <c r="E32" s="689">
        <v>961</v>
      </c>
      <c r="F32" s="693">
        <v>-1180</v>
      </c>
      <c r="G32" s="693">
        <v>-831</v>
      </c>
      <c r="H32" s="693"/>
      <c r="I32" s="689">
        <v>228</v>
      </c>
      <c r="J32" s="689">
        <v>182</v>
      </c>
      <c r="K32" s="689">
        <v>0</v>
      </c>
      <c r="L32" s="693">
        <v>344</v>
      </c>
      <c r="M32" s="693"/>
      <c r="N32" s="689">
        <v>0</v>
      </c>
      <c r="O32" s="689">
        <v>0</v>
      </c>
      <c r="P32" s="689">
        <v>0</v>
      </c>
      <c r="Q32" s="693">
        <v>0</v>
      </c>
      <c r="R32" s="693"/>
      <c r="S32" s="689">
        <v>442</v>
      </c>
      <c r="T32" s="694">
        <v>115</v>
      </c>
      <c r="U32" s="694">
        <v>556</v>
      </c>
    </row>
    <row r="33" spans="1:21" x14ac:dyDescent="0.25">
      <c r="A33" s="690">
        <v>18690</v>
      </c>
      <c r="B33" s="691" t="s">
        <v>805</v>
      </c>
      <c r="C33" s="692">
        <v>0</v>
      </c>
      <c r="D33" s="692">
        <v>4.0999999999999997E-6</v>
      </c>
      <c r="E33" s="689">
        <v>239</v>
      </c>
      <c r="F33" s="693">
        <v>-255</v>
      </c>
      <c r="G33" s="693">
        <v>0</v>
      </c>
      <c r="H33" s="693"/>
      <c r="I33" s="689">
        <v>0</v>
      </c>
      <c r="J33" s="689">
        <v>0</v>
      </c>
      <c r="K33" s="689">
        <v>0</v>
      </c>
      <c r="L33" s="693">
        <v>370.11</v>
      </c>
      <c r="M33" s="693"/>
      <c r="N33" s="689">
        <v>0</v>
      </c>
      <c r="O33" s="689">
        <v>0</v>
      </c>
      <c r="P33" s="689">
        <v>0</v>
      </c>
      <c r="Q33" s="693">
        <v>0</v>
      </c>
      <c r="R33" s="693"/>
      <c r="S33" s="689">
        <v>0</v>
      </c>
      <c r="T33" s="694">
        <v>123.37</v>
      </c>
      <c r="U33" s="694">
        <v>123.37</v>
      </c>
    </row>
    <row r="34" spans="1:21" x14ac:dyDescent="0.25">
      <c r="A34" s="690">
        <v>18740</v>
      </c>
      <c r="B34" s="691" t="s">
        <v>806</v>
      </c>
      <c r="C34" s="692">
        <v>6.8000000000000001E-6</v>
      </c>
      <c r="D34" s="692">
        <v>6.4999999999999996E-6</v>
      </c>
      <c r="E34" s="689">
        <v>494</v>
      </c>
      <c r="F34" s="693">
        <v>-404</v>
      </c>
      <c r="G34" s="693">
        <v>-416</v>
      </c>
      <c r="H34" s="693"/>
      <c r="I34" s="689">
        <v>114</v>
      </c>
      <c r="J34" s="689">
        <v>91</v>
      </c>
      <c r="K34" s="689">
        <v>0</v>
      </c>
      <c r="L34" s="693">
        <v>42</v>
      </c>
      <c r="M34" s="693"/>
      <c r="N34" s="689">
        <v>0</v>
      </c>
      <c r="O34" s="689">
        <v>0</v>
      </c>
      <c r="P34" s="689">
        <v>0</v>
      </c>
      <c r="Q34" s="693">
        <v>0</v>
      </c>
      <c r="R34" s="693"/>
      <c r="S34" s="689">
        <v>221</v>
      </c>
      <c r="T34" s="694">
        <v>14</v>
      </c>
      <c r="U34" s="694">
        <v>235</v>
      </c>
    </row>
    <row r="35" spans="1:21" x14ac:dyDescent="0.25">
      <c r="A35" s="690">
        <v>18780</v>
      </c>
      <c r="B35" s="691" t="s">
        <v>807</v>
      </c>
      <c r="C35" s="692">
        <v>1.17E-5</v>
      </c>
      <c r="D35" s="692">
        <v>1.36E-5</v>
      </c>
      <c r="E35" s="689">
        <v>944</v>
      </c>
      <c r="F35" s="693">
        <v>-845</v>
      </c>
      <c r="G35" s="693">
        <v>-715</v>
      </c>
      <c r="H35" s="693"/>
      <c r="I35" s="689">
        <v>196</v>
      </c>
      <c r="J35" s="689">
        <v>157</v>
      </c>
      <c r="K35" s="689">
        <v>0</v>
      </c>
      <c r="L35" s="693">
        <v>255</v>
      </c>
      <c r="M35" s="693"/>
      <c r="N35" s="689">
        <v>0</v>
      </c>
      <c r="O35" s="689">
        <v>0</v>
      </c>
      <c r="P35" s="689">
        <v>0</v>
      </c>
      <c r="Q35" s="693">
        <v>0</v>
      </c>
      <c r="R35" s="693"/>
      <c r="S35" s="689">
        <v>380</v>
      </c>
      <c r="T35" s="694">
        <v>85</v>
      </c>
      <c r="U35" s="694">
        <v>465</v>
      </c>
    </row>
    <row r="36" spans="1:21" x14ac:dyDescent="0.25">
      <c r="A36" s="690">
        <v>19005</v>
      </c>
      <c r="B36" s="691" t="s">
        <v>808</v>
      </c>
      <c r="C36" s="692">
        <v>6.5430000000000002E-4</v>
      </c>
      <c r="D36" s="692">
        <v>6.5709999999999998E-4</v>
      </c>
      <c r="E36" s="689">
        <v>51914</v>
      </c>
      <c r="F36" s="693">
        <v>-40806</v>
      </c>
      <c r="G36" s="693">
        <v>-39991</v>
      </c>
      <c r="H36" s="693"/>
      <c r="I36" s="689">
        <v>10965</v>
      </c>
      <c r="J36" s="689">
        <v>8766</v>
      </c>
      <c r="K36" s="689">
        <v>0</v>
      </c>
      <c r="L36" s="693">
        <v>8814</v>
      </c>
      <c r="M36" s="693"/>
      <c r="N36" s="689">
        <v>0</v>
      </c>
      <c r="O36" s="689">
        <v>0</v>
      </c>
      <c r="P36" s="689">
        <v>0</v>
      </c>
      <c r="Q36" s="693">
        <v>0</v>
      </c>
      <c r="R36" s="693"/>
      <c r="S36" s="689">
        <v>21247</v>
      </c>
      <c r="T36" s="694">
        <v>2938</v>
      </c>
      <c r="U36" s="694">
        <v>24185</v>
      </c>
    </row>
    <row r="37" spans="1:21" x14ac:dyDescent="0.25">
      <c r="A37" s="690">
        <v>19100</v>
      </c>
      <c r="B37" s="691" t="s">
        <v>809</v>
      </c>
      <c r="C37" s="692">
        <v>6.1802999999999997E-2</v>
      </c>
      <c r="D37" s="692">
        <v>6.1746299999999997E-2</v>
      </c>
      <c r="E37" s="689">
        <v>3960239</v>
      </c>
      <c r="F37" s="693">
        <v>-3834445</v>
      </c>
      <c r="G37" s="693">
        <v>-3777399.36</v>
      </c>
      <c r="H37" s="693"/>
      <c r="I37" s="689">
        <v>1035695</v>
      </c>
      <c r="J37" s="689">
        <v>827975</v>
      </c>
      <c r="K37" s="689">
        <v>0</v>
      </c>
      <c r="L37" s="693">
        <v>110015</v>
      </c>
      <c r="M37" s="693"/>
      <c r="N37" s="689">
        <v>0</v>
      </c>
      <c r="O37" s="689">
        <v>0</v>
      </c>
      <c r="P37" s="689">
        <v>0</v>
      </c>
      <c r="Q37" s="693">
        <v>0</v>
      </c>
      <c r="R37" s="693"/>
      <c r="S37" s="689">
        <v>2006929</v>
      </c>
      <c r="T37" s="694">
        <v>36672</v>
      </c>
      <c r="U37" s="694">
        <v>2043601</v>
      </c>
    </row>
    <row r="38" spans="1:21" x14ac:dyDescent="0.25">
      <c r="A38" s="690">
        <v>20100</v>
      </c>
      <c r="B38" s="691" t="s">
        <v>810</v>
      </c>
      <c r="C38" s="692">
        <v>1.0502900000000001E-2</v>
      </c>
      <c r="D38" s="692">
        <v>1.0171100000000001E-2</v>
      </c>
      <c r="E38" s="689">
        <v>655779</v>
      </c>
      <c r="F38" s="693">
        <v>-631625</v>
      </c>
      <c r="G38" s="693">
        <v>-641937</v>
      </c>
      <c r="H38" s="693"/>
      <c r="I38" s="689">
        <v>176008</v>
      </c>
      <c r="J38" s="689">
        <v>140707</v>
      </c>
      <c r="K38" s="689">
        <v>0</v>
      </c>
      <c r="L38" s="693">
        <v>0</v>
      </c>
      <c r="M38" s="693"/>
      <c r="N38" s="689">
        <v>0</v>
      </c>
      <c r="O38" s="689">
        <v>0</v>
      </c>
      <c r="P38" s="689">
        <v>0</v>
      </c>
      <c r="Q38" s="693">
        <v>9232</v>
      </c>
      <c r="R38" s="693"/>
      <c r="S38" s="689">
        <v>341061</v>
      </c>
      <c r="T38" s="694">
        <v>-3077</v>
      </c>
      <c r="U38" s="694">
        <v>337983</v>
      </c>
    </row>
    <row r="39" spans="1:21" x14ac:dyDescent="0.25">
      <c r="A39" s="690">
        <v>20200</v>
      </c>
      <c r="B39" s="691" t="s">
        <v>811</v>
      </c>
      <c r="C39" s="692">
        <v>1.4901000000000001E-3</v>
      </c>
      <c r="D39" s="692">
        <v>1.3272E-3</v>
      </c>
      <c r="E39" s="689">
        <v>102191</v>
      </c>
      <c r="F39" s="693">
        <v>-82419</v>
      </c>
      <c r="G39" s="693">
        <v>-91075</v>
      </c>
      <c r="H39" s="693"/>
      <c r="I39" s="689">
        <v>24971</v>
      </c>
      <c r="J39" s="689">
        <v>19963</v>
      </c>
      <c r="K39" s="689">
        <v>0</v>
      </c>
      <c r="L39" s="693">
        <v>160</v>
      </c>
      <c r="M39" s="693"/>
      <c r="N39" s="689">
        <v>0</v>
      </c>
      <c r="O39" s="689">
        <v>0</v>
      </c>
      <c r="P39" s="689">
        <v>0</v>
      </c>
      <c r="Q39" s="693">
        <v>0</v>
      </c>
      <c r="R39" s="693"/>
      <c r="S39" s="689">
        <v>48388</v>
      </c>
      <c r="T39" s="694">
        <v>53</v>
      </c>
      <c r="U39" s="694">
        <v>48441</v>
      </c>
    </row>
    <row r="40" spans="1:21" x14ac:dyDescent="0.25">
      <c r="A40" s="690">
        <v>20300</v>
      </c>
      <c r="B40" s="691" t="s">
        <v>812</v>
      </c>
      <c r="C40" s="692">
        <v>2.4591399999999999E-2</v>
      </c>
      <c r="D40" s="692">
        <v>2.4237000000000002E-2</v>
      </c>
      <c r="E40" s="689">
        <v>1515611</v>
      </c>
      <c r="F40" s="693">
        <v>-1505118</v>
      </c>
      <c r="G40" s="693">
        <v>-1503026</v>
      </c>
      <c r="H40" s="693"/>
      <c r="I40" s="689">
        <v>412103</v>
      </c>
      <c r="J40" s="689">
        <v>329451</v>
      </c>
      <c r="K40" s="689">
        <v>0</v>
      </c>
      <c r="L40" s="693">
        <v>0</v>
      </c>
      <c r="M40" s="693"/>
      <c r="N40" s="689">
        <v>0</v>
      </c>
      <c r="O40" s="689">
        <v>0</v>
      </c>
      <c r="P40" s="689">
        <v>0</v>
      </c>
      <c r="Q40" s="693">
        <v>16806</v>
      </c>
      <c r="R40" s="693"/>
      <c r="S40" s="689">
        <v>798557</v>
      </c>
      <c r="T40" s="694">
        <v>-5602</v>
      </c>
      <c r="U40" s="694">
        <v>792954</v>
      </c>
    </row>
    <row r="41" spans="1:21" x14ac:dyDescent="0.25">
      <c r="A41" s="690">
        <v>20400</v>
      </c>
      <c r="B41" s="691" t="s">
        <v>813</v>
      </c>
      <c r="C41" s="692">
        <v>1.1670000000000001E-3</v>
      </c>
      <c r="D41" s="692">
        <v>1.1854999999999999E-3</v>
      </c>
      <c r="E41" s="689">
        <v>80103</v>
      </c>
      <c r="F41" s="693">
        <v>-73620</v>
      </c>
      <c r="G41" s="693">
        <v>-71327</v>
      </c>
      <c r="H41" s="693"/>
      <c r="I41" s="689">
        <v>19557</v>
      </c>
      <c r="J41" s="689">
        <v>15634</v>
      </c>
      <c r="K41" s="689">
        <v>0</v>
      </c>
      <c r="L41" s="693">
        <v>6982</v>
      </c>
      <c r="M41" s="693"/>
      <c r="N41" s="689">
        <v>0</v>
      </c>
      <c r="O41" s="689">
        <v>0</v>
      </c>
      <c r="P41" s="689">
        <v>0</v>
      </c>
      <c r="Q41" s="693">
        <v>0</v>
      </c>
      <c r="R41" s="693"/>
      <c r="S41" s="689">
        <v>37896</v>
      </c>
      <c r="T41" s="694">
        <v>2327</v>
      </c>
      <c r="U41" s="694">
        <v>40223</v>
      </c>
    </row>
    <row r="42" spans="1:21" x14ac:dyDescent="0.25">
      <c r="A42" s="690">
        <v>20600</v>
      </c>
      <c r="B42" s="691" t="s">
        <v>814</v>
      </c>
      <c r="C42" s="692">
        <v>2.8403E-3</v>
      </c>
      <c r="D42" s="692">
        <v>2.6253000000000001E-3</v>
      </c>
      <c r="E42" s="689">
        <v>187892</v>
      </c>
      <c r="F42" s="693">
        <v>-163031</v>
      </c>
      <c r="G42" s="693">
        <v>-173599</v>
      </c>
      <c r="H42" s="693"/>
      <c r="I42" s="689">
        <v>47598</v>
      </c>
      <c r="J42" s="689">
        <v>38051</v>
      </c>
      <c r="K42" s="689">
        <v>0</v>
      </c>
      <c r="L42" s="693">
        <v>0</v>
      </c>
      <c r="M42" s="693"/>
      <c r="N42" s="689">
        <v>0</v>
      </c>
      <c r="O42" s="689">
        <v>0</v>
      </c>
      <c r="P42" s="689">
        <v>0</v>
      </c>
      <c r="Q42" s="693">
        <v>418</v>
      </c>
      <c r="R42" s="693"/>
      <c r="S42" s="689">
        <v>92233</v>
      </c>
      <c r="T42" s="694">
        <v>-139</v>
      </c>
      <c r="U42" s="694">
        <v>92094</v>
      </c>
    </row>
    <row r="43" spans="1:21" x14ac:dyDescent="0.25">
      <c r="A43" s="690">
        <v>20700</v>
      </c>
      <c r="B43" s="691" t="s">
        <v>815</v>
      </c>
      <c r="C43" s="692">
        <v>5.8345000000000003E-3</v>
      </c>
      <c r="D43" s="692">
        <v>5.8230000000000001E-3</v>
      </c>
      <c r="E43" s="689">
        <v>404315</v>
      </c>
      <c r="F43" s="693">
        <v>-361608</v>
      </c>
      <c r="G43" s="693">
        <v>-356604.64</v>
      </c>
      <c r="H43" s="693"/>
      <c r="I43" s="689">
        <v>97775</v>
      </c>
      <c r="J43" s="689">
        <v>78165</v>
      </c>
      <c r="K43" s="689">
        <v>0</v>
      </c>
      <c r="L43" s="693">
        <v>32936</v>
      </c>
      <c r="M43" s="693"/>
      <c r="N43" s="689">
        <v>0</v>
      </c>
      <c r="O43" s="689">
        <v>0</v>
      </c>
      <c r="P43" s="689">
        <v>0</v>
      </c>
      <c r="Q43" s="693">
        <v>0</v>
      </c>
      <c r="R43" s="693"/>
      <c r="S43" s="689">
        <v>189464</v>
      </c>
      <c r="T43" s="694">
        <v>10979</v>
      </c>
      <c r="U43" s="694">
        <v>200443</v>
      </c>
    </row>
    <row r="44" spans="1:21" x14ac:dyDescent="0.25">
      <c r="A44" s="690">
        <v>20800</v>
      </c>
      <c r="B44" s="691" t="s">
        <v>816</v>
      </c>
      <c r="C44" s="692">
        <v>4.7067000000000003E-3</v>
      </c>
      <c r="D44" s="692">
        <v>4.6451000000000001E-3</v>
      </c>
      <c r="E44" s="689">
        <v>307983</v>
      </c>
      <c r="F44" s="693">
        <v>-288461</v>
      </c>
      <c r="G44" s="693">
        <v>-287674</v>
      </c>
      <c r="H44" s="693"/>
      <c r="I44" s="689">
        <v>78875</v>
      </c>
      <c r="J44" s="689">
        <v>63056</v>
      </c>
      <c r="K44" s="689">
        <v>0</v>
      </c>
      <c r="L44" s="693">
        <v>10499</v>
      </c>
      <c r="M44" s="693"/>
      <c r="N44" s="689">
        <v>0</v>
      </c>
      <c r="O44" s="689">
        <v>0</v>
      </c>
      <c r="P44" s="689">
        <v>0</v>
      </c>
      <c r="Q44" s="693">
        <v>0</v>
      </c>
      <c r="R44" s="693"/>
      <c r="S44" s="689">
        <v>152841</v>
      </c>
      <c r="T44" s="694">
        <v>3500</v>
      </c>
      <c r="U44" s="694">
        <v>156340</v>
      </c>
    </row>
    <row r="45" spans="1:21" x14ac:dyDescent="0.25">
      <c r="A45" s="690">
        <v>20900</v>
      </c>
      <c r="B45" s="691" t="s">
        <v>817</v>
      </c>
      <c r="C45" s="692">
        <v>9.5709999999999996E-3</v>
      </c>
      <c r="D45" s="692">
        <v>9.0533999999999996E-3</v>
      </c>
      <c r="E45" s="689">
        <v>625375</v>
      </c>
      <c r="F45" s="693">
        <v>-562216</v>
      </c>
      <c r="G45" s="693">
        <v>-584979.52</v>
      </c>
      <c r="H45" s="693"/>
      <c r="I45" s="689">
        <v>160391</v>
      </c>
      <c r="J45" s="689">
        <v>128223</v>
      </c>
      <c r="K45" s="689">
        <v>0</v>
      </c>
      <c r="L45" s="693">
        <v>2399</v>
      </c>
      <c r="M45" s="693"/>
      <c r="N45" s="689">
        <v>0</v>
      </c>
      <c r="O45" s="689">
        <v>0</v>
      </c>
      <c r="P45" s="689">
        <v>0</v>
      </c>
      <c r="Q45" s="693">
        <v>0</v>
      </c>
      <c r="R45" s="693"/>
      <c r="S45" s="689">
        <v>310799</v>
      </c>
      <c r="T45" s="694">
        <v>800</v>
      </c>
      <c r="U45" s="694">
        <v>311599</v>
      </c>
    </row>
    <row r="46" spans="1:21" x14ac:dyDescent="0.25">
      <c r="A46" s="690">
        <v>21200</v>
      </c>
      <c r="B46" s="691" t="s">
        <v>818</v>
      </c>
      <c r="C46" s="692">
        <v>3.0814000000000002E-3</v>
      </c>
      <c r="D46" s="692">
        <v>3.0804999999999999E-3</v>
      </c>
      <c r="E46" s="689">
        <v>189731</v>
      </c>
      <c r="F46" s="693">
        <v>-191299</v>
      </c>
      <c r="G46" s="693">
        <v>-188335</v>
      </c>
      <c r="H46" s="693"/>
      <c r="I46" s="689">
        <v>51638</v>
      </c>
      <c r="J46" s="689">
        <v>41282</v>
      </c>
      <c r="K46" s="689">
        <v>0</v>
      </c>
      <c r="L46" s="693">
        <v>0</v>
      </c>
      <c r="M46" s="693"/>
      <c r="N46" s="689">
        <v>0</v>
      </c>
      <c r="O46" s="689">
        <v>0</v>
      </c>
      <c r="P46" s="689">
        <v>0</v>
      </c>
      <c r="Q46" s="693">
        <v>216</v>
      </c>
      <c r="R46" s="693"/>
      <c r="S46" s="689">
        <v>100062</v>
      </c>
      <c r="T46" s="694">
        <v>-72</v>
      </c>
      <c r="U46" s="694">
        <v>99990</v>
      </c>
    </row>
    <row r="47" spans="1:21" x14ac:dyDescent="0.25">
      <c r="A47" s="690">
        <v>21300</v>
      </c>
      <c r="B47" s="691" t="s">
        <v>819</v>
      </c>
      <c r="C47" s="692">
        <v>3.8517500000000003E-2</v>
      </c>
      <c r="D47" s="692">
        <v>3.7188199999999998E-2</v>
      </c>
      <c r="E47" s="689">
        <v>2370987</v>
      </c>
      <c r="F47" s="693">
        <v>-2309387</v>
      </c>
      <c r="G47" s="693">
        <v>-2354189.6</v>
      </c>
      <c r="H47" s="693"/>
      <c r="I47" s="689">
        <v>645476</v>
      </c>
      <c r="J47" s="689">
        <v>516019</v>
      </c>
      <c r="K47" s="689">
        <v>0</v>
      </c>
      <c r="L47" s="693">
        <v>0</v>
      </c>
      <c r="M47" s="693"/>
      <c r="N47" s="689">
        <v>0</v>
      </c>
      <c r="O47" s="689">
        <v>0</v>
      </c>
      <c r="P47" s="689">
        <v>0</v>
      </c>
      <c r="Q47" s="693">
        <v>64567</v>
      </c>
      <c r="R47" s="693"/>
      <c r="S47" s="689">
        <v>1250779</v>
      </c>
      <c r="T47" s="694">
        <v>-21522</v>
      </c>
      <c r="U47" s="694">
        <v>1229256.54</v>
      </c>
    </row>
    <row r="48" spans="1:21" x14ac:dyDescent="0.25">
      <c r="A48" s="690">
        <v>21520</v>
      </c>
      <c r="B48" s="691" t="s">
        <v>1531</v>
      </c>
      <c r="C48" s="692">
        <v>6.8096799999999999E-2</v>
      </c>
      <c r="D48" s="692">
        <v>6.6604300000000005E-2</v>
      </c>
      <c r="E48" s="689">
        <v>4202750</v>
      </c>
      <c r="F48" s="693">
        <v>-4136127</v>
      </c>
      <c r="G48" s="693">
        <v>-4162076</v>
      </c>
      <c r="H48" s="693"/>
      <c r="I48" s="689">
        <v>1141166</v>
      </c>
      <c r="J48" s="689">
        <v>912293</v>
      </c>
      <c r="K48" s="689">
        <v>0</v>
      </c>
      <c r="L48" s="693">
        <v>0</v>
      </c>
      <c r="M48" s="693"/>
      <c r="N48" s="689">
        <v>0</v>
      </c>
      <c r="O48" s="689">
        <v>0</v>
      </c>
      <c r="P48" s="689">
        <v>0</v>
      </c>
      <c r="Q48" s="693">
        <v>65974</v>
      </c>
      <c r="R48" s="693"/>
      <c r="S48" s="689">
        <v>2211307</v>
      </c>
      <c r="T48" s="694">
        <v>-21991</v>
      </c>
      <c r="U48" s="694">
        <v>2189316</v>
      </c>
    </row>
    <row r="49" spans="1:21" x14ac:dyDescent="0.25">
      <c r="A49" s="690">
        <v>21525</v>
      </c>
      <c r="B49" s="691" t="s">
        <v>1148</v>
      </c>
      <c r="C49" s="692">
        <v>1.7635999999999999E-3</v>
      </c>
      <c r="D49" s="692">
        <v>1.6638E-3</v>
      </c>
      <c r="E49" s="689">
        <v>121246</v>
      </c>
      <c r="F49" s="693">
        <v>-109793</v>
      </c>
      <c r="G49" s="693">
        <v>-107791</v>
      </c>
      <c r="H49" s="693"/>
      <c r="I49" s="689">
        <v>29554</v>
      </c>
      <c r="J49" s="689">
        <v>23627</v>
      </c>
      <c r="K49" s="689">
        <v>0</v>
      </c>
      <c r="L49" s="693">
        <v>0</v>
      </c>
      <c r="M49" s="693"/>
      <c r="N49" s="689">
        <v>0</v>
      </c>
      <c r="O49" s="689">
        <v>0</v>
      </c>
      <c r="P49" s="689">
        <v>0</v>
      </c>
      <c r="Q49" s="693">
        <v>4230</v>
      </c>
      <c r="R49" s="693"/>
      <c r="S49" s="689">
        <v>57269</v>
      </c>
      <c r="T49" s="694">
        <v>-1410</v>
      </c>
      <c r="U49" s="694">
        <v>55859</v>
      </c>
    </row>
    <row r="50" spans="1:21" x14ac:dyDescent="0.25">
      <c r="A50" s="690">
        <v>21525.200000000001</v>
      </c>
      <c r="B50" s="691" t="s">
        <v>1149</v>
      </c>
      <c r="C50" s="692">
        <v>1.172E-4</v>
      </c>
      <c r="D50" s="692">
        <v>1.042E-4</v>
      </c>
      <c r="E50" s="689">
        <v>0</v>
      </c>
      <c r="F50" s="693">
        <v>0</v>
      </c>
      <c r="G50" s="693">
        <v>-7163</v>
      </c>
      <c r="H50" s="693"/>
      <c r="I50" s="689">
        <v>1964</v>
      </c>
      <c r="J50" s="689">
        <v>1570</v>
      </c>
      <c r="K50" s="689">
        <v>0</v>
      </c>
      <c r="L50" s="693">
        <v>2950</v>
      </c>
      <c r="M50" s="693"/>
      <c r="N50" s="689">
        <v>0</v>
      </c>
      <c r="O50" s="689">
        <v>0</v>
      </c>
      <c r="P50" s="689">
        <v>0</v>
      </c>
      <c r="Q50" s="693">
        <v>0</v>
      </c>
      <c r="R50" s="693"/>
      <c r="S50" s="689">
        <v>3806</v>
      </c>
      <c r="T50" s="694">
        <v>983</v>
      </c>
      <c r="U50" s="694">
        <v>4789</v>
      </c>
    </row>
    <row r="51" spans="1:21" x14ac:dyDescent="0.25">
      <c r="A51" s="690">
        <v>21550</v>
      </c>
      <c r="B51" s="691" t="s">
        <v>822</v>
      </c>
      <c r="C51" s="692">
        <v>4.00842E-2</v>
      </c>
      <c r="D51" s="692">
        <v>3.6935099999999998E-2</v>
      </c>
      <c r="E51" s="689">
        <v>2317813</v>
      </c>
      <c r="F51" s="693">
        <v>-2293676</v>
      </c>
      <c r="G51" s="693">
        <v>-2449946</v>
      </c>
      <c r="H51" s="693"/>
      <c r="I51" s="689">
        <v>671731</v>
      </c>
      <c r="J51" s="689">
        <v>537008</v>
      </c>
      <c r="K51" s="689">
        <v>0</v>
      </c>
      <c r="L51" s="693">
        <v>0</v>
      </c>
      <c r="M51" s="693"/>
      <c r="N51" s="689">
        <v>0</v>
      </c>
      <c r="O51" s="689">
        <v>0</v>
      </c>
      <c r="P51" s="689">
        <v>0</v>
      </c>
      <c r="Q51" s="693">
        <v>261643</v>
      </c>
      <c r="R51" s="693"/>
      <c r="S51" s="689">
        <v>1301654</v>
      </c>
      <c r="T51" s="694">
        <v>-87214</v>
      </c>
      <c r="U51" s="694">
        <v>1214440</v>
      </c>
    </row>
    <row r="52" spans="1:21" x14ac:dyDescent="0.25">
      <c r="A52" s="690">
        <v>21570</v>
      </c>
      <c r="B52" s="691" t="s">
        <v>823</v>
      </c>
      <c r="C52" s="692">
        <v>1.7090000000000001E-4</v>
      </c>
      <c r="D52" s="692">
        <v>1.629E-4</v>
      </c>
      <c r="E52" s="689">
        <v>11826</v>
      </c>
      <c r="F52" s="693">
        <v>-10116</v>
      </c>
      <c r="G52" s="693">
        <v>-10445</v>
      </c>
      <c r="H52" s="693"/>
      <c r="I52" s="689">
        <v>2864</v>
      </c>
      <c r="J52" s="689">
        <v>2290</v>
      </c>
      <c r="K52" s="689">
        <v>0</v>
      </c>
      <c r="L52" s="693">
        <v>595</v>
      </c>
      <c r="M52" s="693"/>
      <c r="N52" s="689">
        <v>0</v>
      </c>
      <c r="O52" s="689">
        <v>0</v>
      </c>
      <c r="P52" s="689">
        <v>0</v>
      </c>
      <c r="Q52" s="693">
        <v>0</v>
      </c>
      <c r="R52" s="693"/>
      <c r="S52" s="689">
        <v>5550</v>
      </c>
      <c r="T52" s="694">
        <v>198</v>
      </c>
      <c r="U52" s="694">
        <v>5748</v>
      </c>
    </row>
    <row r="53" spans="1:21" x14ac:dyDescent="0.25">
      <c r="A53" s="690">
        <v>21800</v>
      </c>
      <c r="B53" s="691" t="s">
        <v>824</v>
      </c>
      <c r="C53" s="692">
        <v>5.7400000000000003E-3</v>
      </c>
      <c r="D53" s="692">
        <v>5.5704999999999999E-3</v>
      </c>
      <c r="E53" s="689">
        <v>346556</v>
      </c>
      <c r="F53" s="693">
        <v>-345928</v>
      </c>
      <c r="G53" s="693">
        <v>-350829</v>
      </c>
      <c r="H53" s="693"/>
      <c r="I53" s="689">
        <v>96190.92</v>
      </c>
      <c r="J53" s="689">
        <v>76898.78</v>
      </c>
      <c r="K53" s="689">
        <v>0</v>
      </c>
      <c r="L53" s="693">
        <v>0</v>
      </c>
      <c r="M53" s="693"/>
      <c r="N53" s="689">
        <v>0</v>
      </c>
      <c r="O53" s="689">
        <v>0</v>
      </c>
      <c r="P53" s="689">
        <v>0</v>
      </c>
      <c r="Q53" s="693">
        <v>13372</v>
      </c>
      <c r="R53" s="693"/>
      <c r="S53" s="689">
        <v>186395</v>
      </c>
      <c r="T53" s="694">
        <v>-4457</v>
      </c>
      <c r="U53" s="694">
        <v>181938</v>
      </c>
    </row>
    <row r="54" spans="1:21" x14ac:dyDescent="0.25">
      <c r="A54" s="690">
        <v>21900</v>
      </c>
      <c r="B54" s="691" t="s">
        <v>825</v>
      </c>
      <c r="C54" s="692">
        <v>3.2564999999999998E-3</v>
      </c>
      <c r="D54" s="692">
        <v>3.2564999999999998E-3</v>
      </c>
      <c r="E54" s="689">
        <v>213433</v>
      </c>
      <c r="F54" s="693">
        <v>-202229</v>
      </c>
      <c r="G54" s="693">
        <v>-199037.28</v>
      </c>
      <c r="H54" s="693"/>
      <c r="I54" s="689">
        <v>54572</v>
      </c>
      <c r="J54" s="689">
        <v>43627</v>
      </c>
      <c r="K54" s="689">
        <v>0</v>
      </c>
      <c r="L54" s="693">
        <v>9507</v>
      </c>
      <c r="M54" s="693"/>
      <c r="N54" s="689">
        <v>0</v>
      </c>
      <c r="O54" s="689">
        <v>0</v>
      </c>
      <c r="P54" s="689">
        <v>0</v>
      </c>
      <c r="Q54" s="693">
        <v>0</v>
      </c>
      <c r="R54" s="693"/>
      <c r="S54" s="689">
        <v>105748</v>
      </c>
      <c r="T54" s="694">
        <v>3169</v>
      </c>
      <c r="U54" s="694">
        <v>108917</v>
      </c>
    </row>
    <row r="55" spans="1:21" x14ac:dyDescent="0.25">
      <c r="A55" s="690">
        <v>22000</v>
      </c>
      <c r="B55" s="691" t="s">
        <v>826</v>
      </c>
      <c r="C55" s="692">
        <v>3.2236000000000001E-3</v>
      </c>
      <c r="D55" s="692">
        <v>3.3175000000000001E-3</v>
      </c>
      <c r="E55" s="689">
        <v>245282</v>
      </c>
      <c r="F55" s="693">
        <v>-206017</v>
      </c>
      <c r="G55" s="693">
        <v>-197026</v>
      </c>
      <c r="H55" s="693"/>
      <c r="I55" s="689">
        <v>54021</v>
      </c>
      <c r="J55" s="689">
        <v>43187</v>
      </c>
      <c r="K55" s="689">
        <v>0</v>
      </c>
      <c r="L55" s="693">
        <v>39288</v>
      </c>
      <c r="M55" s="693"/>
      <c r="N55" s="689">
        <v>0</v>
      </c>
      <c r="O55" s="689">
        <v>0</v>
      </c>
      <c r="P55" s="689">
        <v>0</v>
      </c>
      <c r="Q55" s="693">
        <v>0</v>
      </c>
      <c r="R55" s="693"/>
      <c r="S55" s="689">
        <v>104680</v>
      </c>
      <c r="T55" s="694">
        <v>13096</v>
      </c>
      <c r="U55" s="694">
        <v>117776</v>
      </c>
    </row>
    <row r="56" spans="1:21" x14ac:dyDescent="0.25">
      <c r="A56" s="690">
        <v>23000</v>
      </c>
      <c r="B56" s="691" t="s">
        <v>827</v>
      </c>
      <c r="C56" s="692">
        <v>2.6194999999999999E-3</v>
      </c>
      <c r="D56" s="692">
        <v>2.4472999999999999E-3</v>
      </c>
      <c r="E56" s="689">
        <v>159069</v>
      </c>
      <c r="F56" s="693">
        <v>-151977</v>
      </c>
      <c r="G56" s="693">
        <v>-160103.84</v>
      </c>
      <c r="H56" s="693"/>
      <c r="I56" s="689">
        <v>43898</v>
      </c>
      <c r="J56" s="689">
        <v>35093</v>
      </c>
      <c r="K56" s="689">
        <v>0</v>
      </c>
      <c r="L56" s="693">
        <v>0</v>
      </c>
      <c r="M56" s="693"/>
      <c r="N56" s="689">
        <v>0</v>
      </c>
      <c r="O56" s="689">
        <v>0</v>
      </c>
      <c r="P56" s="689">
        <v>0</v>
      </c>
      <c r="Q56" s="693">
        <v>9834</v>
      </c>
      <c r="R56" s="693"/>
      <c r="S56" s="689">
        <v>85063</v>
      </c>
      <c r="T56" s="694">
        <v>-3278</v>
      </c>
      <c r="U56" s="694">
        <v>81785</v>
      </c>
    </row>
    <row r="57" spans="1:21" x14ac:dyDescent="0.25">
      <c r="A57" s="690">
        <v>23100</v>
      </c>
      <c r="B57" s="691" t="s">
        <v>828</v>
      </c>
      <c r="C57" s="692">
        <v>1.5039200000000001E-2</v>
      </c>
      <c r="D57" s="692">
        <v>1.3588599999999999E-2</v>
      </c>
      <c r="E57" s="689">
        <v>928114</v>
      </c>
      <c r="F57" s="693">
        <v>-843852</v>
      </c>
      <c r="G57" s="693">
        <v>-919196</v>
      </c>
      <c r="H57" s="693"/>
      <c r="I57" s="689">
        <v>252027</v>
      </c>
      <c r="J57" s="689">
        <v>201480</v>
      </c>
      <c r="K57" s="689">
        <v>0</v>
      </c>
      <c r="L57" s="693">
        <v>0</v>
      </c>
      <c r="M57" s="693"/>
      <c r="N57" s="689">
        <v>0</v>
      </c>
      <c r="O57" s="689">
        <v>0</v>
      </c>
      <c r="P57" s="689">
        <v>0</v>
      </c>
      <c r="Q57" s="693">
        <v>66829</v>
      </c>
      <c r="R57" s="693"/>
      <c r="S57" s="689">
        <v>488368</v>
      </c>
      <c r="T57" s="694">
        <v>-22276</v>
      </c>
      <c r="U57" s="694">
        <v>466092</v>
      </c>
    </row>
    <row r="58" spans="1:21" x14ac:dyDescent="0.25">
      <c r="A58" s="690">
        <v>23200</v>
      </c>
      <c r="B58" s="691" t="s">
        <v>829</v>
      </c>
      <c r="C58" s="692">
        <v>7.6874999999999999E-3</v>
      </c>
      <c r="D58" s="692">
        <v>7.2922000000000004E-3</v>
      </c>
      <c r="E58" s="689">
        <v>474107</v>
      </c>
      <c r="F58" s="693">
        <v>-452846</v>
      </c>
      <c r="G58" s="693">
        <v>-469860</v>
      </c>
      <c r="H58" s="693"/>
      <c r="I58" s="689">
        <v>128827</v>
      </c>
      <c r="J58" s="689">
        <v>102989</v>
      </c>
      <c r="K58" s="689">
        <v>0</v>
      </c>
      <c r="L58" s="693">
        <v>0</v>
      </c>
      <c r="M58" s="693"/>
      <c r="N58" s="689">
        <v>0</v>
      </c>
      <c r="O58" s="689">
        <v>0</v>
      </c>
      <c r="P58" s="689">
        <v>0</v>
      </c>
      <c r="Q58" s="693">
        <v>18270</v>
      </c>
      <c r="R58" s="693"/>
      <c r="S58" s="689">
        <v>249636</v>
      </c>
      <c r="T58" s="694">
        <v>-6090</v>
      </c>
      <c r="U58" s="694">
        <v>243546</v>
      </c>
    </row>
    <row r="59" spans="1:21" x14ac:dyDescent="0.25">
      <c r="A59" s="690">
        <v>30000</v>
      </c>
      <c r="B59" s="691" t="s">
        <v>830</v>
      </c>
      <c r="C59" s="692">
        <v>8.7909999999999996E-4</v>
      </c>
      <c r="D59" s="692">
        <v>8.9260000000000001E-4</v>
      </c>
      <c r="E59" s="689">
        <v>52748</v>
      </c>
      <c r="F59" s="693">
        <v>-55430</v>
      </c>
      <c r="G59" s="693">
        <v>-53731</v>
      </c>
      <c r="H59" s="693"/>
      <c r="I59" s="689">
        <v>14732</v>
      </c>
      <c r="J59" s="689">
        <v>11777</v>
      </c>
      <c r="K59" s="689">
        <v>0</v>
      </c>
      <c r="L59" s="693">
        <v>0</v>
      </c>
      <c r="M59" s="693"/>
      <c r="N59" s="689">
        <v>0</v>
      </c>
      <c r="O59" s="689">
        <v>0</v>
      </c>
      <c r="P59" s="689">
        <v>0</v>
      </c>
      <c r="Q59" s="693">
        <v>456</v>
      </c>
      <c r="R59" s="693"/>
      <c r="S59" s="689">
        <v>28547</v>
      </c>
      <c r="T59" s="694">
        <v>-152</v>
      </c>
      <c r="U59" s="694">
        <v>28395</v>
      </c>
    </row>
    <row r="60" spans="1:21" x14ac:dyDescent="0.25">
      <c r="A60" s="690">
        <v>30100</v>
      </c>
      <c r="B60" s="691" t="s">
        <v>831</v>
      </c>
      <c r="C60" s="692">
        <v>7.5632E-3</v>
      </c>
      <c r="D60" s="692">
        <v>7.9336000000000007E-3</v>
      </c>
      <c r="E60" s="689">
        <v>435695</v>
      </c>
      <c r="F60" s="693">
        <v>-492677</v>
      </c>
      <c r="G60" s="693">
        <v>-462263</v>
      </c>
      <c r="H60" s="693"/>
      <c r="I60" s="689">
        <v>126744</v>
      </c>
      <c r="J60" s="689">
        <v>101324</v>
      </c>
      <c r="K60" s="689">
        <v>0</v>
      </c>
      <c r="L60" s="693">
        <v>0</v>
      </c>
      <c r="M60" s="693"/>
      <c r="N60" s="689">
        <v>0</v>
      </c>
      <c r="O60" s="689">
        <v>0</v>
      </c>
      <c r="P60" s="689">
        <v>0</v>
      </c>
      <c r="Q60" s="693">
        <v>5669</v>
      </c>
      <c r="R60" s="693"/>
      <c r="S60" s="689">
        <v>245600</v>
      </c>
      <c r="T60" s="694">
        <v>-1890</v>
      </c>
      <c r="U60" s="694">
        <v>243710</v>
      </c>
    </row>
    <row r="61" spans="1:21" x14ac:dyDescent="0.25">
      <c r="A61" s="690">
        <v>30102</v>
      </c>
      <c r="B61" s="691" t="s">
        <v>832</v>
      </c>
      <c r="C61" s="692">
        <v>1.44E-4</v>
      </c>
      <c r="D61" s="692">
        <v>1.4349999999999999E-4</v>
      </c>
      <c r="E61" s="689">
        <v>7757</v>
      </c>
      <c r="F61" s="693">
        <v>-8911</v>
      </c>
      <c r="G61" s="693">
        <v>-8801</v>
      </c>
      <c r="H61" s="693"/>
      <c r="I61" s="689">
        <v>2413</v>
      </c>
      <c r="J61" s="689">
        <v>1929</v>
      </c>
      <c r="K61" s="689">
        <v>0</v>
      </c>
      <c r="L61" s="693">
        <v>0</v>
      </c>
      <c r="M61" s="693"/>
      <c r="N61" s="689">
        <v>0</v>
      </c>
      <c r="O61" s="689">
        <v>0</v>
      </c>
      <c r="P61" s="689">
        <v>0</v>
      </c>
      <c r="Q61" s="693">
        <v>863</v>
      </c>
      <c r="R61" s="693"/>
      <c r="S61" s="689">
        <v>4676</v>
      </c>
      <c r="T61" s="694">
        <v>-288</v>
      </c>
      <c r="U61" s="694">
        <v>4388</v>
      </c>
    </row>
    <row r="62" spans="1:21" x14ac:dyDescent="0.25">
      <c r="A62" s="690">
        <v>30103</v>
      </c>
      <c r="B62" s="691" t="s">
        <v>833</v>
      </c>
      <c r="C62" s="692">
        <v>1.8780000000000001E-4</v>
      </c>
      <c r="D62" s="692">
        <v>1.7149999999999999E-4</v>
      </c>
      <c r="E62" s="689">
        <v>10297</v>
      </c>
      <c r="F62" s="693">
        <v>-10650</v>
      </c>
      <c r="G62" s="693">
        <v>-11478</v>
      </c>
      <c r="H62" s="693"/>
      <c r="I62" s="689">
        <v>3147</v>
      </c>
      <c r="J62" s="689">
        <v>2516</v>
      </c>
      <c r="K62" s="689">
        <v>0</v>
      </c>
      <c r="L62" s="693">
        <v>0</v>
      </c>
      <c r="M62" s="693"/>
      <c r="N62" s="689">
        <v>0</v>
      </c>
      <c r="O62" s="689">
        <v>0</v>
      </c>
      <c r="P62" s="689">
        <v>0</v>
      </c>
      <c r="Q62" s="693">
        <v>1720</v>
      </c>
      <c r="R62" s="693"/>
      <c r="S62" s="689">
        <v>6098</v>
      </c>
      <c r="T62" s="694">
        <v>-573</v>
      </c>
      <c r="U62" s="694">
        <v>5525</v>
      </c>
    </row>
    <row r="63" spans="1:21" x14ac:dyDescent="0.25">
      <c r="A63" s="690">
        <v>30104</v>
      </c>
      <c r="B63" s="691" t="s">
        <v>834</v>
      </c>
      <c r="C63" s="692">
        <v>1.206E-4</v>
      </c>
      <c r="D63" s="692">
        <v>1.013E-4</v>
      </c>
      <c r="E63" s="689">
        <v>5281</v>
      </c>
      <c r="F63" s="693">
        <v>-6291</v>
      </c>
      <c r="G63" s="693">
        <v>-7371</v>
      </c>
      <c r="H63" s="693"/>
      <c r="I63" s="689">
        <v>2021</v>
      </c>
      <c r="J63" s="689">
        <v>1616</v>
      </c>
      <c r="K63" s="689">
        <v>0</v>
      </c>
      <c r="L63" s="693">
        <v>0</v>
      </c>
      <c r="M63" s="693"/>
      <c r="N63" s="689">
        <v>0</v>
      </c>
      <c r="O63" s="689">
        <v>0</v>
      </c>
      <c r="P63" s="689">
        <v>0</v>
      </c>
      <c r="Q63" s="693">
        <v>2515</v>
      </c>
      <c r="R63" s="693"/>
      <c r="S63" s="689">
        <v>3916</v>
      </c>
      <c r="T63" s="694">
        <v>-838</v>
      </c>
      <c r="U63" s="694">
        <v>3078</v>
      </c>
    </row>
    <row r="64" spans="1:21" x14ac:dyDescent="0.25">
      <c r="A64" s="690">
        <v>30105</v>
      </c>
      <c r="B64" s="691" t="s">
        <v>835</v>
      </c>
      <c r="C64" s="692">
        <v>8.0239999999999999E-4</v>
      </c>
      <c r="D64" s="692">
        <v>7.4439999999999999E-4</v>
      </c>
      <c r="E64" s="689">
        <v>52256</v>
      </c>
      <c r="F64" s="693">
        <v>-46227</v>
      </c>
      <c r="G64" s="693">
        <v>-49043</v>
      </c>
      <c r="H64" s="693"/>
      <c r="I64" s="689">
        <v>13447</v>
      </c>
      <c r="J64" s="689">
        <v>10750</v>
      </c>
      <c r="K64" s="689">
        <v>0</v>
      </c>
      <c r="L64" s="693">
        <v>0</v>
      </c>
      <c r="M64" s="693"/>
      <c r="N64" s="689">
        <v>0</v>
      </c>
      <c r="O64" s="689">
        <v>0</v>
      </c>
      <c r="P64" s="689">
        <v>0</v>
      </c>
      <c r="Q64" s="693">
        <v>609</v>
      </c>
      <c r="R64" s="693"/>
      <c r="S64" s="689">
        <v>26056</v>
      </c>
      <c r="T64" s="694">
        <v>-203</v>
      </c>
      <c r="U64" s="694">
        <v>25853</v>
      </c>
    </row>
    <row r="65" spans="1:21" x14ac:dyDescent="0.25">
      <c r="A65" s="690">
        <v>30200</v>
      </c>
      <c r="B65" s="691" t="s">
        <v>836</v>
      </c>
      <c r="C65" s="692">
        <v>1.7181E-3</v>
      </c>
      <c r="D65" s="692">
        <v>1.7336000000000001E-3</v>
      </c>
      <c r="E65" s="689">
        <v>104308</v>
      </c>
      <c r="F65" s="693">
        <v>-107657</v>
      </c>
      <c r="G65" s="693">
        <v>-105010</v>
      </c>
      <c r="H65" s="693"/>
      <c r="I65" s="689">
        <v>28792</v>
      </c>
      <c r="J65" s="689">
        <v>23017</v>
      </c>
      <c r="K65" s="689">
        <v>0</v>
      </c>
      <c r="L65" s="693">
        <v>0</v>
      </c>
      <c r="M65" s="693"/>
      <c r="N65" s="689">
        <v>0</v>
      </c>
      <c r="O65" s="689">
        <v>0</v>
      </c>
      <c r="P65" s="689">
        <v>0</v>
      </c>
      <c r="Q65" s="693">
        <v>485</v>
      </c>
      <c r="R65" s="693"/>
      <c r="S65" s="689">
        <v>55792</v>
      </c>
      <c r="T65" s="694">
        <v>-162</v>
      </c>
      <c r="U65" s="694">
        <v>55630</v>
      </c>
    </row>
    <row r="66" spans="1:21" x14ac:dyDescent="0.25">
      <c r="A66" s="690">
        <v>30300</v>
      </c>
      <c r="B66" s="691" t="s">
        <v>837</v>
      </c>
      <c r="C66" s="692">
        <v>5.5369999999999996E-4</v>
      </c>
      <c r="D66" s="692">
        <v>6.0309999999999997E-4</v>
      </c>
      <c r="E66" s="689">
        <v>34603</v>
      </c>
      <c r="F66" s="693">
        <v>-37453</v>
      </c>
      <c r="G66" s="693">
        <v>-33842</v>
      </c>
      <c r="H66" s="693"/>
      <c r="I66" s="689">
        <v>9279</v>
      </c>
      <c r="J66" s="689">
        <v>7418</v>
      </c>
      <c r="K66" s="689">
        <v>0</v>
      </c>
      <c r="L66" s="693">
        <v>2652</v>
      </c>
      <c r="M66" s="693"/>
      <c r="N66" s="689">
        <v>0</v>
      </c>
      <c r="O66" s="689">
        <v>0</v>
      </c>
      <c r="P66" s="689">
        <v>0</v>
      </c>
      <c r="Q66" s="693">
        <v>0</v>
      </c>
      <c r="R66" s="693"/>
      <c r="S66" s="689">
        <v>17980</v>
      </c>
      <c r="T66" s="694">
        <v>884</v>
      </c>
      <c r="U66" s="694">
        <v>18864</v>
      </c>
    </row>
    <row r="67" spans="1:21" x14ac:dyDescent="0.25">
      <c r="A67" s="690">
        <v>30400</v>
      </c>
      <c r="B67" s="691" t="s">
        <v>838</v>
      </c>
      <c r="C67" s="692">
        <v>1.0666E-3</v>
      </c>
      <c r="D67" s="692">
        <v>1.1155E-3</v>
      </c>
      <c r="E67" s="689">
        <v>70411</v>
      </c>
      <c r="F67" s="693">
        <v>-69273</v>
      </c>
      <c r="G67" s="693">
        <v>-65191</v>
      </c>
      <c r="H67" s="693"/>
      <c r="I67" s="689">
        <v>17874</v>
      </c>
      <c r="J67" s="689">
        <v>14289</v>
      </c>
      <c r="K67" s="689">
        <v>0</v>
      </c>
      <c r="L67" s="693">
        <v>5770</v>
      </c>
      <c r="M67" s="693"/>
      <c r="N67" s="689">
        <v>0</v>
      </c>
      <c r="O67" s="689">
        <v>0</v>
      </c>
      <c r="P67" s="689">
        <v>0</v>
      </c>
      <c r="Q67" s="693">
        <v>0</v>
      </c>
      <c r="R67" s="693"/>
      <c r="S67" s="689">
        <v>34636</v>
      </c>
      <c r="T67" s="694">
        <v>1923</v>
      </c>
      <c r="U67" s="694">
        <v>36559</v>
      </c>
    </row>
    <row r="68" spans="1:21" x14ac:dyDescent="0.25">
      <c r="A68" s="690">
        <v>30405</v>
      </c>
      <c r="B68" s="691" t="s">
        <v>839</v>
      </c>
      <c r="C68" s="692">
        <v>7.4379999999999997E-4</v>
      </c>
      <c r="D68" s="692">
        <v>7.3749999999999998E-4</v>
      </c>
      <c r="E68" s="689">
        <v>44158</v>
      </c>
      <c r="F68" s="693">
        <v>-45799</v>
      </c>
      <c r="G68" s="693">
        <v>-45461</v>
      </c>
      <c r="H68" s="693"/>
      <c r="I68" s="689">
        <v>12465</v>
      </c>
      <c r="J68" s="689">
        <v>9965</v>
      </c>
      <c r="K68" s="689">
        <v>0</v>
      </c>
      <c r="L68" s="693">
        <v>0</v>
      </c>
      <c r="M68" s="693"/>
      <c r="N68" s="689">
        <v>0</v>
      </c>
      <c r="O68" s="689">
        <v>0</v>
      </c>
      <c r="P68" s="689">
        <v>0</v>
      </c>
      <c r="Q68" s="693">
        <v>1565</v>
      </c>
      <c r="R68" s="693"/>
      <c r="S68" s="689">
        <v>24153</v>
      </c>
      <c r="T68" s="694">
        <v>-522</v>
      </c>
      <c r="U68" s="694">
        <v>23632</v>
      </c>
    </row>
    <row r="69" spans="1:21" x14ac:dyDescent="0.25">
      <c r="A69" s="690">
        <v>30500</v>
      </c>
      <c r="B69" s="691" t="s">
        <v>840</v>
      </c>
      <c r="C69" s="692">
        <v>1.1188000000000001E-3</v>
      </c>
      <c r="D69" s="692">
        <v>1.1643000000000001E-3</v>
      </c>
      <c r="E69" s="689">
        <v>69278</v>
      </c>
      <c r="F69" s="693">
        <v>-72303</v>
      </c>
      <c r="G69" s="693">
        <v>-68381</v>
      </c>
      <c r="H69" s="693"/>
      <c r="I69" s="689">
        <v>18749</v>
      </c>
      <c r="J69" s="689">
        <v>14989</v>
      </c>
      <c r="K69" s="689">
        <v>0</v>
      </c>
      <c r="L69" s="693">
        <v>2349</v>
      </c>
      <c r="M69" s="693"/>
      <c r="N69" s="689">
        <v>0</v>
      </c>
      <c r="O69" s="689">
        <v>0</v>
      </c>
      <c r="P69" s="689">
        <v>0</v>
      </c>
      <c r="Q69" s="693">
        <v>0</v>
      </c>
      <c r="R69" s="693"/>
      <c r="S69" s="689">
        <v>36331</v>
      </c>
      <c r="T69" s="694">
        <v>783</v>
      </c>
      <c r="U69" s="694">
        <v>37114</v>
      </c>
    </row>
    <row r="70" spans="1:21" x14ac:dyDescent="0.25">
      <c r="A70" s="690">
        <v>30600</v>
      </c>
      <c r="B70" s="691" t="s">
        <v>841</v>
      </c>
      <c r="C70" s="692">
        <v>8.6399999999999997E-4</v>
      </c>
      <c r="D70" s="692">
        <v>9.0720000000000004E-4</v>
      </c>
      <c r="E70" s="689">
        <v>54250</v>
      </c>
      <c r="F70" s="693">
        <v>-56337</v>
      </c>
      <c r="G70" s="693">
        <v>-52807.68</v>
      </c>
      <c r="H70" s="693"/>
      <c r="I70" s="689">
        <v>14479</v>
      </c>
      <c r="J70" s="689">
        <v>11575</v>
      </c>
      <c r="K70" s="689">
        <v>0</v>
      </c>
      <c r="L70" s="693">
        <v>2752</v>
      </c>
      <c r="M70" s="693"/>
      <c r="N70" s="689">
        <v>0</v>
      </c>
      <c r="O70" s="689">
        <v>0</v>
      </c>
      <c r="P70" s="689">
        <v>0</v>
      </c>
      <c r="Q70" s="693">
        <v>0</v>
      </c>
      <c r="R70" s="693"/>
      <c r="S70" s="689">
        <v>28057</v>
      </c>
      <c r="T70" s="694">
        <v>917</v>
      </c>
      <c r="U70" s="694">
        <v>28974</v>
      </c>
    </row>
    <row r="71" spans="1:21" x14ac:dyDescent="0.25">
      <c r="A71" s="690">
        <v>30601</v>
      </c>
      <c r="B71" s="691" t="s">
        <v>842</v>
      </c>
      <c r="C71" s="692">
        <v>2.02E-5</v>
      </c>
      <c r="D71" s="692">
        <v>2.12E-5</v>
      </c>
      <c r="E71" s="689">
        <v>1159</v>
      </c>
      <c r="F71" s="693">
        <v>-1317</v>
      </c>
      <c r="G71" s="693">
        <v>-1235</v>
      </c>
      <c r="H71" s="693"/>
      <c r="I71" s="689">
        <v>339</v>
      </c>
      <c r="J71" s="689">
        <v>271</v>
      </c>
      <c r="K71" s="689">
        <v>0</v>
      </c>
      <c r="L71" s="693">
        <v>0</v>
      </c>
      <c r="M71" s="693"/>
      <c r="N71" s="689">
        <v>0</v>
      </c>
      <c r="O71" s="689">
        <v>0</v>
      </c>
      <c r="P71" s="689">
        <v>0</v>
      </c>
      <c r="Q71" s="693">
        <v>18</v>
      </c>
      <c r="R71" s="693"/>
      <c r="S71" s="689">
        <v>656</v>
      </c>
      <c r="T71" s="694">
        <v>-6</v>
      </c>
      <c r="U71" s="694">
        <v>650</v>
      </c>
    </row>
    <row r="72" spans="1:21" x14ac:dyDescent="0.25">
      <c r="A72" s="690">
        <v>30700</v>
      </c>
      <c r="B72" s="691" t="s">
        <v>843</v>
      </c>
      <c r="C72" s="692">
        <v>2.2522000000000002E-3</v>
      </c>
      <c r="D72" s="692">
        <v>2.3170999999999999E-3</v>
      </c>
      <c r="E72" s="689">
        <v>140571</v>
      </c>
      <c r="F72" s="693">
        <v>-143892</v>
      </c>
      <c r="G72" s="693">
        <v>-137654</v>
      </c>
      <c r="H72" s="693"/>
      <c r="I72" s="689">
        <v>37742</v>
      </c>
      <c r="J72" s="689">
        <v>30173</v>
      </c>
      <c r="K72" s="689">
        <v>0</v>
      </c>
      <c r="L72" s="693">
        <v>4318</v>
      </c>
      <c r="M72" s="693"/>
      <c r="N72" s="689">
        <v>0</v>
      </c>
      <c r="O72" s="689">
        <v>0</v>
      </c>
      <c r="P72" s="689">
        <v>0</v>
      </c>
      <c r="Q72" s="693">
        <v>0</v>
      </c>
      <c r="R72" s="693"/>
      <c r="S72" s="689">
        <v>73136</v>
      </c>
      <c r="T72" s="694">
        <v>1439</v>
      </c>
      <c r="U72" s="694">
        <v>74575</v>
      </c>
    </row>
    <row r="73" spans="1:21" x14ac:dyDescent="0.25">
      <c r="A73" s="690">
        <v>30705</v>
      </c>
      <c r="B73" s="691" t="s">
        <v>844</v>
      </c>
      <c r="C73" s="692">
        <v>4.283E-4</v>
      </c>
      <c r="D73" s="692">
        <v>4.7140000000000002E-4</v>
      </c>
      <c r="E73" s="689">
        <v>27587</v>
      </c>
      <c r="F73" s="693">
        <v>-29274</v>
      </c>
      <c r="G73" s="693">
        <v>-26178</v>
      </c>
      <c r="H73" s="693"/>
      <c r="I73" s="689">
        <v>7177</v>
      </c>
      <c r="J73" s="689">
        <v>5738</v>
      </c>
      <c r="K73" s="689">
        <v>0</v>
      </c>
      <c r="L73" s="693">
        <v>2894</v>
      </c>
      <c r="M73" s="693"/>
      <c r="N73" s="689">
        <v>0</v>
      </c>
      <c r="O73" s="689">
        <v>0</v>
      </c>
      <c r="P73" s="689">
        <v>0</v>
      </c>
      <c r="Q73" s="693">
        <v>0</v>
      </c>
      <c r="R73" s="693"/>
      <c r="S73" s="689">
        <v>13908</v>
      </c>
      <c r="T73" s="694">
        <v>965</v>
      </c>
      <c r="U73" s="694">
        <v>14873</v>
      </c>
    </row>
    <row r="74" spans="1:21" x14ac:dyDescent="0.25">
      <c r="A74" s="690">
        <v>30800</v>
      </c>
      <c r="B74" s="691" t="s">
        <v>845</v>
      </c>
      <c r="C74" s="692">
        <v>8.4210000000000003E-4</v>
      </c>
      <c r="D74" s="692">
        <v>9.1989999999999997E-4</v>
      </c>
      <c r="E74" s="689">
        <v>54359</v>
      </c>
      <c r="F74" s="693">
        <v>-57126</v>
      </c>
      <c r="G74" s="693">
        <v>-51469</v>
      </c>
      <c r="H74" s="693"/>
      <c r="I74" s="689">
        <v>14112</v>
      </c>
      <c r="J74" s="689">
        <v>11282</v>
      </c>
      <c r="K74" s="689">
        <v>0</v>
      </c>
      <c r="L74" s="693">
        <v>5457</v>
      </c>
      <c r="M74" s="693"/>
      <c r="N74" s="689">
        <v>0</v>
      </c>
      <c r="O74" s="689">
        <v>0</v>
      </c>
      <c r="P74" s="689">
        <v>0</v>
      </c>
      <c r="Q74" s="693">
        <v>0</v>
      </c>
      <c r="R74" s="693"/>
      <c r="S74" s="689">
        <v>27346</v>
      </c>
      <c r="T74" s="694">
        <v>1819</v>
      </c>
      <c r="U74" s="694">
        <v>29165</v>
      </c>
    </row>
    <row r="75" spans="1:21" x14ac:dyDescent="0.25">
      <c r="A75" s="690">
        <v>30900</v>
      </c>
      <c r="B75" s="691" t="s">
        <v>846</v>
      </c>
      <c r="C75" s="692">
        <v>1.4660000000000001E-3</v>
      </c>
      <c r="D75" s="692">
        <v>1.5181000000000001E-3</v>
      </c>
      <c r="E75" s="689">
        <v>95894</v>
      </c>
      <c r="F75" s="693">
        <v>-94274</v>
      </c>
      <c r="G75" s="693">
        <v>-89601.919999999998</v>
      </c>
      <c r="H75" s="693"/>
      <c r="I75" s="689">
        <v>24567</v>
      </c>
      <c r="J75" s="689">
        <v>19640</v>
      </c>
      <c r="K75" s="689">
        <v>0</v>
      </c>
      <c r="L75" s="693">
        <v>6565</v>
      </c>
      <c r="M75" s="693"/>
      <c r="N75" s="689">
        <v>0</v>
      </c>
      <c r="O75" s="689">
        <v>0</v>
      </c>
      <c r="P75" s="689">
        <v>0</v>
      </c>
      <c r="Q75" s="693">
        <v>0</v>
      </c>
      <c r="R75" s="693"/>
      <c r="S75" s="689">
        <v>47605</v>
      </c>
      <c r="T75" s="694">
        <v>2188</v>
      </c>
      <c r="U75" s="694">
        <v>49794</v>
      </c>
    </row>
    <row r="76" spans="1:21" x14ac:dyDescent="0.25">
      <c r="A76" s="690">
        <v>30905</v>
      </c>
      <c r="B76" s="691" t="s">
        <v>847</v>
      </c>
      <c r="C76" s="692">
        <v>2.8459999999999998E-4</v>
      </c>
      <c r="D76" s="692">
        <v>3.0170000000000002E-4</v>
      </c>
      <c r="E76" s="689">
        <v>22516</v>
      </c>
      <c r="F76" s="693">
        <v>-18736</v>
      </c>
      <c r="G76" s="693">
        <v>-17395</v>
      </c>
      <c r="H76" s="693"/>
      <c r="I76" s="689">
        <v>4769</v>
      </c>
      <c r="J76" s="689">
        <v>3813</v>
      </c>
      <c r="K76" s="689">
        <v>0</v>
      </c>
      <c r="L76" s="693">
        <v>4525</v>
      </c>
      <c r="M76" s="693"/>
      <c r="N76" s="689">
        <v>0</v>
      </c>
      <c r="O76" s="689">
        <v>0</v>
      </c>
      <c r="P76" s="689">
        <v>0</v>
      </c>
      <c r="Q76" s="693">
        <v>0</v>
      </c>
      <c r="R76" s="693"/>
      <c r="S76" s="689">
        <v>9242</v>
      </c>
      <c r="T76" s="694">
        <v>1508</v>
      </c>
      <c r="U76" s="694">
        <v>10750</v>
      </c>
    </row>
    <row r="77" spans="1:21" x14ac:dyDescent="0.25">
      <c r="A77" s="690">
        <v>31000</v>
      </c>
      <c r="B77" s="691" t="s">
        <v>848</v>
      </c>
      <c r="C77" s="692">
        <v>4.2398000000000002E-3</v>
      </c>
      <c r="D77" s="692">
        <v>4.2865999999999998E-3</v>
      </c>
      <c r="E77" s="689">
        <v>262026</v>
      </c>
      <c r="F77" s="693">
        <v>-266198</v>
      </c>
      <c r="G77" s="693">
        <v>-259137</v>
      </c>
      <c r="H77" s="693"/>
      <c r="I77" s="689">
        <v>71051</v>
      </c>
      <c r="J77" s="689">
        <v>56801</v>
      </c>
      <c r="K77" s="689">
        <v>0</v>
      </c>
      <c r="L77" s="693">
        <v>2668</v>
      </c>
      <c r="M77" s="693"/>
      <c r="N77" s="689">
        <v>0</v>
      </c>
      <c r="O77" s="689">
        <v>0</v>
      </c>
      <c r="P77" s="689">
        <v>0</v>
      </c>
      <c r="Q77" s="693">
        <v>0</v>
      </c>
      <c r="R77" s="693"/>
      <c r="S77" s="689">
        <v>137679</v>
      </c>
      <c r="T77" s="694">
        <v>889</v>
      </c>
      <c r="U77" s="694">
        <v>138568</v>
      </c>
    </row>
    <row r="78" spans="1:21" x14ac:dyDescent="0.25">
      <c r="A78" s="690">
        <v>31005</v>
      </c>
      <c r="B78" s="691" t="s">
        <v>849</v>
      </c>
      <c r="C78" s="692">
        <v>4.0259999999999997E-4</v>
      </c>
      <c r="D78" s="692">
        <v>4.239E-4</v>
      </c>
      <c r="E78" s="689">
        <v>28728</v>
      </c>
      <c r="F78" s="693">
        <v>-26324</v>
      </c>
      <c r="G78" s="693">
        <v>-24607</v>
      </c>
      <c r="H78" s="693"/>
      <c r="I78" s="689">
        <v>6747</v>
      </c>
      <c r="J78" s="689">
        <v>5394</v>
      </c>
      <c r="K78" s="689">
        <v>0</v>
      </c>
      <c r="L78" s="693">
        <v>3923</v>
      </c>
      <c r="M78" s="693"/>
      <c r="N78" s="689">
        <v>0</v>
      </c>
      <c r="O78" s="689">
        <v>0</v>
      </c>
      <c r="P78" s="689">
        <v>0</v>
      </c>
      <c r="Q78" s="693">
        <v>0</v>
      </c>
      <c r="R78" s="693"/>
      <c r="S78" s="689">
        <v>13074</v>
      </c>
      <c r="T78" s="694">
        <v>1308</v>
      </c>
      <c r="U78" s="694">
        <v>14381</v>
      </c>
    </row>
    <row r="79" spans="1:21" x14ac:dyDescent="0.25">
      <c r="A79" s="690">
        <v>31100</v>
      </c>
      <c r="B79" s="691" t="s">
        <v>850</v>
      </c>
      <c r="C79" s="692">
        <v>8.7551999999999994E-3</v>
      </c>
      <c r="D79" s="692">
        <v>8.8377999999999998E-3</v>
      </c>
      <c r="E79" s="689">
        <v>525028</v>
      </c>
      <c r="F79" s="693">
        <v>-548827</v>
      </c>
      <c r="G79" s="693">
        <v>-535118</v>
      </c>
      <c r="H79" s="693"/>
      <c r="I79" s="689">
        <v>146720</v>
      </c>
      <c r="J79" s="689">
        <v>117293</v>
      </c>
      <c r="K79" s="689">
        <v>0</v>
      </c>
      <c r="L79" s="693">
        <v>0</v>
      </c>
      <c r="M79" s="693"/>
      <c r="N79" s="689">
        <v>0</v>
      </c>
      <c r="O79" s="689">
        <v>0</v>
      </c>
      <c r="P79" s="689">
        <v>0</v>
      </c>
      <c r="Q79" s="693">
        <v>7188</v>
      </c>
      <c r="R79" s="693"/>
      <c r="S79" s="689">
        <v>284308</v>
      </c>
      <c r="T79" s="694">
        <v>-2396</v>
      </c>
      <c r="U79" s="694">
        <v>281912</v>
      </c>
    </row>
    <row r="80" spans="1:21" x14ac:dyDescent="0.25">
      <c r="A80" s="690">
        <v>31101</v>
      </c>
      <c r="B80" s="691" t="s">
        <v>851</v>
      </c>
      <c r="C80" s="692">
        <v>5.9700000000000001E-5</v>
      </c>
      <c r="D80" s="692">
        <v>6.0099999999999997E-5</v>
      </c>
      <c r="E80" s="689">
        <v>3222</v>
      </c>
      <c r="F80" s="693">
        <v>-3732</v>
      </c>
      <c r="G80" s="693">
        <v>-3649</v>
      </c>
      <c r="H80" s="693"/>
      <c r="I80" s="689">
        <v>1000</v>
      </c>
      <c r="J80" s="689">
        <v>800</v>
      </c>
      <c r="K80" s="689">
        <v>0</v>
      </c>
      <c r="L80" s="693">
        <v>0</v>
      </c>
      <c r="M80" s="693"/>
      <c r="N80" s="689">
        <v>0</v>
      </c>
      <c r="O80" s="689">
        <v>0</v>
      </c>
      <c r="P80" s="689">
        <v>0</v>
      </c>
      <c r="Q80" s="693">
        <v>326</v>
      </c>
      <c r="R80" s="693"/>
      <c r="S80" s="689">
        <v>1939</v>
      </c>
      <c r="T80" s="694">
        <v>-109</v>
      </c>
      <c r="U80" s="694">
        <v>1830</v>
      </c>
    </row>
    <row r="81" spans="1:21" x14ac:dyDescent="0.25">
      <c r="A81" s="690">
        <v>31102</v>
      </c>
      <c r="B81" s="691" t="s">
        <v>852</v>
      </c>
      <c r="C81" s="692">
        <v>1.46E-4</v>
      </c>
      <c r="D81" s="692">
        <v>1.393E-4</v>
      </c>
      <c r="E81" s="689">
        <v>7586</v>
      </c>
      <c r="F81" s="693">
        <v>-8651</v>
      </c>
      <c r="G81" s="693">
        <v>-8923.52</v>
      </c>
      <c r="H81" s="693"/>
      <c r="I81" s="689">
        <v>2447</v>
      </c>
      <c r="J81" s="689">
        <v>1956</v>
      </c>
      <c r="K81" s="689">
        <v>0</v>
      </c>
      <c r="L81" s="693">
        <v>0</v>
      </c>
      <c r="M81" s="693"/>
      <c r="N81" s="689">
        <v>0</v>
      </c>
      <c r="O81" s="689">
        <v>0</v>
      </c>
      <c r="P81" s="689">
        <v>0</v>
      </c>
      <c r="Q81" s="693">
        <v>1373</v>
      </c>
      <c r="R81" s="693"/>
      <c r="S81" s="689">
        <v>4741</v>
      </c>
      <c r="T81" s="694">
        <v>-458</v>
      </c>
      <c r="U81" s="694">
        <v>4283</v>
      </c>
    </row>
    <row r="82" spans="1:21" x14ac:dyDescent="0.25">
      <c r="A82" s="690">
        <v>31105</v>
      </c>
      <c r="B82" s="691" t="s">
        <v>853</v>
      </c>
      <c r="C82" s="692">
        <v>1.3917999999999999E-3</v>
      </c>
      <c r="D82" s="692">
        <v>1.3611000000000001E-3</v>
      </c>
      <c r="E82" s="689">
        <v>89794</v>
      </c>
      <c r="F82" s="693">
        <v>-84524</v>
      </c>
      <c r="G82" s="693">
        <v>-85067</v>
      </c>
      <c r="H82" s="693"/>
      <c r="I82" s="689">
        <v>23324</v>
      </c>
      <c r="J82" s="689">
        <v>18646</v>
      </c>
      <c r="K82" s="689">
        <v>0</v>
      </c>
      <c r="L82" s="693">
        <v>1564</v>
      </c>
      <c r="M82" s="693"/>
      <c r="N82" s="689">
        <v>0</v>
      </c>
      <c r="O82" s="689">
        <v>0</v>
      </c>
      <c r="P82" s="689">
        <v>0</v>
      </c>
      <c r="Q82" s="693">
        <v>0</v>
      </c>
      <c r="R82" s="693"/>
      <c r="S82" s="689">
        <v>45196</v>
      </c>
      <c r="T82" s="694">
        <v>521</v>
      </c>
      <c r="U82" s="694">
        <v>45717</v>
      </c>
    </row>
    <row r="83" spans="1:21" x14ac:dyDescent="0.25">
      <c r="A83" s="690">
        <v>31110</v>
      </c>
      <c r="B83" s="691" t="s">
        <v>854</v>
      </c>
      <c r="C83" s="692">
        <v>1.9932999999999999E-3</v>
      </c>
      <c r="D83" s="692">
        <v>2.0669E-3</v>
      </c>
      <c r="E83" s="689">
        <v>115075</v>
      </c>
      <c r="F83" s="693">
        <v>-128354</v>
      </c>
      <c r="G83" s="693">
        <v>-121830</v>
      </c>
      <c r="H83" s="693"/>
      <c r="I83" s="689">
        <v>33404</v>
      </c>
      <c r="J83" s="689">
        <v>26704</v>
      </c>
      <c r="K83" s="689">
        <v>0</v>
      </c>
      <c r="L83" s="693">
        <v>0</v>
      </c>
      <c r="M83" s="693"/>
      <c r="N83" s="689">
        <v>0</v>
      </c>
      <c r="O83" s="689">
        <v>0</v>
      </c>
      <c r="P83" s="689">
        <v>0</v>
      </c>
      <c r="Q83" s="693">
        <v>2428</v>
      </c>
      <c r="R83" s="693"/>
      <c r="S83" s="689">
        <v>64728</v>
      </c>
      <c r="T83" s="694">
        <v>-809</v>
      </c>
      <c r="U83" s="694">
        <v>63919</v>
      </c>
    </row>
    <row r="84" spans="1:21" x14ac:dyDescent="0.25">
      <c r="A84" s="690">
        <v>31200</v>
      </c>
      <c r="B84" s="691" t="s">
        <v>855</v>
      </c>
      <c r="C84" s="692">
        <v>3.9153E-3</v>
      </c>
      <c r="D84" s="692">
        <v>4.1901000000000004E-3</v>
      </c>
      <c r="E84" s="689">
        <v>239179</v>
      </c>
      <c r="F84" s="693">
        <v>-260205</v>
      </c>
      <c r="G84" s="693">
        <v>-239303</v>
      </c>
      <c r="H84" s="693"/>
      <c r="I84" s="689">
        <v>65613</v>
      </c>
      <c r="J84" s="689">
        <v>52453</v>
      </c>
      <c r="K84" s="689">
        <v>0</v>
      </c>
      <c r="L84" s="693">
        <v>11156</v>
      </c>
      <c r="M84" s="693"/>
      <c r="N84" s="689">
        <v>0</v>
      </c>
      <c r="O84" s="689">
        <v>0</v>
      </c>
      <c r="P84" s="689">
        <v>0</v>
      </c>
      <c r="Q84" s="693">
        <v>0</v>
      </c>
      <c r="R84" s="693"/>
      <c r="S84" s="689">
        <v>127142</v>
      </c>
      <c r="T84" s="694">
        <v>3719</v>
      </c>
      <c r="U84" s="694">
        <v>130860</v>
      </c>
    </row>
    <row r="85" spans="1:21" x14ac:dyDescent="0.25">
      <c r="A85" s="690">
        <v>31205</v>
      </c>
      <c r="B85" s="691" t="s">
        <v>856</v>
      </c>
      <c r="C85" s="692">
        <v>4.618E-4</v>
      </c>
      <c r="D85" s="692">
        <v>5.0940000000000002E-4</v>
      </c>
      <c r="E85" s="689">
        <v>32314</v>
      </c>
      <c r="F85" s="693">
        <v>-31634</v>
      </c>
      <c r="G85" s="693">
        <v>-28225</v>
      </c>
      <c r="H85" s="693"/>
      <c r="I85" s="689">
        <v>7739</v>
      </c>
      <c r="J85" s="689">
        <v>6187</v>
      </c>
      <c r="K85" s="689">
        <v>0</v>
      </c>
      <c r="L85" s="693">
        <v>5100</v>
      </c>
      <c r="M85" s="693"/>
      <c r="N85" s="689">
        <v>0</v>
      </c>
      <c r="O85" s="689">
        <v>0</v>
      </c>
      <c r="P85" s="689">
        <v>0</v>
      </c>
      <c r="Q85" s="693">
        <v>0</v>
      </c>
      <c r="R85" s="693"/>
      <c r="S85" s="689">
        <v>14996</v>
      </c>
      <c r="T85" s="694">
        <v>1700</v>
      </c>
      <c r="U85" s="694">
        <v>16696</v>
      </c>
    </row>
    <row r="86" spans="1:21" x14ac:dyDescent="0.25">
      <c r="A86" s="690">
        <v>31300</v>
      </c>
      <c r="B86" s="691" t="s">
        <v>857</v>
      </c>
      <c r="C86" s="692">
        <v>1.07221E-2</v>
      </c>
      <c r="D86" s="692">
        <v>1.06321E-2</v>
      </c>
      <c r="E86" s="689">
        <v>599377</v>
      </c>
      <c r="F86" s="693">
        <v>-660253</v>
      </c>
      <c r="G86" s="693">
        <v>-655335</v>
      </c>
      <c r="H86" s="693"/>
      <c r="I86" s="689">
        <v>179681</v>
      </c>
      <c r="J86" s="689">
        <v>143644</v>
      </c>
      <c r="K86" s="689">
        <v>0</v>
      </c>
      <c r="L86" s="693">
        <v>0</v>
      </c>
      <c r="M86" s="693"/>
      <c r="N86" s="689">
        <v>0</v>
      </c>
      <c r="O86" s="689">
        <v>0</v>
      </c>
      <c r="P86" s="689">
        <v>0</v>
      </c>
      <c r="Q86" s="693">
        <v>50406</v>
      </c>
      <c r="R86" s="693"/>
      <c r="S86" s="689">
        <v>348179</v>
      </c>
      <c r="T86" s="694">
        <v>-16802</v>
      </c>
      <c r="U86" s="694">
        <v>331377</v>
      </c>
    </row>
    <row r="87" spans="1:21" x14ac:dyDescent="0.25">
      <c r="A87" s="690">
        <v>31301</v>
      </c>
      <c r="B87" s="691" t="s">
        <v>858</v>
      </c>
      <c r="C87" s="692">
        <v>2.6640000000000002E-4</v>
      </c>
      <c r="D87" s="692">
        <v>2.154E-4</v>
      </c>
      <c r="E87" s="689">
        <v>13094</v>
      </c>
      <c r="F87" s="693">
        <v>-13376</v>
      </c>
      <c r="G87" s="693">
        <v>-16282</v>
      </c>
      <c r="H87" s="693"/>
      <c r="I87" s="689">
        <v>4464</v>
      </c>
      <c r="J87" s="689">
        <v>3569</v>
      </c>
      <c r="K87" s="689">
        <v>0</v>
      </c>
      <c r="L87" s="693">
        <v>0</v>
      </c>
      <c r="M87" s="693"/>
      <c r="N87" s="689">
        <v>0</v>
      </c>
      <c r="O87" s="689">
        <v>0</v>
      </c>
      <c r="P87" s="689">
        <v>0</v>
      </c>
      <c r="Q87" s="693">
        <v>4872</v>
      </c>
      <c r="R87" s="693"/>
      <c r="S87" s="689">
        <v>8651</v>
      </c>
      <c r="T87" s="694">
        <v>-1624</v>
      </c>
      <c r="U87" s="694">
        <v>7027</v>
      </c>
    </row>
    <row r="88" spans="1:21" x14ac:dyDescent="0.25">
      <c r="A88" s="690">
        <v>31320</v>
      </c>
      <c r="B88" s="691" t="s">
        <v>859</v>
      </c>
      <c r="C88" s="692">
        <v>1.9375E-3</v>
      </c>
      <c r="D88" s="692">
        <v>1.9859999999999999E-3</v>
      </c>
      <c r="E88" s="689">
        <v>108245</v>
      </c>
      <c r="F88" s="693">
        <v>-123331</v>
      </c>
      <c r="G88" s="693">
        <v>-118420</v>
      </c>
      <c r="H88" s="693"/>
      <c r="I88" s="689">
        <v>32468.625</v>
      </c>
      <c r="J88" s="689">
        <v>25956.6875</v>
      </c>
      <c r="K88" s="689">
        <v>0</v>
      </c>
      <c r="L88" s="693">
        <v>0</v>
      </c>
      <c r="M88" s="693"/>
      <c r="N88" s="689">
        <v>0</v>
      </c>
      <c r="O88" s="689">
        <v>0</v>
      </c>
      <c r="P88" s="689">
        <v>0</v>
      </c>
      <c r="Q88" s="693">
        <v>6140</v>
      </c>
      <c r="R88" s="693"/>
      <c r="S88" s="689">
        <v>62916</v>
      </c>
      <c r="T88" s="694">
        <v>-2047</v>
      </c>
      <c r="U88" s="694">
        <v>60870</v>
      </c>
    </row>
    <row r="89" spans="1:21" x14ac:dyDescent="0.25">
      <c r="A89" s="690">
        <v>31400</v>
      </c>
      <c r="B89" s="691" t="s">
        <v>860</v>
      </c>
      <c r="C89" s="692">
        <v>4.0455999999999999E-3</v>
      </c>
      <c r="D89" s="692">
        <v>4.1777999999999997E-3</v>
      </c>
      <c r="E89" s="689">
        <v>249258</v>
      </c>
      <c r="F89" s="693">
        <v>-259441</v>
      </c>
      <c r="G89" s="693">
        <v>-247267</v>
      </c>
      <c r="H89" s="693"/>
      <c r="I89" s="689">
        <v>67796</v>
      </c>
      <c r="J89" s="689">
        <v>54199</v>
      </c>
      <c r="K89" s="689">
        <v>0</v>
      </c>
      <c r="L89" s="693">
        <v>6048</v>
      </c>
      <c r="M89" s="693"/>
      <c r="N89" s="689">
        <v>0</v>
      </c>
      <c r="O89" s="689">
        <v>0</v>
      </c>
      <c r="P89" s="689">
        <v>0</v>
      </c>
      <c r="Q89" s="693">
        <v>0</v>
      </c>
      <c r="R89" s="693"/>
      <c r="S89" s="689">
        <v>131373</v>
      </c>
      <c r="T89" s="694">
        <v>2016</v>
      </c>
      <c r="U89" s="694">
        <v>133389</v>
      </c>
    </row>
    <row r="90" spans="1:21" x14ac:dyDescent="0.25">
      <c r="A90" s="690">
        <v>31405</v>
      </c>
      <c r="B90" s="691" t="s">
        <v>861</v>
      </c>
      <c r="C90" s="692">
        <v>7.8370000000000002E-4</v>
      </c>
      <c r="D90" s="692">
        <v>8.1789999999999999E-4</v>
      </c>
      <c r="E90" s="689">
        <v>56872</v>
      </c>
      <c r="F90" s="693">
        <v>-50792</v>
      </c>
      <c r="G90" s="693">
        <v>-47900</v>
      </c>
      <c r="H90" s="693"/>
      <c r="I90" s="689">
        <v>13133</v>
      </c>
      <c r="J90" s="689">
        <v>10499</v>
      </c>
      <c r="K90" s="689">
        <v>0</v>
      </c>
      <c r="L90" s="693">
        <v>8011</v>
      </c>
      <c r="M90" s="693"/>
      <c r="N90" s="689">
        <v>0</v>
      </c>
      <c r="O90" s="689">
        <v>0</v>
      </c>
      <c r="P90" s="689">
        <v>0</v>
      </c>
      <c r="Q90" s="693">
        <v>0</v>
      </c>
      <c r="R90" s="693"/>
      <c r="S90" s="689">
        <v>25449</v>
      </c>
      <c r="T90" s="694">
        <v>2670</v>
      </c>
      <c r="U90" s="694">
        <v>28120</v>
      </c>
    </row>
    <row r="91" spans="1:21" x14ac:dyDescent="0.25">
      <c r="A91" s="690">
        <v>31500</v>
      </c>
      <c r="B91" s="691" t="s">
        <v>862</v>
      </c>
      <c r="C91" s="692">
        <v>6.1010000000000003E-4</v>
      </c>
      <c r="D91" s="692">
        <v>6.3369999999999995E-4</v>
      </c>
      <c r="E91" s="689">
        <v>39747</v>
      </c>
      <c r="F91" s="693">
        <v>-39353</v>
      </c>
      <c r="G91" s="693">
        <v>-37289</v>
      </c>
      <c r="H91" s="693"/>
      <c r="I91" s="689">
        <v>10224</v>
      </c>
      <c r="J91" s="689">
        <v>8174</v>
      </c>
      <c r="K91" s="689">
        <v>0</v>
      </c>
      <c r="L91" s="693">
        <v>2701</v>
      </c>
      <c r="M91" s="693"/>
      <c r="N91" s="689">
        <v>0</v>
      </c>
      <c r="O91" s="689">
        <v>0</v>
      </c>
      <c r="P91" s="689">
        <v>0</v>
      </c>
      <c r="Q91" s="693">
        <v>0</v>
      </c>
      <c r="R91" s="693"/>
      <c r="S91" s="689">
        <v>19812</v>
      </c>
      <c r="T91" s="694">
        <v>900</v>
      </c>
      <c r="U91" s="694">
        <v>20712</v>
      </c>
    </row>
    <row r="92" spans="1:21" x14ac:dyDescent="0.25">
      <c r="A92" s="690">
        <v>31600</v>
      </c>
      <c r="B92" s="691" t="s">
        <v>863</v>
      </c>
      <c r="C92" s="692">
        <v>2.8373999999999999E-3</v>
      </c>
      <c r="D92" s="692">
        <v>2.9166999999999999E-3</v>
      </c>
      <c r="E92" s="689">
        <v>176059</v>
      </c>
      <c r="F92" s="693">
        <v>-181127</v>
      </c>
      <c r="G92" s="693">
        <v>-173422</v>
      </c>
      <c r="H92" s="693"/>
      <c r="I92" s="689">
        <v>47549</v>
      </c>
      <c r="J92" s="689">
        <v>38013</v>
      </c>
      <c r="K92" s="689">
        <v>0</v>
      </c>
      <c r="L92" s="693">
        <v>4548</v>
      </c>
      <c r="M92" s="693"/>
      <c r="N92" s="689">
        <v>0</v>
      </c>
      <c r="O92" s="689">
        <v>0</v>
      </c>
      <c r="P92" s="689">
        <v>0</v>
      </c>
      <c r="Q92" s="693">
        <v>0</v>
      </c>
      <c r="R92" s="693"/>
      <c r="S92" s="689">
        <v>92139</v>
      </c>
      <c r="T92" s="694">
        <v>1516</v>
      </c>
      <c r="U92" s="694">
        <v>93655</v>
      </c>
    </row>
    <row r="93" spans="1:21" x14ac:dyDescent="0.25">
      <c r="A93" s="690">
        <v>31605</v>
      </c>
      <c r="B93" s="691" t="s">
        <v>865</v>
      </c>
      <c r="C93" s="692">
        <v>4.2200000000000001E-4</v>
      </c>
      <c r="D93" s="692">
        <v>4.0969999999999998E-4</v>
      </c>
      <c r="E93" s="689">
        <v>28878</v>
      </c>
      <c r="F93" s="693">
        <v>-25442</v>
      </c>
      <c r="G93" s="693">
        <v>-25792.639999999999</v>
      </c>
      <c r="H93" s="693"/>
      <c r="I93" s="689">
        <v>7072</v>
      </c>
      <c r="J93" s="689">
        <v>5654</v>
      </c>
      <c r="K93" s="689">
        <v>0</v>
      </c>
      <c r="L93" s="693">
        <v>1574</v>
      </c>
      <c r="M93" s="693"/>
      <c r="N93" s="689">
        <v>0</v>
      </c>
      <c r="O93" s="689">
        <v>0</v>
      </c>
      <c r="P93" s="689">
        <v>0</v>
      </c>
      <c r="Q93" s="693">
        <v>0</v>
      </c>
      <c r="R93" s="693"/>
      <c r="S93" s="689">
        <v>13704</v>
      </c>
      <c r="T93" s="694">
        <v>525</v>
      </c>
      <c r="U93" s="694">
        <v>14228</v>
      </c>
    </row>
    <row r="94" spans="1:21" x14ac:dyDescent="0.25">
      <c r="A94" s="690">
        <v>31700</v>
      </c>
      <c r="B94" s="691" t="s">
        <v>866</v>
      </c>
      <c r="C94" s="692">
        <v>8.6319999999999995E-4</v>
      </c>
      <c r="D94" s="692">
        <v>8.7489999999999996E-4</v>
      </c>
      <c r="E94" s="689">
        <v>56152</v>
      </c>
      <c r="F94" s="693">
        <v>-54331</v>
      </c>
      <c r="G94" s="693">
        <v>-52759</v>
      </c>
      <c r="H94" s="693"/>
      <c r="I94" s="689">
        <v>14466</v>
      </c>
      <c r="J94" s="689">
        <v>11564</v>
      </c>
      <c r="K94" s="689">
        <v>0</v>
      </c>
      <c r="L94" s="693">
        <v>2748</v>
      </c>
      <c r="M94" s="693"/>
      <c r="N94" s="689">
        <v>0</v>
      </c>
      <c r="O94" s="689">
        <v>0</v>
      </c>
      <c r="P94" s="689">
        <v>0</v>
      </c>
      <c r="Q94" s="693">
        <v>0</v>
      </c>
      <c r="R94" s="693"/>
      <c r="S94" s="689">
        <v>28031</v>
      </c>
      <c r="T94" s="694">
        <v>916</v>
      </c>
      <c r="U94" s="694">
        <v>28947</v>
      </c>
    </row>
    <row r="95" spans="1:21" x14ac:dyDescent="0.25">
      <c r="A95" s="690">
        <v>31800</v>
      </c>
      <c r="B95" s="691" t="s">
        <v>867</v>
      </c>
      <c r="C95" s="692">
        <v>5.1456000000000002E-3</v>
      </c>
      <c r="D95" s="692">
        <v>5.4010000000000004E-3</v>
      </c>
      <c r="E95" s="689">
        <v>318427</v>
      </c>
      <c r="F95" s="693">
        <v>-335402</v>
      </c>
      <c r="G95" s="693">
        <v>-314499</v>
      </c>
      <c r="H95" s="693"/>
      <c r="I95" s="689">
        <v>86230</v>
      </c>
      <c r="J95" s="689">
        <v>68936</v>
      </c>
      <c r="K95" s="689">
        <v>0</v>
      </c>
      <c r="L95" s="693">
        <v>12803</v>
      </c>
      <c r="M95" s="693"/>
      <c r="N95" s="689">
        <v>0</v>
      </c>
      <c r="O95" s="689">
        <v>0</v>
      </c>
      <c r="P95" s="689">
        <v>0</v>
      </c>
      <c r="Q95" s="693">
        <v>0</v>
      </c>
      <c r="R95" s="693"/>
      <c r="S95" s="689">
        <v>167093</v>
      </c>
      <c r="T95" s="694">
        <v>4268</v>
      </c>
      <c r="U95" s="694">
        <v>171361</v>
      </c>
    </row>
    <row r="96" spans="1:21" x14ac:dyDescent="0.25">
      <c r="A96" s="690">
        <v>31805</v>
      </c>
      <c r="B96" s="691" t="s">
        <v>868</v>
      </c>
      <c r="C96" s="692">
        <v>9.9879999999999999E-4</v>
      </c>
      <c r="D96" s="692">
        <v>1.0135999999999999E-3</v>
      </c>
      <c r="E96" s="689">
        <v>67964</v>
      </c>
      <c r="F96" s="693">
        <v>-62945</v>
      </c>
      <c r="G96" s="693">
        <v>-61047</v>
      </c>
      <c r="H96" s="693"/>
      <c r="I96" s="689">
        <v>16738</v>
      </c>
      <c r="J96" s="689">
        <v>13381</v>
      </c>
      <c r="K96" s="689">
        <v>0</v>
      </c>
      <c r="L96" s="693">
        <v>5482</v>
      </c>
      <c r="M96" s="693"/>
      <c r="N96" s="689">
        <v>0</v>
      </c>
      <c r="O96" s="689">
        <v>0</v>
      </c>
      <c r="P96" s="689">
        <v>0</v>
      </c>
      <c r="Q96" s="693">
        <v>0</v>
      </c>
      <c r="R96" s="693"/>
      <c r="S96" s="689">
        <v>32434</v>
      </c>
      <c r="T96" s="694">
        <v>1827</v>
      </c>
      <c r="U96" s="694">
        <v>34261</v>
      </c>
    </row>
    <row r="97" spans="1:21" x14ac:dyDescent="0.25">
      <c r="A97" s="690">
        <v>31810</v>
      </c>
      <c r="B97" s="691" t="s">
        <v>869</v>
      </c>
      <c r="C97" s="692">
        <v>1.3487E-3</v>
      </c>
      <c r="D97" s="692">
        <v>1.3606E-3</v>
      </c>
      <c r="E97" s="689">
        <v>80788</v>
      </c>
      <c r="F97" s="693">
        <v>-84493</v>
      </c>
      <c r="G97" s="693">
        <v>-82433</v>
      </c>
      <c r="H97" s="693"/>
      <c r="I97" s="689">
        <v>22602</v>
      </c>
      <c r="J97" s="689">
        <v>18069</v>
      </c>
      <c r="K97" s="689">
        <v>0</v>
      </c>
      <c r="L97" s="693">
        <v>0</v>
      </c>
      <c r="M97" s="693"/>
      <c r="N97" s="689">
        <v>0</v>
      </c>
      <c r="O97" s="689">
        <v>0</v>
      </c>
      <c r="P97" s="689">
        <v>0</v>
      </c>
      <c r="Q97" s="693">
        <v>1213</v>
      </c>
      <c r="R97" s="693"/>
      <c r="S97" s="689">
        <v>43796</v>
      </c>
      <c r="T97" s="694">
        <v>-404</v>
      </c>
      <c r="U97" s="694">
        <v>43392</v>
      </c>
    </row>
    <row r="98" spans="1:21" x14ac:dyDescent="0.25">
      <c r="A98" s="690">
        <v>31820</v>
      </c>
      <c r="B98" s="691" t="s">
        <v>870</v>
      </c>
      <c r="C98" s="692">
        <v>1.1471999999999999E-3</v>
      </c>
      <c r="D98" s="692">
        <v>1.2298999999999999E-3</v>
      </c>
      <c r="E98" s="689">
        <v>66391</v>
      </c>
      <c r="F98" s="693">
        <v>-76377</v>
      </c>
      <c r="G98" s="693">
        <v>-70117</v>
      </c>
      <c r="H98" s="693"/>
      <c r="I98" s="689">
        <v>19225</v>
      </c>
      <c r="J98" s="689">
        <v>15369</v>
      </c>
      <c r="K98" s="689">
        <v>0</v>
      </c>
      <c r="L98" s="693">
        <v>603</v>
      </c>
      <c r="M98" s="693"/>
      <c r="N98" s="689">
        <v>0</v>
      </c>
      <c r="O98" s="689">
        <v>0</v>
      </c>
      <c r="P98" s="689">
        <v>0</v>
      </c>
      <c r="Q98" s="693">
        <v>0</v>
      </c>
      <c r="R98" s="693"/>
      <c r="S98" s="689">
        <v>37253</v>
      </c>
      <c r="T98" s="694">
        <v>201</v>
      </c>
      <c r="U98" s="694">
        <v>37454</v>
      </c>
    </row>
    <row r="99" spans="1:21" x14ac:dyDescent="0.25">
      <c r="A99" s="690">
        <v>31900</v>
      </c>
      <c r="B99" s="691" t="s">
        <v>871</v>
      </c>
      <c r="C99" s="692">
        <v>3.2399E-3</v>
      </c>
      <c r="D99" s="692">
        <v>3.137E-3</v>
      </c>
      <c r="E99" s="689">
        <v>189466</v>
      </c>
      <c r="F99" s="693">
        <v>-194808</v>
      </c>
      <c r="G99" s="693">
        <v>-198023</v>
      </c>
      <c r="H99" s="693"/>
      <c r="I99" s="689">
        <v>54294</v>
      </c>
      <c r="J99" s="689">
        <v>43405</v>
      </c>
      <c r="K99" s="689">
        <v>0</v>
      </c>
      <c r="L99" s="693">
        <v>0</v>
      </c>
      <c r="M99" s="693"/>
      <c r="N99" s="689">
        <v>0</v>
      </c>
      <c r="O99" s="689">
        <v>0</v>
      </c>
      <c r="P99" s="689">
        <v>0</v>
      </c>
      <c r="Q99" s="693">
        <v>12493</v>
      </c>
      <c r="R99" s="693"/>
      <c r="S99" s="689">
        <v>105209</v>
      </c>
      <c r="T99" s="694">
        <v>-4164</v>
      </c>
      <c r="U99" s="694">
        <v>101045</v>
      </c>
    </row>
    <row r="100" spans="1:21" x14ac:dyDescent="0.25">
      <c r="A100" s="690">
        <v>32000</v>
      </c>
      <c r="B100" s="691" t="s">
        <v>872</v>
      </c>
      <c r="C100" s="692">
        <v>1.3066E-3</v>
      </c>
      <c r="D100" s="692">
        <v>1.2830999999999999E-3</v>
      </c>
      <c r="E100" s="689">
        <v>77878</v>
      </c>
      <c r="F100" s="693">
        <v>-79681</v>
      </c>
      <c r="G100" s="693">
        <v>-79859</v>
      </c>
      <c r="H100" s="693"/>
      <c r="I100" s="689">
        <v>21896</v>
      </c>
      <c r="J100" s="689">
        <v>17505</v>
      </c>
      <c r="K100" s="689">
        <v>0</v>
      </c>
      <c r="L100" s="693">
        <v>0</v>
      </c>
      <c r="M100" s="693"/>
      <c r="N100" s="689">
        <v>0</v>
      </c>
      <c r="O100" s="689">
        <v>0</v>
      </c>
      <c r="P100" s="689">
        <v>0</v>
      </c>
      <c r="Q100" s="693">
        <v>3098</v>
      </c>
      <c r="R100" s="693"/>
      <c r="S100" s="689">
        <v>42429</v>
      </c>
      <c r="T100" s="694">
        <v>-1033</v>
      </c>
      <c r="U100" s="694">
        <v>41396</v>
      </c>
    </row>
    <row r="101" spans="1:21" x14ac:dyDescent="0.25">
      <c r="A101" s="690">
        <v>32005</v>
      </c>
      <c r="B101" s="691" t="s">
        <v>873</v>
      </c>
      <c r="C101" s="692">
        <v>2.898E-4</v>
      </c>
      <c r="D101" s="692">
        <v>2.8860000000000002E-4</v>
      </c>
      <c r="E101" s="689">
        <v>19425</v>
      </c>
      <c r="F101" s="693">
        <v>-17922</v>
      </c>
      <c r="G101" s="693">
        <v>-17713</v>
      </c>
      <c r="H101" s="693"/>
      <c r="I101" s="689">
        <v>4856</v>
      </c>
      <c r="J101" s="689">
        <v>3882</v>
      </c>
      <c r="K101" s="689">
        <v>0</v>
      </c>
      <c r="L101" s="693">
        <v>1114</v>
      </c>
      <c r="M101" s="693"/>
      <c r="N101" s="689">
        <v>0</v>
      </c>
      <c r="O101" s="689">
        <v>0</v>
      </c>
      <c r="P101" s="689">
        <v>0</v>
      </c>
      <c r="Q101" s="693">
        <v>0</v>
      </c>
      <c r="R101" s="693"/>
      <c r="S101" s="689">
        <v>9411</v>
      </c>
      <c r="T101" s="694">
        <v>371</v>
      </c>
      <c r="U101" s="694">
        <v>9782</v>
      </c>
    </row>
    <row r="102" spans="1:21" x14ac:dyDescent="0.25">
      <c r="A102" s="690">
        <v>32100</v>
      </c>
      <c r="B102" s="691" t="s">
        <v>874</v>
      </c>
      <c r="C102" s="692">
        <v>7.3490000000000003E-4</v>
      </c>
      <c r="D102" s="692">
        <v>7.8859999999999998E-4</v>
      </c>
      <c r="E102" s="689">
        <v>47418</v>
      </c>
      <c r="F102" s="693">
        <v>-48972</v>
      </c>
      <c r="G102" s="693">
        <v>-44917</v>
      </c>
      <c r="H102" s="693"/>
      <c r="I102" s="689">
        <v>12315</v>
      </c>
      <c r="J102" s="689">
        <v>9845</v>
      </c>
      <c r="K102" s="689">
        <v>0</v>
      </c>
      <c r="L102" s="693">
        <v>4086</v>
      </c>
      <c r="M102" s="693"/>
      <c r="N102" s="689">
        <v>0</v>
      </c>
      <c r="O102" s="689">
        <v>0</v>
      </c>
      <c r="P102" s="689">
        <v>0</v>
      </c>
      <c r="Q102" s="693">
        <v>0</v>
      </c>
      <c r="R102" s="693"/>
      <c r="S102" s="689">
        <v>23864</v>
      </c>
      <c r="T102" s="694">
        <v>1362</v>
      </c>
      <c r="U102" s="694">
        <v>25226</v>
      </c>
    </row>
    <row r="103" spans="1:21" x14ac:dyDescent="0.25">
      <c r="A103" s="690">
        <v>32200</v>
      </c>
      <c r="B103" s="691" t="s">
        <v>875</v>
      </c>
      <c r="C103" s="692">
        <v>4.8739999999999998E-4</v>
      </c>
      <c r="D103" s="692">
        <v>4.8809999999999999E-4</v>
      </c>
      <c r="E103" s="689">
        <v>30339</v>
      </c>
      <c r="F103" s="693">
        <v>-30311</v>
      </c>
      <c r="G103" s="693">
        <v>-29790</v>
      </c>
      <c r="H103" s="693"/>
      <c r="I103" s="689">
        <v>8168</v>
      </c>
      <c r="J103" s="689">
        <v>6530</v>
      </c>
      <c r="K103" s="689">
        <v>0</v>
      </c>
      <c r="L103" s="693">
        <v>251</v>
      </c>
      <c r="M103" s="693"/>
      <c r="N103" s="689">
        <v>0</v>
      </c>
      <c r="O103" s="689">
        <v>0</v>
      </c>
      <c r="P103" s="689">
        <v>0</v>
      </c>
      <c r="Q103" s="693">
        <v>0</v>
      </c>
      <c r="R103" s="693"/>
      <c r="S103" s="689">
        <v>15827</v>
      </c>
      <c r="T103" s="694">
        <v>84</v>
      </c>
      <c r="U103" s="694">
        <v>15911</v>
      </c>
    </row>
    <row r="104" spans="1:21" x14ac:dyDescent="0.25">
      <c r="A104" s="690">
        <v>32300</v>
      </c>
      <c r="B104" s="691" t="s">
        <v>876</v>
      </c>
      <c r="C104" s="692">
        <v>5.4824000000000001E-3</v>
      </c>
      <c r="D104" s="692">
        <v>5.5947999999999996E-3</v>
      </c>
      <c r="E104" s="689">
        <v>322943</v>
      </c>
      <c r="F104" s="693">
        <v>-347437</v>
      </c>
      <c r="G104" s="693">
        <v>-335084</v>
      </c>
      <c r="H104" s="693"/>
      <c r="I104" s="689">
        <v>91874</v>
      </c>
      <c r="J104" s="689">
        <v>73448</v>
      </c>
      <c r="K104" s="689">
        <v>0</v>
      </c>
      <c r="L104" s="693">
        <v>0</v>
      </c>
      <c r="M104" s="693"/>
      <c r="N104" s="689">
        <v>0</v>
      </c>
      <c r="O104" s="689">
        <v>0</v>
      </c>
      <c r="P104" s="689">
        <v>0</v>
      </c>
      <c r="Q104" s="693">
        <v>6042</v>
      </c>
      <c r="R104" s="693"/>
      <c r="S104" s="689">
        <v>178030</v>
      </c>
      <c r="T104" s="694">
        <v>-2014</v>
      </c>
      <c r="U104" s="694">
        <v>176016</v>
      </c>
    </row>
    <row r="105" spans="1:21" x14ac:dyDescent="0.25">
      <c r="A105" s="690">
        <v>32305</v>
      </c>
      <c r="B105" s="691" t="s">
        <v>1532</v>
      </c>
      <c r="C105" s="692">
        <v>5.5900000000000004E-4</v>
      </c>
      <c r="D105" s="692">
        <v>5.6249999999999996E-4</v>
      </c>
      <c r="E105" s="689">
        <v>37930</v>
      </c>
      <c r="F105" s="693">
        <v>-34931</v>
      </c>
      <c r="G105" s="693">
        <v>-34166.080000000002</v>
      </c>
      <c r="H105" s="693"/>
      <c r="I105" s="689">
        <v>9368</v>
      </c>
      <c r="J105" s="689">
        <v>7489</v>
      </c>
      <c r="K105" s="689">
        <v>0</v>
      </c>
      <c r="L105" s="693">
        <v>2765</v>
      </c>
      <c r="M105" s="693"/>
      <c r="N105" s="689">
        <v>0</v>
      </c>
      <c r="O105" s="689">
        <v>0</v>
      </c>
      <c r="P105" s="689">
        <v>0</v>
      </c>
      <c r="Q105" s="693">
        <v>0</v>
      </c>
      <c r="R105" s="693"/>
      <c r="S105" s="689">
        <v>18152</v>
      </c>
      <c r="T105" s="694">
        <v>922</v>
      </c>
      <c r="U105" s="694">
        <v>19074</v>
      </c>
    </row>
    <row r="106" spans="1:21" x14ac:dyDescent="0.25">
      <c r="A106" s="690">
        <v>32400</v>
      </c>
      <c r="B106" s="691" t="s">
        <v>878</v>
      </c>
      <c r="C106" s="692">
        <v>1.9689999999999998E-3</v>
      </c>
      <c r="D106" s="692">
        <v>2.0022999999999998E-3</v>
      </c>
      <c r="E106" s="689">
        <v>125396</v>
      </c>
      <c r="F106" s="693">
        <v>-124343</v>
      </c>
      <c r="G106" s="693">
        <v>-120345</v>
      </c>
      <c r="H106" s="693"/>
      <c r="I106" s="689">
        <v>32997</v>
      </c>
      <c r="J106" s="689">
        <v>26379</v>
      </c>
      <c r="K106" s="689">
        <v>0</v>
      </c>
      <c r="L106" s="693">
        <v>4559</v>
      </c>
      <c r="M106" s="693"/>
      <c r="N106" s="689">
        <v>0</v>
      </c>
      <c r="O106" s="689">
        <v>0</v>
      </c>
      <c r="P106" s="689">
        <v>0</v>
      </c>
      <c r="Q106" s="693">
        <v>0</v>
      </c>
      <c r="R106" s="693"/>
      <c r="S106" s="689">
        <v>63939</v>
      </c>
      <c r="T106" s="694">
        <v>1520</v>
      </c>
      <c r="U106" s="694">
        <v>65459</v>
      </c>
    </row>
    <row r="107" spans="1:21" x14ac:dyDescent="0.25">
      <c r="A107" s="690">
        <v>32405</v>
      </c>
      <c r="B107" s="691" t="s">
        <v>879</v>
      </c>
      <c r="C107" s="692">
        <v>4.9830000000000002E-4</v>
      </c>
      <c r="D107" s="692">
        <v>4.8999999999999998E-4</v>
      </c>
      <c r="E107" s="689">
        <v>33896</v>
      </c>
      <c r="F107" s="693">
        <v>-30429</v>
      </c>
      <c r="G107" s="693">
        <v>-30456</v>
      </c>
      <c r="H107" s="693"/>
      <c r="I107" s="689">
        <v>8351</v>
      </c>
      <c r="J107" s="689">
        <v>6676</v>
      </c>
      <c r="K107" s="689">
        <v>0</v>
      </c>
      <c r="L107" s="693">
        <v>1996</v>
      </c>
      <c r="M107" s="693"/>
      <c r="N107" s="689">
        <v>0</v>
      </c>
      <c r="O107" s="689">
        <v>0</v>
      </c>
      <c r="P107" s="689">
        <v>0</v>
      </c>
      <c r="Q107" s="693">
        <v>0</v>
      </c>
      <c r="R107" s="693"/>
      <c r="S107" s="689">
        <v>16181</v>
      </c>
      <c r="T107" s="694">
        <v>665</v>
      </c>
      <c r="U107" s="694">
        <v>16847</v>
      </c>
    </row>
    <row r="108" spans="1:21" x14ac:dyDescent="0.25">
      <c r="A108" s="690">
        <v>32410</v>
      </c>
      <c r="B108" s="691" t="s">
        <v>880</v>
      </c>
      <c r="C108" s="692">
        <v>7.3450000000000002E-4</v>
      </c>
      <c r="D108" s="692">
        <v>7.8669999999999999E-4</v>
      </c>
      <c r="E108" s="689">
        <v>49497</v>
      </c>
      <c r="F108" s="693">
        <v>-48854</v>
      </c>
      <c r="G108" s="693">
        <v>-44892.639999999999</v>
      </c>
      <c r="H108" s="693"/>
      <c r="I108" s="689">
        <v>12309</v>
      </c>
      <c r="J108" s="689">
        <v>9840</v>
      </c>
      <c r="K108" s="689">
        <v>0</v>
      </c>
      <c r="L108" s="693">
        <v>5594</v>
      </c>
      <c r="M108" s="693"/>
      <c r="N108" s="689">
        <v>0</v>
      </c>
      <c r="O108" s="689">
        <v>0</v>
      </c>
      <c r="P108" s="689">
        <v>0</v>
      </c>
      <c r="Q108" s="693">
        <v>0</v>
      </c>
      <c r="R108" s="693"/>
      <c r="S108" s="689">
        <v>23851</v>
      </c>
      <c r="T108" s="694">
        <v>1865</v>
      </c>
      <c r="U108" s="694">
        <v>25716</v>
      </c>
    </row>
    <row r="109" spans="1:21" s="712" customFormat="1" x14ac:dyDescent="0.25">
      <c r="A109" s="706">
        <v>32420</v>
      </c>
      <c r="B109" s="707" t="s">
        <v>881</v>
      </c>
      <c r="C109" s="708">
        <v>0</v>
      </c>
      <c r="D109" s="708">
        <v>0</v>
      </c>
      <c r="E109" s="709" t="e">
        <v>#N/A</v>
      </c>
      <c r="F109" s="710">
        <v>0</v>
      </c>
      <c r="G109" s="710">
        <v>0</v>
      </c>
      <c r="H109" s="710"/>
      <c r="I109" s="709">
        <v>0</v>
      </c>
      <c r="J109" s="709">
        <v>0</v>
      </c>
      <c r="K109" s="709">
        <v>0</v>
      </c>
      <c r="L109" s="710">
        <v>0</v>
      </c>
      <c r="M109" s="710"/>
      <c r="N109" s="709">
        <v>0</v>
      </c>
      <c r="O109" s="709">
        <v>0</v>
      </c>
      <c r="P109" s="709">
        <v>0</v>
      </c>
      <c r="Q109" s="710">
        <v>0</v>
      </c>
      <c r="R109" s="710"/>
      <c r="S109" s="709">
        <v>0</v>
      </c>
      <c r="T109" s="711">
        <v>0</v>
      </c>
      <c r="U109" s="711">
        <v>0</v>
      </c>
    </row>
    <row r="110" spans="1:21" x14ac:dyDescent="0.25">
      <c r="A110" s="690">
        <v>32500</v>
      </c>
      <c r="B110" s="691" t="s">
        <v>1533</v>
      </c>
      <c r="C110" s="692">
        <v>4.2446999999999997E-3</v>
      </c>
      <c r="D110" s="692">
        <v>4.5309E-3</v>
      </c>
      <c r="E110" s="689">
        <v>256876</v>
      </c>
      <c r="F110" s="693">
        <v>-281369</v>
      </c>
      <c r="G110" s="693">
        <v>-259436</v>
      </c>
      <c r="H110" s="693"/>
      <c r="I110" s="689">
        <v>71133</v>
      </c>
      <c r="J110" s="689">
        <v>56866</v>
      </c>
      <c r="K110" s="689">
        <v>0</v>
      </c>
      <c r="L110" s="693">
        <v>9729</v>
      </c>
      <c r="M110" s="693"/>
      <c r="N110" s="689">
        <v>0</v>
      </c>
      <c r="O110" s="689">
        <v>0</v>
      </c>
      <c r="P110" s="689">
        <v>0</v>
      </c>
      <c r="Q110" s="693">
        <v>0</v>
      </c>
      <c r="R110" s="693"/>
      <c r="S110" s="689">
        <v>137838</v>
      </c>
      <c r="T110" s="694">
        <v>3243</v>
      </c>
      <c r="U110" s="694">
        <v>141081</v>
      </c>
    </row>
    <row r="111" spans="1:21" x14ac:dyDescent="0.25">
      <c r="A111" s="690">
        <v>32505</v>
      </c>
      <c r="B111" s="691" t="s">
        <v>883</v>
      </c>
      <c r="C111" s="692">
        <v>6.581E-4</v>
      </c>
      <c r="D111" s="692">
        <v>6.3960000000000004E-4</v>
      </c>
      <c r="E111" s="689">
        <v>42186</v>
      </c>
      <c r="F111" s="693">
        <v>-39719</v>
      </c>
      <c r="G111" s="693">
        <v>-40223</v>
      </c>
      <c r="H111" s="693"/>
      <c r="I111" s="689">
        <v>11028</v>
      </c>
      <c r="J111" s="689">
        <v>8817</v>
      </c>
      <c r="K111" s="689">
        <v>0</v>
      </c>
      <c r="L111" s="693">
        <v>350</v>
      </c>
      <c r="M111" s="693"/>
      <c r="N111" s="689">
        <v>0</v>
      </c>
      <c r="O111" s="689">
        <v>0</v>
      </c>
      <c r="P111" s="689">
        <v>0</v>
      </c>
      <c r="Q111" s="693">
        <v>0</v>
      </c>
      <c r="R111" s="693"/>
      <c r="S111" s="689">
        <v>21370</v>
      </c>
      <c r="T111" s="694">
        <v>117</v>
      </c>
      <c r="U111" s="694">
        <v>21487</v>
      </c>
    </row>
    <row r="112" spans="1:21" x14ac:dyDescent="0.25">
      <c r="A112" s="690">
        <v>32600</v>
      </c>
      <c r="B112" s="691" t="s">
        <v>884</v>
      </c>
      <c r="C112" s="692">
        <v>1.5234899999999999E-2</v>
      </c>
      <c r="D112" s="692">
        <v>1.584E-2</v>
      </c>
      <c r="E112" s="689">
        <v>928130</v>
      </c>
      <c r="F112" s="693">
        <v>-983664</v>
      </c>
      <c r="G112" s="693">
        <v>-931157</v>
      </c>
      <c r="H112" s="693"/>
      <c r="I112" s="689">
        <v>255306</v>
      </c>
      <c r="J112" s="689">
        <v>204102</v>
      </c>
      <c r="K112" s="689">
        <v>0</v>
      </c>
      <c r="L112" s="693">
        <v>19879</v>
      </c>
      <c r="M112" s="693"/>
      <c r="N112" s="689">
        <v>0</v>
      </c>
      <c r="O112" s="689">
        <v>0</v>
      </c>
      <c r="P112" s="689">
        <v>0</v>
      </c>
      <c r="Q112" s="693">
        <v>0</v>
      </c>
      <c r="R112" s="693"/>
      <c r="S112" s="689">
        <v>494723</v>
      </c>
      <c r="T112" s="694">
        <v>6626</v>
      </c>
      <c r="U112" s="694">
        <v>501349</v>
      </c>
    </row>
    <row r="113" spans="1:21" x14ac:dyDescent="0.25">
      <c r="A113" s="690">
        <v>32605</v>
      </c>
      <c r="B113" s="691" t="s">
        <v>885</v>
      </c>
      <c r="C113" s="692">
        <v>2.2406000000000001E-3</v>
      </c>
      <c r="D113" s="692">
        <v>2.2585000000000001E-3</v>
      </c>
      <c r="E113" s="689">
        <v>148756</v>
      </c>
      <c r="F113" s="693">
        <v>-140253</v>
      </c>
      <c r="G113" s="693">
        <v>-136945</v>
      </c>
      <c r="H113" s="693"/>
      <c r="I113" s="689">
        <v>37548</v>
      </c>
      <c r="J113" s="689">
        <v>30017</v>
      </c>
      <c r="K113" s="689">
        <v>0</v>
      </c>
      <c r="L113" s="693">
        <v>8804</v>
      </c>
      <c r="M113" s="693"/>
      <c r="N113" s="689">
        <v>0</v>
      </c>
      <c r="O113" s="689">
        <v>0</v>
      </c>
      <c r="P113" s="689">
        <v>0</v>
      </c>
      <c r="Q113" s="693">
        <v>0</v>
      </c>
      <c r="R113" s="693"/>
      <c r="S113" s="689">
        <v>72759</v>
      </c>
      <c r="T113" s="694">
        <v>2935</v>
      </c>
      <c r="U113" s="694">
        <v>75694</v>
      </c>
    </row>
    <row r="114" spans="1:21" x14ac:dyDescent="0.25">
      <c r="A114" s="690">
        <v>32700</v>
      </c>
      <c r="B114" s="691" t="s">
        <v>886</v>
      </c>
      <c r="C114" s="692">
        <v>1.4205999999999999E-3</v>
      </c>
      <c r="D114" s="692">
        <v>1.3795999999999999E-3</v>
      </c>
      <c r="E114" s="689">
        <v>86229</v>
      </c>
      <c r="F114" s="693">
        <v>-85673</v>
      </c>
      <c r="G114" s="693">
        <v>-86827</v>
      </c>
      <c r="H114" s="693"/>
      <c r="I114" s="689">
        <v>23806</v>
      </c>
      <c r="J114" s="689">
        <v>19032</v>
      </c>
      <c r="K114" s="689">
        <v>0</v>
      </c>
      <c r="L114" s="693">
        <v>0</v>
      </c>
      <c r="M114" s="693"/>
      <c r="N114" s="689">
        <v>0</v>
      </c>
      <c r="O114" s="689">
        <v>0</v>
      </c>
      <c r="P114" s="689">
        <v>0</v>
      </c>
      <c r="Q114" s="693">
        <v>2921</v>
      </c>
      <c r="R114" s="693"/>
      <c r="S114" s="689">
        <v>46131</v>
      </c>
      <c r="T114" s="694">
        <v>-974</v>
      </c>
      <c r="U114" s="694">
        <v>45158</v>
      </c>
    </row>
    <row r="115" spans="1:21" x14ac:dyDescent="0.25">
      <c r="A115" s="690">
        <v>32800</v>
      </c>
      <c r="B115" s="691" t="s">
        <v>887</v>
      </c>
      <c r="C115" s="692">
        <v>1.9001999999999999E-3</v>
      </c>
      <c r="D115" s="692">
        <v>1.8781E-3</v>
      </c>
      <c r="E115" s="689">
        <v>126900</v>
      </c>
      <c r="F115" s="693">
        <v>-116630</v>
      </c>
      <c r="G115" s="693">
        <v>-116140</v>
      </c>
      <c r="H115" s="693"/>
      <c r="I115" s="689">
        <v>31844</v>
      </c>
      <c r="J115" s="689">
        <v>25457</v>
      </c>
      <c r="K115" s="689">
        <v>0</v>
      </c>
      <c r="L115" s="693">
        <v>6288</v>
      </c>
      <c r="M115" s="693"/>
      <c r="N115" s="689">
        <v>0</v>
      </c>
      <c r="O115" s="689">
        <v>0</v>
      </c>
      <c r="P115" s="689">
        <v>0</v>
      </c>
      <c r="Q115" s="693">
        <v>0</v>
      </c>
      <c r="R115" s="693"/>
      <c r="S115" s="689">
        <v>61705</v>
      </c>
      <c r="T115" s="694">
        <v>2096</v>
      </c>
      <c r="U115" s="694">
        <v>63801</v>
      </c>
    </row>
    <row r="116" spans="1:21" x14ac:dyDescent="0.25">
      <c r="A116" s="690">
        <v>32900</v>
      </c>
      <c r="B116" s="691" t="s">
        <v>888</v>
      </c>
      <c r="C116" s="692">
        <v>5.7412000000000001E-3</v>
      </c>
      <c r="D116" s="692">
        <v>5.8910999999999998E-3</v>
      </c>
      <c r="E116" s="689">
        <v>347008</v>
      </c>
      <c r="F116" s="693">
        <v>-365837</v>
      </c>
      <c r="G116" s="693">
        <v>-350902</v>
      </c>
      <c r="H116" s="693"/>
      <c r="I116" s="689">
        <v>96211</v>
      </c>
      <c r="J116" s="689">
        <v>76915</v>
      </c>
      <c r="K116" s="689">
        <v>0</v>
      </c>
      <c r="L116" s="693">
        <v>1787</v>
      </c>
      <c r="M116" s="693"/>
      <c r="N116" s="689">
        <v>0</v>
      </c>
      <c r="O116" s="689">
        <v>0</v>
      </c>
      <c r="P116" s="689">
        <v>0</v>
      </c>
      <c r="Q116" s="693">
        <v>0</v>
      </c>
      <c r="R116" s="693"/>
      <c r="S116" s="689">
        <v>186434</v>
      </c>
      <c r="T116" s="694">
        <v>596</v>
      </c>
      <c r="U116" s="694">
        <v>187030</v>
      </c>
    </row>
    <row r="117" spans="1:21" x14ac:dyDescent="0.25">
      <c r="A117" s="690">
        <v>32901</v>
      </c>
      <c r="B117" s="691" t="s">
        <v>1534</v>
      </c>
      <c r="C117" s="692">
        <v>1.329E-4</v>
      </c>
      <c r="D117" s="692">
        <v>1.8709999999999999E-4</v>
      </c>
      <c r="E117" s="689">
        <v>7446</v>
      </c>
      <c r="F117" s="693">
        <v>-11619</v>
      </c>
      <c r="G117" s="693">
        <v>-8123</v>
      </c>
      <c r="H117" s="693"/>
      <c r="I117" s="689">
        <v>2227</v>
      </c>
      <c r="J117" s="689">
        <v>1780</v>
      </c>
      <c r="K117" s="689">
        <v>0</v>
      </c>
      <c r="L117" s="693">
        <v>1964</v>
      </c>
      <c r="M117" s="693"/>
      <c r="N117" s="689">
        <v>0</v>
      </c>
      <c r="O117" s="689">
        <v>0</v>
      </c>
      <c r="P117" s="689">
        <v>0</v>
      </c>
      <c r="Q117" s="693">
        <v>0</v>
      </c>
      <c r="R117" s="693"/>
      <c r="S117" s="689">
        <v>4316</v>
      </c>
      <c r="T117" s="694">
        <v>655</v>
      </c>
      <c r="U117" s="694">
        <v>4970</v>
      </c>
    </row>
    <row r="118" spans="1:21" x14ac:dyDescent="0.25">
      <c r="A118" s="690">
        <v>32905</v>
      </c>
      <c r="B118" s="691" t="s">
        <v>890</v>
      </c>
      <c r="C118" s="692">
        <v>8.4650000000000003E-4</v>
      </c>
      <c r="D118" s="692">
        <v>8.3339999999999998E-4</v>
      </c>
      <c r="E118" s="689">
        <v>55441</v>
      </c>
      <c r="F118" s="693">
        <v>-51754</v>
      </c>
      <c r="G118" s="693">
        <v>-51738.080000000002</v>
      </c>
      <c r="H118" s="693"/>
      <c r="I118" s="689">
        <v>14186</v>
      </c>
      <c r="J118" s="689">
        <v>11341</v>
      </c>
      <c r="K118" s="689">
        <v>0</v>
      </c>
      <c r="L118" s="693">
        <v>1832</v>
      </c>
      <c r="M118" s="693"/>
      <c r="N118" s="689">
        <v>0</v>
      </c>
      <c r="O118" s="689">
        <v>0</v>
      </c>
      <c r="P118" s="689">
        <v>0</v>
      </c>
      <c r="Q118" s="693">
        <v>0</v>
      </c>
      <c r="R118" s="693"/>
      <c r="S118" s="689">
        <v>27488</v>
      </c>
      <c r="T118" s="694">
        <v>611</v>
      </c>
      <c r="U118" s="694">
        <v>28099</v>
      </c>
    </row>
    <row r="119" spans="1:21" x14ac:dyDescent="0.25">
      <c r="A119" s="690">
        <v>32910</v>
      </c>
      <c r="B119" s="691" t="s">
        <v>891</v>
      </c>
      <c r="C119" s="692">
        <v>1.0832999999999999E-3</v>
      </c>
      <c r="D119" s="692">
        <v>1.088E-3</v>
      </c>
      <c r="E119" s="689">
        <v>67672</v>
      </c>
      <c r="F119" s="693">
        <v>-67565</v>
      </c>
      <c r="G119" s="693">
        <v>-66211</v>
      </c>
      <c r="H119" s="693"/>
      <c r="I119" s="689">
        <v>18154</v>
      </c>
      <c r="J119" s="689">
        <v>14513</v>
      </c>
      <c r="K119" s="689">
        <v>0</v>
      </c>
      <c r="L119" s="693">
        <v>885</v>
      </c>
      <c r="M119" s="693"/>
      <c r="N119" s="689">
        <v>0</v>
      </c>
      <c r="O119" s="689">
        <v>0</v>
      </c>
      <c r="P119" s="689">
        <v>0</v>
      </c>
      <c r="Q119" s="693">
        <v>0</v>
      </c>
      <c r="R119" s="693"/>
      <c r="S119" s="689">
        <v>35178</v>
      </c>
      <c r="T119" s="694">
        <v>295</v>
      </c>
      <c r="U119" s="694">
        <v>35473</v>
      </c>
    </row>
    <row r="120" spans="1:21" x14ac:dyDescent="0.25">
      <c r="A120" s="690">
        <v>32920</v>
      </c>
      <c r="B120" s="691" t="s">
        <v>892</v>
      </c>
      <c r="C120" s="692">
        <v>9.0410000000000002E-4</v>
      </c>
      <c r="D120" s="692">
        <v>9.0510000000000005E-4</v>
      </c>
      <c r="E120" s="689">
        <v>53481</v>
      </c>
      <c r="F120" s="693">
        <v>-56207</v>
      </c>
      <c r="G120" s="693">
        <v>-55259</v>
      </c>
      <c r="H120" s="693"/>
      <c r="I120" s="689">
        <v>15151</v>
      </c>
      <c r="J120" s="689">
        <v>12112</v>
      </c>
      <c r="K120" s="689">
        <v>0</v>
      </c>
      <c r="L120" s="693">
        <v>0</v>
      </c>
      <c r="M120" s="693"/>
      <c r="N120" s="689">
        <v>0</v>
      </c>
      <c r="O120" s="689">
        <v>0</v>
      </c>
      <c r="P120" s="689">
        <v>0</v>
      </c>
      <c r="Q120" s="693">
        <v>1644</v>
      </c>
      <c r="R120" s="693"/>
      <c r="S120" s="689">
        <v>29359</v>
      </c>
      <c r="T120" s="694">
        <v>-548</v>
      </c>
      <c r="U120" s="694">
        <v>28811</v>
      </c>
    </row>
    <row r="121" spans="1:21" x14ac:dyDescent="0.25">
      <c r="A121" s="690">
        <v>33000</v>
      </c>
      <c r="B121" s="691" t="s">
        <v>893</v>
      </c>
      <c r="C121" s="692">
        <v>2.1795E-3</v>
      </c>
      <c r="D121" s="692">
        <v>2.2732999999999998E-3</v>
      </c>
      <c r="E121" s="689">
        <v>127550</v>
      </c>
      <c r="F121" s="693">
        <v>-141172</v>
      </c>
      <c r="G121" s="693">
        <v>-133211.04</v>
      </c>
      <c r="H121" s="693"/>
      <c r="I121" s="689">
        <v>36524</v>
      </c>
      <c r="J121" s="689">
        <v>29199</v>
      </c>
      <c r="K121" s="689">
        <v>0</v>
      </c>
      <c r="L121" s="693">
        <v>0</v>
      </c>
      <c r="M121" s="693"/>
      <c r="N121" s="689">
        <v>0</v>
      </c>
      <c r="O121" s="689">
        <v>0</v>
      </c>
      <c r="P121" s="689">
        <v>0</v>
      </c>
      <c r="Q121" s="693">
        <v>740</v>
      </c>
      <c r="R121" s="693"/>
      <c r="S121" s="689">
        <v>70775</v>
      </c>
      <c r="T121" s="694">
        <v>-247</v>
      </c>
      <c r="U121" s="694">
        <v>70528</v>
      </c>
    </row>
    <row r="122" spans="1:21" x14ac:dyDescent="0.25">
      <c r="A122" s="690">
        <v>33001</v>
      </c>
      <c r="B122" s="691" t="s">
        <v>894</v>
      </c>
      <c r="C122" s="692">
        <v>7.5599999999999994E-5</v>
      </c>
      <c r="D122" s="692">
        <v>6.6299999999999999E-5</v>
      </c>
      <c r="E122" s="689">
        <v>3807</v>
      </c>
      <c r="F122" s="693">
        <v>-4117</v>
      </c>
      <c r="G122" s="693">
        <v>-4621</v>
      </c>
      <c r="H122" s="693"/>
      <c r="I122" s="689">
        <v>1267</v>
      </c>
      <c r="J122" s="689">
        <v>1013</v>
      </c>
      <c r="K122" s="689">
        <v>0</v>
      </c>
      <c r="L122" s="693">
        <v>0</v>
      </c>
      <c r="M122" s="693"/>
      <c r="N122" s="689">
        <v>0</v>
      </c>
      <c r="O122" s="689">
        <v>0</v>
      </c>
      <c r="P122" s="689">
        <v>0</v>
      </c>
      <c r="Q122" s="693">
        <v>1074</v>
      </c>
      <c r="R122" s="693"/>
      <c r="S122" s="689">
        <v>2455</v>
      </c>
      <c r="T122" s="694">
        <v>-358</v>
      </c>
      <c r="U122" s="694">
        <v>2097</v>
      </c>
    </row>
    <row r="123" spans="1:21" x14ac:dyDescent="0.25">
      <c r="A123" s="690">
        <v>33027</v>
      </c>
      <c r="B123" s="691" t="s">
        <v>895</v>
      </c>
      <c r="C123" s="692">
        <v>2.5589999999999999E-4</v>
      </c>
      <c r="D123" s="692">
        <v>2.1880000000000001E-4</v>
      </c>
      <c r="E123" s="689">
        <v>12266</v>
      </c>
      <c r="F123" s="693">
        <v>-13587</v>
      </c>
      <c r="G123" s="693">
        <v>-15641</v>
      </c>
      <c r="H123" s="693"/>
      <c r="I123" s="689">
        <v>4288</v>
      </c>
      <c r="J123" s="689">
        <v>3428</v>
      </c>
      <c r="K123" s="689">
        <v>0</v>
      </c>
      <c r="L123" s="693">
        <v>0</v>
      </c>
      <c r="M123" s="693"/>
      <c r="N123" s="689">
        <v>0</v>
      </c>
      <c r="O123" s="689">
        <v>0</v>
      </c>
      <c r="P123" s="689">
        <v>0</v>
      </c>
      <c r="Q123" s="693">
        <v>4360</v>
      </c>
      <c r="R123" s="693"/>
      <c r="S123" s="689">
        <v>8310</v>
      </c>
      <c r="T123" s="694">
        <v>-1453</v>
      </c>
      <c r="U123" s="694">
        <v>6856</v>
      </c>
    </row>
    <row r="124" spans="1:21" x14ac:dyDescent="0.25">
      <c r="A124" s="690">
        <v>33100</v>
      </c>
      <c r="B124" s="691" t="s">
        <v>896</v>
      </c>
      <c r="C124" s="692">
        <v>3.1421999999999999E-3</v>
      </c>
      <c r="D124" s="692">
        <v>3.2885000000000002E-3</v>
      </c>
      <c r="E124" s="689">
        <v>190615</v>
      </c>
      <c r="F124" s="693">
        <v>-204216</v>
      </c>
      <c r="G124" s="693">
        <v>-192051</v>
      </c>
      <c r="H124" s="693"/>
      <c r="I124" s="689">
        <v>52657</v>
      </c>
      <c r="J124" s="689">
        <v>42096</v>
      </c>
      <c r="K124" s="689">
        <v>0</v>
      </c>
      <c r="L124" s="693">
        <v>4493</v>
      </c>
      <c r="M124" s="693"/>
      <c r="N124" s="689">
        <v>0</v>
      </c>
      <c r="O124" s="689">
        <v>0</v>
      </c>
      <c r="P124" s="689">
        <v>0</v>
      </c>
      <c r="Q124" s="693">
        <v>0</v>
      </c>
      <c r="R124" s="693"/>
      <c r="S124" s="689">
        <v>102037</v>
      </c>
      <c r="T124" s="694">
        <v>1498</v>
      </c>
      <c r="U124" s="694">
        <v>103534</v>
      </c>
    </row>
    <row r="125" spans="1:21" x14ac:dyDescent="0.25">
      <c r="A125" s="690">
        <v>33105</v>
      </c>
      <c r="B125" s="691" t="s">
        <v>897</v>
      </c>
      <c r="C125" s="692">
        <v>3.4890000000000002E-4</v>
      </c>
      <c r="D125" s="692">
        <v>3.4590000000000001E-4</v>
      </c>
      <c r="E125" s="689">
        <v>22846</v>
      </c>
      <c r="F125" s="693">
        <v>-21480</v>
      </c>
      <c r="G125" s="693">
        <v>-21325</v>
      </c>
      <c r="H125" s="693"/>
      <c r="I125" s="689">
        <v>5847</v>
      </c>
      <c r="J125" s="689">
        <v>4674</v>
      </c>
      <c r="K125" s="689">
        <v>0</v>
      </c>
      <c r="L125" s="693">
        <v>863</v>
      </c>
      <c r="M125" s="693"/>
      <c r="N125" s="689">
        <v>0</v>
      </c>
      <c r="O125" s="689">
        <v>0</v>
      </c>
      <c r="P125" s="689">
        <v>0</v>
      </c>
      <c r="Q125" s="693">
        <v>0</v>
      </c>
      <c r="R125" s="693"/>
      <c r="S125" s="689">
        <v>11330</v>
      </c>
      <c r="T125" s="694">
        <v>288</v>
      </c>
      <c r="U125" s="694">
        <v>11618</v>
      </c>
    </row>
    <row r="126" spans="1:21" x14ac:dyDescent="0.25">
      <c r="A126" s="690">
        <v>33200</v>
      </c>
      <c r="B126" s="691" t="s">
        <v>898</v>
      </c>
      <c r="C126" s="692">
        <v>1.38841E-2</v>
      </c>
      <c r="D126" s="692">
        <v>1.42872E-2</v>
      </c>
      <c r="E126" s="689">
        <v>794163</v>
      </c>
      <c r="F126" s="693">
        <v>-887235</v>
      </c>
      <c r="G126" s="693">
        <v>-848596</v>
      </c>
      <c r="H126" s="693"/>
      <c r="I126" s="689">
        <v>232670</v>
      </c>
      <c r="J126" s="689">
        <v>186005</v>
      </c>
      <c r="K126" s="689">
        <v>0</v>
      </c>
      <c r="L126" s="693">
        <v>0</v>
      </c>
      <c r="M126" s="693"/>
      <c r="N126" s="689">
        <v>0</v>
      </c>
      <c r="O126" s="689">
        <v>0</v>
      </c>
      <c r="P126" s="689">
        <v>0</v>
      </c>
      <c r="Q126" s="693">
        <v>27549</v>
      </c>
      <c r="R126" s="693"/>
      <c r="S126" s="689">
        <v>450858</v>
      </c>
      <c r="T126" s="694">
        <v>-9183</v>
      </c>
      <c r="U126" s="694">
        <v>441676</v>
      </c>
    </row>
    <row r="127" spans="1:21" x14ac:dyDescent="0.25">
      <c r="A127" s="690">
        <v>33202</v>
      </c>
      <c r="B127" s="691" t="s">
        <v>899</v>
      </c>
      <c r="C127" s="692">
        <v>2.05E-4</v>
      </c>
      <c r="D127" s="692">
        <v>1.6670000000000001E-4</v>
      </c>
      <c r="E127" s="689">
        <v>10328</v>
      </c>
      <c r="F127" s="693">
        <v>-10352</v>
      </c>
      <c r="G127" s="693">
        <v>-12529.6</v>
      </c>
      <c r="H127" s="693"/>
      <c r="I127" s="689">
        <v>3435.39</v>
      </c>
      <c r="J127" s="689">
        <v>2746</v>
      </c>
      <c r="K127" s="689">
        <v>0</v>
      </c>
      <c r="L127" s="693">
        <v>0</v>
      </c>
      <c r="M127" s="693"/>
      <c r="N127" s="689">
        <v>0</v>
      </c>
      <c r="O127" s="689">
        <v>0</v>
      </c>
      <c r="P127" s="689">
        <v>0</v>
      </c>
      <c r="Q127" s="693">
        <v>3516</v>
      </c>
      <c r="R127" s="693"/>
      <c r="S127" s="689">
        <v>6657</v>
      </c>
      <c r="T127" s="694">
        <v>-1172</v>
      </c>
      <c r="U127" s="694">
        <v>5484.85</v>
      </c>
    </row>
    <row r="128" spans="1:21" x14ac:dyDescent="0.25">
      <c r="A128" s="690">
        <v>33203</v>
      </c>
      <c r="B128" s="691" t="s">
        <v>900</v>
      </c>
      <c r="C128" s="692">
        <v>1.283E-4</v>
      </c>
      <c r="D128" s="692">
        <v>1.2510000000000001E-4</v>
      </c>
      <c r="E128" s="689">
        <v>6017</v>
      </c>
      <c r="F128" s="693">
        <v>-7769</v>
      </c>
      <c r="G128" s="693">
        <v>-7842</v>
      </c>
      <c r="H128" s="693"/>
      <c r="I128" s="689">
        <v>2150</v>
      </c>
      <c r="J128" s="689">
        <v>1719</v>
      </c>
      <c r="K128" s="689">
        <v>0</v>
      </c>
      <c r="L128" s="693">
        <v>0</v>
      </c>
      <c r="M128" s="693"/>
      <c r="N128" s="689">
        <v>0</v>
      </c>
      <c r="O128" s="689">
        <v>0</v>
      </c>
      <c r="P128" s="689">
        <v>0</v>
      </c>
      <c r="Q128" s="693">
        <v>1569</v>
      </c>
      <c r="R128" s="693"/>
      <c r="S128" s="689">
        <v>4166</v>
      </c>
      <c r="T128" s="694">
        <v>-523</v>
      </c>
      <c r="U128" s="694">
        <v>3643</v>
      </c>
    </row>
    <row r="129" spans="1:21" x14ac:dyDescent="0.25">
      <c r="A129" s="690">
        <v>33204</v>
      </c>
      <c r="B129" s="691" t="s">
        <v>901</v>
      </c>
      <c r="C129" s="692">
        <v>4.215E-4</v>
      </c>
      <c r="D129" s="692">
        <v>4.1169999999999998E-4</v>
      </c>
      <c r="E129" s="689">
        <v>20427</v>
      </c>
      <c r="F129" s="693">
        <v>-25567</v>
      </c>
      <c r="G129" s="693">
        <v>-25762.080000000002</v>
      </c>
      <c r="H129" s="693"/>
      <c r="I129" s="689">
        <v>7063</v>
      </c>
      <c r="J129" s="689">
        <v>5647</v>
      </c>
      <c r="K129" s="689">
        <v>0</v>
      </c>
      <c r="L129" s="693">
        <v>0</v>
      </c>
      <c r="M129" s="693"/>
      <c r="N129" s="689">
        <v>0</v>
      </c>
      <c r="O129" s="689">
        <v>0</v>
      </c>
      <c r="P129" s="689">
        <v>0</v>
      </c>
      <c r="Q129" s="693">
        <v>4625</v>
      </c>
      <c r="R129" s="693"/>
      <c r="S129" s="689">
        <v>13687</v>
      </c>
      <c r="T129" s="694">
        <v>-1542</v>
      </c>
      <c r="U129" s="694">
        <v>12146</v>
      </c>
    </row>
    <row r="130" spans="1:21" x14ac:dyDescent="0.25">
      <c r="A130" s="690">
        <v>33205</v>
      </c>
      <c r="B130" s="691" t="s">
        <v>902</v>
      </c>
      <c r="C130" s="692">
        <v>1.1609999999999999E-3</v>
      </c>
      <c r="D130" s="692">
        <v>1.1393E-3</v>
      </c>
      <c r="E130" s="689">
        <v>73872</v>
      </c>
      <c r="F130" s="693">
        <v>-70751</v>
      </c>
      <c r="G130" s="693">
        <v>-70960</v>
      </c>
      <c r="H130" s="693"/>
      <c r="I130" s="689">
        <v>19456</v>
      </c>
      <c r="J130" s="689">
        <v>15554</v>
      </c>
      <c r="K130" s="689">
        <v>0</v>
      </c>
      <c r="L130" s="693">
        <v>714</v>
      </c>
      <c r="M130" s="693"/>
      <c r="N130" s="689">
        <v>0</v>
      </c>
      <c r="O130" s="689">
        <v>0</v>
      </c>
      <c r="P130" s="689">
        <v>0</v>
      </c>
      <c r="Q130" s="693">
        <v>0</v>
      </c>
      <c r="R130" s="693"/>
      <c r="S130" s="689">
        <v>37701</v>
      </c>
      <c r="T130" s="694">
        <v>238</v>
      </c>
      <c r="U130" s="694">
        <v>37939</v>
      </c>
    </row>
    <row r="131" spans="1:21" x14ac:dyDescent="0.25">
      <c r="A131" s="690">
        <v>33206</v>
      </c>
      <c r="B131" s="691" t="s">
        <v>903</v>
      </c>
      <c r="C131" s="692">
        <v>9.8999999999999994E-5</v>
      </c>
      <c r="D131" s="692">
        <v>9.2200000000000005E-5</v>
      </c>
      <c r="E131" s="689">
        <v>5925</v>
      </c>
      <c r="F131" s="693">
        <v>-5726</v>
      </c>
      <c r="G131" s="693">
        <v>-6051</v>
      </c>
      <c r="H131" s="693"/>
      <c r="I131" s="689">
        <v>1659</v>
      </c>
      <c r="J131" s="689">
        <v>1326</v>
      </c>
      <c r="K131" s="689">
        <v>0</v>
      </c>
      <c r="L131" s="693">
        <v>0</v>
      </c>
      <c r="M131" s="693"/>
      <c r="N131" s="689">
        <v>0</v>
      </c>
      <c r="O131" s="689">
        <v>0</v>
      </c>
      <c r="P131" s="689">
        <v>0</v>
      </c>
      <c r="Q131" s="693">
        <v>451</v>
      </c>
      <c r="R131" s="693"/>
      <c r="S131" s="689">
        <v>3215</v>
      </c>
      <c r="T131" s="694">
        <v>-150</v>
      </c>
      <c r="U131" s="694">
        <v>3065</v>
      </c>
    </row>
    <row r="132" spans="1:21" x14ac:dyDescent="0.25">
      <c r="A132" s="690">
        <v>33207</v>
      </c>
      <c r="B132" s="691" t="s">
        <v>1117</v>
      </c>
      <c r="C132" s="692">
        <v>2.8380000000000001E-4</v>
      </c>
      <c r="D132" s="692">
        <v>2.1259999999999999E-4</v>
      </c>
      <c r="E132" s="689">
        <v>11833</v>
      </c>
      <c r="F132" s="693">
        <v>-13202</v>
      </c>
      <c r="G132" s="693">
        <v>-17346</v>
      </c>
      <c r="H132" s="693"/>
      <c r="I132" s="689">
        <v>4756</v>
      </c>
      <c r="J132" s="689">
        <v>3802</v>
      </c>
      <c r="K132" s="689">
        <v>0</v>
      </c>
      <c r="L132" s="693">
        <v>0</v>
      </c>
      <c r="M132" s="693"/>
      <c r="N132" s="689">
        <v>0</v>
      </c>
      <c r="O132" s="689">
        <v>0</v>
      </c>
      <c r="P132" s="689">
        <v>0</v>
      </c>
      <c r="Q132" s="693">
        <v>7563</v>
      </c>
      <c r="R132" s="693"/>
      <c r="S132" s="689">
        <v>9216</v>
      </c>
      <c r="T132" s="694">
        <v>-2521</v>
      </c>
      <c r="U132" s="694">
        <v>6695</v>
      </c>
    </row>
    <row r="133" spans="1:21" x14ac:dyDescent="0.25">
      <c r="A133" s="690">
        <v>33208</v>
      </c>
      <c r="B133" s="691" t="s">
        <v>1118</v>
      </c>
      <c r="C133" s="692">
        <v>0</v>
      </c>
      <c r="D133" s="692">
        <v>3.6199999999999999E-5</v>
      </c>
      <c r="E133" s="689">
        <v>428</v>
      </c>
      <c r="F133" s="693">
        <v>-2248</v>
      </c>
      <c r="G133" s="693">
        <v>0</v>
      </c>
      <c r="H133" s="693"/>
      <c r="I133" s="689">
        <v>0</v>
      </c>
      <c r="J133" s="689">
        <v>0</v>
      </c>
      <c r="K133" s="689">
        <v>0</v>
      </c>
      <c r="L133" s="693">
        <v>2007</v>
      </c>
      <c r="M133" s="693"/>
      <c r="N133" s="689">
        <v>0</v>
      </c>
      <c r="O133" s="689">
        <v>0</v>
      </c>
      <c r="P133" s="689">
        <v>0</v>
      </c>
      <c r="Q133" s="693">
        <v>0</v>
      </c>
      <c r="R133" s="693"/>
      <c r="S133" s="689">
        <v>0</v>
      </c>
      <c r="T133" s="694">
        <v>668.95749999999998</v>
      </c>
      <c r="U133" s="694">
        <v>668.95749999999998</v>
      </c>
    </row>
    <row r="134" spans="1:21" x14ac:dyDescent="0.25">
      <c r="A134" s="690">
        <v>33209</v>
      </c>
      <c r="B134" s="691" t="s">
        <v>1119</v>
      </c>
      <c r="C134" s="692">
        <v>6.9300000000000004E-5</v>
      </c>
      <c r="D134" s="692">
        <v>6.0699999999999998E-5</v>
      </c>
      <c r="E134" s="689">
        <v>3710</v>
      </c>
      <c r="F134" s="693">
        <v>-3769</v>
      </c>
      <c r="G134" s="693">
        <v>-4236</v>
      </c>
      <c r="H134" s="693"/>
      <c r="I134" s="689">
        <v>1161</v>
      </c>
      <c r="J134" s="689">
        <v>928</v>
      </c>
      <c r="K134" s="689">
        <v>0</v>
      </c>
      <c r="L134" s="693">
        <v>0</v>
      </c>
      <c r="M134" s="693"/>
      <c r="N134" s="689">
        <v>0</v>
      </c>
      <c r="O134" s="689">
        <v>0</v>
      </c>
      <c r="P134" s="689">
        <v>0</v>
      </c>
      <c r="Q134" s="693">
        <v>822</v>
      </c>
      <c r="R134" s="693"/>
      <c r="S134" s="689">
        <v>2250</v>
      </c>
      <c r="T134" s="694">
        <v>-274</v>
      </c>
      <c r="U134" s="694">
        <v>1976</v>
      </c>
    </row>
    <row r="135" spans="1:21" x14ac:dyDescent="0.25">
      <c r="A135" s="690">
        <v>33300</v>
      </c>
      <c r="B135" s="691" t="s">
        <v>904</v>
      </c>
      <c r="C135" s="692">
        <v>2.0338000000000001E-3</v>
      </c>
      <c r="D135" s="692">
        <v>2.0419000000000001E-3</v>
      </c>
      <c r="E135" s="689">
        <v>123857</v>
      </c>
      <c r="F135" s="693">
        <v>-126802</v>
      </c>
      <c r="G135" s="693">
        <v>-124306</v>
      </c>
      <c r="H135" s="693"/>
      <c r="I135" s="689">
        <v>34082</v>
      </c>
      <c r="J135" s="689">
        <v>27247</v>
      </c>
      <c r="K135" s="689">
        <v>0</v>
      </c>
      <c r="L135" s="693">
        <v>0</v>
      </c>
      <c r="M135" s="693"/>
      <c r="N135" s="689">
        <v>0</v>
      </c>
      <c r="O135" s="689">
        <v>0</v>
      </c>
      <c r="P135" s="689">
        <v>0</v>
      </c>
      <c r="Q135" s="693">
        <v>765</v>
      </c>
      <c r="R135" s="693"/>
      <c r="S135" s="689">
        <v>66044</v>
      </c>
      <c r="T135" s="694">
        <v>-255</v>
      </c>
      <c r="U135" s="694">
        <v>65789</v>
      </c>
    </row>
    <row r="136" spans="1:21" x14ac:dyDescent="0.25">
      <c r="A136" s="690">
        <v>33305</v>
      </c>
      <c r="B136" s="691" t="s">
        <v>905</v>
      </c>
      <c r="C136" s="692">
        <v>4.8710000000000002E-4</v>
      </c>
      <c r="D136" s="692">
        <v>5.2660000000000001E-4</v>
      </c>
      <c r="E136" s="689">
        <v>36425</v>
      </c>
      <c r="F136" s="693">
        <v>-32702</v>
      </c>
      <c r="G136" s="693">
        <v>-29772</v>
      </c>
      <c r="H136" s="693"/>
      <c r="I136" s="689">
        <v>8163</v>
      </c>
      <c r="J136" s="689">
        <v>6526</v>
      </c>
      <c r="K136" s="689">
        <v>0</v>
      </c>
      <c r="L136" s="693">
        <v>6637</v>
      </c>
      <c r="M136" s="693"/>
      <c r="N136" s="689">
        <v>0</v>
      </c>
      <c r="O136" s="689">
        <v>0</v>
      </c>
      <c r="P136" s="689">
        <v>0</v>
      </c>
      <c r="Q136" s="693">
        <v>0</v>
      </c>
      <c r="R136" s="693"/>
      <c r="S136" s="689">
        <v>15818</v>
      </c>
      <c r="T136" s="694">
        <v>2212</v>
      </c>
      <c r="U136" s="694">
        <v>18030</v>
      </c>
    </row>
    <row r="137" spans="1:21" x14ac:dyDescent="0.25">
      <c r="A137" s="690">
        <v>33400</v>
      </c>
      <c r="B137" s="691" t="s">
        <v>906</v>
      </c>
      <c r="C137" s="692">
        <v>1.80564E-2</v>
      </c>
      <c r="D137" s="692">
        <v>1.8232499999999999E-2</v>
      </c>
      <c r="E137" s="689">
        <v>1108218</v>
      </c>
      <c r="F137" s="693">
        <v>-1132238</v>
      </c>
      <c r="G137" s="693">
        <v>-1103607</v>
      </c>
      <c r="H137" s="693"/>
      <c r="I137" s="689">
        <v>302589</v>
      </c>
      <c r="J137" s="689">
        <v>241902</v>
      </c>
      <c r="K137" s="689">
        <v>0</v>
      </c>
      <c r="L137" s="693">
        <v>4510</v>
      </c>
      <c r="M137" s="693"/>
      <c r="N137" s="689">
        <v>0</v>
      </c>
      <c r="O137" s="689">
        <v>0</v>
      </c>
      <c r="P137" s="689">
        <v>0</v>
      </c>
      <c r="Q137" s="693">
        <v>0</v>
      </c>
      <c r="R137" s="693"/>
      <c r="S137" s="689">
        <v>586345</v>
      </c>
      <c r="T137" s="694">
        <v>1503</v>
      </c>
      <c r="U137" s="694">
        <v>587849</v>
      </c>
    </row>
    <row r="138" spans="1:21" x14ac:dyDescent="0.25">
      <c r="A138" s="690">
        <v>33402</v>
      </c>
      <c r="B138" s="691" t="s">
        <v>907</v>
      </c>
      <c r="C138" s="692">
        <v>1.4579999999999999E-4</v>
      </c>
      <c r="D138" s="692">
        <v>1.428E-4</v>
      </c>
      <c r="E138" s="689">
        <v>7940</v>
      </c>
      <c r="F138" s="693">
        <v>-8868</v>
      </c>
      <c r="G138" s="693">
        <v>-8911</v>
      </c>
      <c r="H138" s="693"/>
      <c r="I138" s="689">
        <v>2443</v>
      </c>
      <c r="J138" s="689">
        <v>1953</v>
      </c>
      <c r="K138" s="689">
        <v>0</v>
      </c>
      <c r="L138" s="693">
        <v>0</v>
      </c>
      <c r="M138" s="693"/>
      <c r="N138" s="689">
        <v>0</v>
      </c>
      <c r="O138" s="689">
        <v>0</v>
      </c>
      <c r="P138" s="689">
        <v>0</v>
      </c>
      <c r="Q138" s="693">
        <v>926</v>
      </c>
      <c r="R138" s="693"/>
      <c r="S138" s="689">
        <v>4735</v>
      </c>
      <c r="T138" s="694">
        <v>-309</v>
      </c>
      <c r="U138" s="694">
        <v>4426</v>
      </c>
    </row>
    <row r="139" spans="1:21" x14ac:dyDescent="0.25">
      <c r="A139" s="690">
        <v>33405</v>
      </c>
      <c r="B139" s="691" t="s">
        <v>909</v>
      </c>
      <c r="C139" s="692">
        <v>1.7166E-3</v>
      </c>
      <c r="D139" s="692">
        <v>1.794E-3</v>
      </c>
      <c r="E139" s="689">
        <v>115509</v>
      </c>
      <c r="F139" s="693">
        <v>-111407</v>
      </c>
      <c r="G139" s="693">
        <v>-104919</v>
      </c>
      <c r="H139" s="693"/>
      <c r="I139" s="689">
        <v>28767</v>
      </c>
      <c r="J139" s="689">
        <v>22997</v>
      </c>
      <c r="K139" s="689">
        <v>0</v>
      </c>
      <c r="L139" s="693">
        <v>10868</v>
      </c>
      <c r="M139" s="693"/>
      <c r="N139" s="689">
        <v>0</v>
      </c>
      <c r="O139" s="689">
        <v>0</v>
      </c>
      <c r="P139" s="689">
        <v>0</v>
      </c>
      <c r="Q139" s="693">
        <v>0</v>
      </c>
      <c r="R139" s="693"/>
      <c r="S139" s="689">
        <v>55743</v>
      </c>
      <c r="T139" s="694">
        <v>3623</v>
      </c>
      <c r="U139" s="694">
        <v>59366</v>
      </c>
    </row>
    <row r="140" spans="1:21" x14ac:dyDescent="0.25">
      <c r="A140" s="690">
        <v>33500</v>
      </c>
      <c r="B140" s="691" t="s">
        <v>910</v>
      </c>
      <c r="C140" s="692">
        <v>2.8739E-3</v>
      </c>
      <c r="D140" s="692">
        <v>3.0427000000000002E-3</v>
      </c>
      <c r="E140" s="689">
        <v>165051</v>
      </c>
      <c r="F140" s="693">
        <v>-188952</v>
      </c>
      <c r="G140" s="693">
        <v>-175653</v>
      </c>
      <c r="H140" s="693"/>
      <c r="I140" s="689">
        <v>48161</v>
      </c>
      <c r="J140" s="689">
        <v>38502</v>
      </c>
      <c r="K140" s="689">
        <v>0</v>
      </c>
      <c r="L140" s="693">
        <v>0</v>
      </c>
      <c r="M140" s="693"/>
      <c r="N140" s="689">
        <v>0</v>
      </c>
      <c r="O140" s="689">
        <v>0</v>
      </c>
      <c r="P140" s="689">
        <v>0</v>
      </c>
      <c r="Q140" s="693">
        <v>1227</v>
      </c>
      <c r="R140" s="693"/>
      <c r="S140" s="689">
        <v>93324</v>
      </c>
      <c r="T140" s="694">
        <v>-409</v>
      </c>
      <c r="U140" s="694">
        <v>92915</v>
      </c>
    </row>
    <row r="141" spans="1:21" x14ac:dyDescent="0.25">
      <c r="A141" s="690">
        <v>33501</v>
      </c>
      <c r="B141" s="691" t="s">
        <v>911</v>
      </c>
      <c r="C141" s="692">
        <v>6.7899999999999997E-5</v>
      </c>
      <c r="D141" s="692">
        <v>6.3100000000000002E-5</v>
      </c>
      <c r="E141" s="689">
        <v>3661</v>
      </c>
      <c r="F141" s="693">
        <v>-3919</v>
      </c>
      <c r="G141" s="693">
        <v>-4150</v>
      </c>
      <c r="H141" s="693"/>
      <c r="I141" s="689">
        <v>1138</v>
      </c>
      <c r="J141" s="689">
        <v>910</v>
      </c>
      <c r="K141" s="689">
        <v>0</v>
      </c>
      <c r="L141" s="693">
        <v>0</v>
      </c>
      <c r="M141" s="693"/>
      <c r="N141" s="689">
        <v>0</v>
      </c>
      <c r="O141" s="689">
        <v>0</v>
      </c>
      <c r="P141" s="689">
        <v>0</v>
      </c>
      <c r="Q141" s="693">
        <v>617</v>
      </c>
      <c r="R141" s="693"/>
      <c r="S141" s="689">
        <v>2205</v>
      </c>
      <c r="T141" s="694">
        <v>-206</v>
      </c>
      <c r="U141" s="694">
        <v>1999</v>
      </c>
    </row>
    <row r="142" spans="1:21" x14ac:dyDescent="0.25">
      <c r="A142" s="690">
        <v>33600</v>
      </c>
      <c r="B142" s="691" t="s">
        <v>912</v>
      </c>
      <c r="C142" s="692">
        <v>9.7339999999999996E-3</v>
      </c>
      <c r="D142" s="692">
        <v>9.7438999999999998E-3</v>
      </c>
      <c r="E142" s="689">
        <v>570399</v>
      </c>
      <c r="F142" s="693">
        <v>-605096</v>
      </c>
      <c r="G142" s="693">
        <v>-594942</v>
      </c>
      <c r="H142" s="693"/>
      <c r="I142" s="689">
        <v>163122</v>
      </c>
      <c r="J142" s="689">
        <v>130406</v>
      </c>
      <c r="K142" s="689">
        <v>0</v>
      </c>
      <c r="L142" s="693">
        <v>0</v>
      </c>
      <c r="M142" s="693"/>
      <c r="N142" s="689">
        <v>0</v>
      </c>
      <c r="O142" s="689">
        <v>0</v>
      </c>
      <c r="P142" s="689">
        <v>0</v>
      </c>
      <c r="Q142" s="693">
        <v>21801</v>
      </c>
      <c r="R142" s="693"/>
      <c r="S142" s="689">
        <v>316092</v>
      </c>
      <c r="T142" s="694">
        <v>-7267</v>
      </c>
      <c r="U142" s="694">
        <v>308825</v>
      </c>
    </row>
    <row r="143" spans="1:21" x14ac:dyDescent="0.25">
      <c r="A143" s="690">
        <v>33605</v>
      </c>
      <c r="B143" s="691" t="s">
        <v>913</v>
      </c>
      <c r="C143" s="692">
        <v>1.2463999999999999E-3</v>
      </c>
      <c r="D143" s="692">
        <v>1.3012E-3</v>
      </c>
      <c r="E143" s="689">
        <v>87643</v>
      </c>
      <c r="F143" s="693">
        <v>-80805</v>
      </c>
      <c r="G143" s="693">
        <v>-76180</v>
      </c>
      <c r="H143" s="693"/>
      <c r="I143" s="689">
        <v>20887</v>
      </c>
      <c r="J143" s="689">
        <v>16698</v>
      </c>
      <c r="K143" s="689">
        <v>0</v>
      </c>
      <c r="L143" s="693">
        <v>10656</v>
      </c>
      <c r="M143" s="693"/>
      <c r="N143" s="689">
        <v>0</v>
      </c>
      <c r="O143" s="689">
        <v>0</v>
      </c>
      <c r="P143" s="689">
        <v>0</v>
      </c>
      <c r="Q143" s="693">
        <v>0</v>
      </c>
      <c r="R143" s="693"/>
      <c r="S143" s="689">
        <v>40474</v>
      </c>
      <c r="T143" s="694">
        <v>3552</v>
      </c>
      <c r="U143" s="694">
        <v>44026</v>
      </c>
    </row>
    <row r="144" spans="1:21" x14ac:dyDescent="0.25">
      <c r="A144" s="690">
        <v>33700</v>
      </c>
      <c r="B144" s="691" t="s">
        <v>914</v>
      </c>
      <c r="C144" s="692">
        <v>6.6239999999999995E-4</v>
      </c>
      <c r="D144" s="692">
        <v>6.9439999999999997E-4</v>
      </c>
      <c r="E144" s="689">
        <v>41193</v>
      </c>
      <c r="F144" s="693">
        <v>-43122</v>
      </c>
      <c r="G144" s="693">
        <v>-40486</v>
      </c>
      <c r="H144" s="693"/>
      <c r="I144" s="689">
        <v>11100</v>
      </c>
      <c r="J144" s="689">
        <v>8874</v>
      </c>
      <c r="K144" s="689">
        <v>0</v>
      </c>
      <c r="L144" s="693">
        <v>1758</v>
      </c>
      <c r="M144" s="693"/>
      <c r="N144" s="689">
        <v>0</v>
      </c>
      <c r="O144" s="689">
        <v>0</v>
      </c>
      <c r="P144" s="689">
        <v>0</v>
      </c>
      <c r="Q144" s="693">
        <v>0</v>
      </c>
      <c r="R144" s="693"/>
      <c r="S144" s="689">
        <v>21510</v>
      </c>
      <c r="T144" s="694">
        <v>586</v>
      </c>
      <c r="U144" s="694">
        <v>22096</v>
      </c>
    </row>
    <row r="145" spans="1:21" x14ac:dyDescent="0.25">
      <c r="A145" s="690">
        <v>33800</v>
      </c>
      <c r="B145" s="691" t="s">
        <v>915</v>
      </c>
      <c r="C145" s="692">
        <v>5.1219999999999998E-4</v>
      </c>
      <c r="D145" s="692">
        <v>5.1650000000000003E-4</v>
      </c>
      <c r="E145" s="689">
        <v>31137</v>
      </c>
      <c r="F145" s="693">
        <v>-32075</v>
      </c>
      <c r="G145" s="693">
        <v>-31306</v>
      </c>
      <c r="H145" s="693"/>
      <c r="I145" s="689">
        <v>8583</v>
      </c>
      <c r="J145" s="689">
        <v>6862</v>
      </c>
      <c r="K145" s="689">
        <v>0</v>
      </c>
      <c r="L145" s="693">
        <v>0</v>
      </c>
      <c r="M145" s="693"/>
      <c r="N145" s="689">
        <v>0</v>
      </c>
      <c r="O145" s="689">
        <v>0</v>
      </c>
      <c r="P145" s="689">
        <v>0</v>
      </c>
      <c r="Q145" s="693">
        <v>129</v>
      </c>
      <c r="R145" s="693"/>
      <c r="S145" s="689">
        <v>16633</v>
      </c>
      <c r="T145" s="694">
        <v>-43</v>
      </c>
      <c r="U145" s="694">
        <v>16590</v>
      </c>
    </row>
    <row r="146" spans="1:21" x14ac:dyDescent="0.25">
      <c r="A146" s="690">
        <v>33900</v>
      </c>
      <c r="B146" s="691" t="s">
        <v>916</v>
      </c>
      <c r="C146" s="692">
        <v>2.5641000000000001E-3</v>
      </c>
      <c r="D146" s="692">
        <v>2.7112999999999998E-3</v>
      </c>
      <c r="E146" s="689">
        <v>160658</v>
      </c>
      <c r="F146" s="693">
        <v>-168372</v>
      </c>
      <c r="G146" s="693">
        <v>-156718</v>
      </c>
      <c r="H146" s="693"/>
      <c r="I146" s="689">
        <v>42969</v>
      </c>
      <c r="J146" s="689">
        <v>34351</v>
      </c>
      <c r="K146" s="689">
        <v>0</v>
      </c>
      <c r="L146" s="693">
        <v>8796</v>
      </c>
      <c r="M146" s="693"/>
      <c r="N146" s="689">
        <v>0</v>
      </c>
      <c r="O146" s="689">
        <v>0</v>
      </c>
      <c r="P146" s="689">
        <v>0</v>
      </c>
      <c r="Q146" s="693">
        <v>0</v>
      </c>
      <c r="R146" s="693"/>
      <c r="S146" s="689">
        <v>83264</v>
      </c>
      <c r="T146" s="694">
        <v>2932</v>
      </c>
      <c r="U146" s="694">
        <v>86196</v>
      </c>
    </row>
    <row r="147" spans="1:21" x14ac:dyDescent="0.25">
      <c r="A147" s="690">
        <v>34000</v>
      </c>
      <c r="B147" s="691" t="s">
        <v>917</v>
      </c>
      <c r="C147" s="692">
        <v>1.1677E-3</v>
      </c>
      <c r="D147" s="692">
        <v>1.1693000000000001E-3</v>
      </c>
      <c r="E147" s="689">
        <v>67652</v>
      </c>
      <c r="F147" s="693">
        <v>-72614</v>
      </c>
      <c r="G147" s="693">
        <v>-71370</v>
      </c>
      <c r="H147" s="693"/>
      <c r="I147" s="689">
        <v>19568</v>
      </c>
      <c r="J147" s="689">
        <v>15644</v>
      </c>
      <c r="K147" s="689">
        <v>0</v>
      </c>
      <c r="L147" s="693">
        <v>0</v>
      </c>
      <c r="M147" s="693"/>
      <c r="N147" s="689">
        <v>0</v>
      </c>
      <c r="O147" s="689">
        <v>0</v>
      </c>
      <c r="P147" s="689">
        <v>0</v>
      </c>
      <c r="Q147" s="693">
        <v>3176</v>
      </c>
      <c r="R147" s="693"/>
      <c r="S147" s="689">
        <v>37919</v>
      </c>
      <c r="T147" s="694">
        <v>-1059</v>
      </c>
      <c r="U147" s="694">
        <v>36860</v>
      </c>
    </row>
    <row r="148" spans="1:21" x14ac:dyDescent="0.25">
      <c r="A148" s="695">
        <v>34100</v>
      </c>
      <c r="B148" s="691" t="s">
        <v>918</v>
      </c>
      <c r="C148" s="692">
        <v>2.61458E-2</v>
      </c>
      <c r="D148" s="692">
        <v>2.67586E-2</v>
      </c>
      <c r="E148" s="689">
        <v>1513304</v>
      </c>
      <c r="F148" s="693">
        <v>-1661709</v>
      </c>
      <c r="G148" s="693">
        <v>-1598031</v>
      </c>
      <c r="H148" s="693"/>
      <c r="I148" s="689">
        <v>438151</v>
      </c>
      <c r="J148" s="689">
        <v>350275</v>
      </c>
      <c r="K148" s="689">
        <v>0</v>
      </c>
      <c r="L148" s="693">
        <v>0</v>
      </c>
      <c r="M148" s="693"/>
      <c r="N148" s="689">
        <v>0</v>
      </c>
      <c r="O148" s="689">
        <v>0</v>
      </c>
      <c r="P148" s="689">
        <v>0</v>
      </c>
      <c r="Q148" s="693">
        <v>45358</v>
      </c>
      <c r="R148" s="693"/>
      <c r="S148" s="689">
        <v>849033</v>
      </c>
      <c r="T148" s="694">
        <v>-15119</v>
      </c>
      <c r="U148" s="694">
        <v>833913</v>
      </c>
    </row>
    <row r="149" spans="1:21" x14ac:dyDescent="0.25">
      <c r="A149" s="695">
        <v>34105</v>
      </c>
      <c r="B149" s="691" t="s">
        <v>919</v>
      </c>
      <c r="C149" s="692">
        <v>2.2208000000000002E-3</v>
      </c>
      <c r="D149" s="692">
        <v>2.2068000000000001E-3</v>
      </c>
      <c r="E149" s="689">
        <v>147116</v>
      </c>
      <c r="F149" s="693">
        <v>-137042</v>
      </c>
      <c r="G149" s="693">
        <v>-135735</v>
      </c>
      <c r="H149" s="693"/>
      <c r="I149" s="689">
        <v>37216</v>
      </c>
      <c r="J149" s="689">
        <v>29752</v>
      </c>
      <c r="K149" s="689">
        <v>0</v>
      </c>
      <c r="L149" s="693">
        <v>7004</v>
      </c>
      <c r="M149" s="693"/>
      <c r="N149" s="689">
        <v>0</v>
      </c>
      <c r="O149" s="689">
        <v>0</v>
      </c>
      <c r="P149" s="689">
        <v>0</v>
      </c>
      <c r="Q149" s="693">
        <v>0</v>
      </c>
      <c r="R149" s="693"/>
      <c r="S149" s="689">
        <v>72116</v>
      </c>
      <c r="T149" s="694">
        <v>2335</v>
      </c>
      <c r="U149" s="694">
        <v>74451</v>
      </c>
    </row>
    <row r="150" spans="1:21" x14ac:dyDescent="0.25">
      <c r="A150" s="695">
        <v>34200</v>
      </c>
      <c r="B150" s="691" t="s">
        <v>920</v>
      </c>
      <c r="C150" s="692">
        <v>8.3549999999999998E-4</v>
      </c>
      <c r="D150" s="692">
        <v>9.7099999999999997E-4</v>
      </c>
      <c r="E150" s="689">
        <v>56491</v>
      </c>
      <c r="F150" s="693">
        <v>-60299</v>
      </c>
      <c r="G150" s="693">
        <v>-51065.760000000002</v>
      </c>
      <c r="H150" s="693"/>
      <c r="I150" s="689">
        <v>14001</v>
      </c>
      <c r="J150" s="689">
        <v>11193</v>
      </c>
      <c r="K150" s="689">
        <v>0</v>
      </c>
      <c r="L150" s="693">
        <v>10049</v>
      </c>
      <c r="M150" s="693"/>
      <c r="N150" s="689">
        <v>0</v>
      </c>
      <c r="O150" s="689">
        <v>0</v>
      </c>
      <c r="P150" s="689">
        <v>0</v>
      </c>
      <c r="Q150" s="693">
        <v>0</v>
      </c>
      <c r="R150" s="693"/>
      <c r="S150" s="689">
        <v>27131</v>
      </c>
      <c r="T150" s="694">
        <v>3350</v>
      </c>
      <c r="U150" s="694">
        <v>30481</v>
      </c>
    </row>
    <row r="151" spans="1:21" x14ac:dyDescent="0.25">
      <c r="A151" s="690">
        <v>34205</v>
      </c>
      <c r="B151" s="691" t="s">
        <v>921</v>
      </c>
      <c r="C151" s="692">
        <v>4.0170000000000001E-4</v>
      </c>
      <c r="D151" s="692">
        <v>3.9360000000000003E-4</v>
      </c>
      <c r="E151" s="689">
        <v>27731</v>
      </c>
      <c r="F151" s="693">
        <v>-24443</v>
      </c>
      <c r="G151" s="693">
        <v>-24552</v>
      </c>
      <c r="H151" s="693"/>
      <c r="I151" s="689">
        <v>6732</v>
      </c>
      <c r="J151" s="689">
        <v>5382</v>
      </c>
      <c r="K151" s="689">
        <v>0</v>
      </c>
      <c r="L151" s="693">
        <v>1848</v>
      </c>
      <c r="M151" s="693"/>
      <c r="N151" s="689">
        <v>0</v>
      </c>
      <c r="O151" s="689">
        <v>0</v>
      </c>
      <c r="P151" s="689">
        <v>0</v>
      </c>
      <c r="Q151" s="693">
        <v>0</v>
      </c>
      <c r="R151" s="693"/>
      <c r="S151" s="689">
        <v>13044</v>
      </c>
      <c r="T151" s="694">
        <v>616</v>
      </c>
      <c r="U151" s="694">
        <v>13660</v>
      </c>
    </row>
    <row r="152" spans="1:21" x14ac:dyDescent="0.25">
      <c r="A152" s="690">
        <v>34220</v>
      </c>
      <c r="B152" s="691" t="s">
        <v>922</v>
      </c>
      <c r="C152" s="692">
        <v>9.4919999999999998E-4</v>
      </c>
      <c r="D152" s="692">
        <v>9.3530000000000002E-4</v>
      </c>
      <c r="E152" s="689">
        <v>61558</v>
      </c>
      <c r="F152" s="693">
        <v>-58082</v>
      </c>
      <c r="G152" s="693">
        <v>-58015</v>
      </c>
      <c r="H152" s="693"/>
      <c r="I152" s="689">
        <v>15907</v>
      </c>
      <c r="J152" s="689">
        <v>12716</v>
      </c>
      <c r="K152" s="689">
        <v>0</v>
      </c>
      <c r="L152" s="693">
        <v>1634</v>
      </c>
      <c r="M152" s="693"/>
      <c r="N152" s="689">
        <v>0</v>
      </c>
      <c r="O152" s="689">
        <v>0</v>
      </c>
      <c r="P152" s="689">
        <v>0</v>
      </c>
      <c r="Q152" s="693">
        <v>0</v>
      </c>
      <c r="R152" s="693"/>
      <c r="S152" s="689">
        <v>30823</v>
      </c>
      <c r="T152" s="694">
        <v>545</v>
      </c>
      <c r="U152" s="694">
        <v>31368</v>
      </c>
    </row>
    <row r="153" spans="1:21" x14ac:dyDescent="0.25">
      <c r="A153" s="690">
        <v>34230</v>
      </c>
      <c r="B153" s="691" t="s">
        <v>923</v>
      </c>
      <c r="C153" s="692">
        <v>3.8259999999999998E-4</v>
      </c>
      <c r="D153" s="692">
        <v>4.3590000000000002E-4</v>
      </c>
      <c r="E153" s="689">
        <v>24011</v>
      </c>
      <c r="F153" s="693">
        <v>-27069</v>
      </c>
      <c r="G153" s="693">
        <v>-23385</v>
      </c>
      <c r="H153" s="693"/>
      <c r="I153" s="689">
        <v>6412</v>
      </c>
      <c r="J153" s="689">
        <v>5126</v>
      </c>
      <c r="K153" s="689">
        <v>0</v>
      </c>
      <c r="L153" s="693">
        <v>2801</v>
      </c>
      <c r="M153" s="693"/>
      <c r="N153" s="689">
        <v>0</v>
      </c>
      <c r="O153" s="689">
        <v>0</v>
      </c>
      <c r="P153" s="689">
        <v>0</v>
      </c>
      <c r="Q153" s="693">
        <v>0</v>
      </c>
      <c r="R153" s="693"/>
      <c r="S153" s="689">
        <v>12424</v>
      </c>
      <c r="T153" s="694">
        <v>934</v>
      </c>
      <c r="U153" s="694">
        <v>13358</v>
      </c>
    </row>
    <row r="154" spans="1:21" x14ac:dyDescent="0.25">
      <c r="A154" s="690">
        <v>34300</v>
      </c>
      <c r="B154" s="691" t="s">
        <v>924</v>
      </c>
      <c r="C154" s="692">
        <v>6.3657000000000002E-3</v>
      </c>
      <c r="D154" s="692">
        <v>6.3845999999999998E-3</v>
      </c>
      <c r="E154" s="689">
        <v>363947</v>
      </c>
      <c r="F154" s="693">
        <v>-396484</v>
      </c>
      <c r="G154" s="693">
        <v>-389072</v>
      </c>
      <c r="H154" s="693"/>
      <c r="I154" s="689">
        <v>106676</v>
      </c>
      <c r="J154" s="689">
        <v>85281</v>
      </c>
      <c r="K154" s="689">
        <v>0</v>
      </c>
      <c r="L154" s="693">
        <v>0</v>
      </c>
      <c r="M154" s="693"/>
      <c r="N154" s="689">
        <v>0</v>
      </c>
      <c r="O154" s="689">
        <v>0</v>
      </c>
      <c r="P154" s="689">
        <v>0</v>
      </c>
      <c r="Q154" s="693">
        <v>20484</v>
      </c>
      <c r="R154" s="693"/>
      <c r="S154" s="689">
        <v>206713</v>
      </c>
      <c r="T154" s="694">
        <v>-6828</v>
      </c>
      <c r="U154" s="694">
        <v>199885</v>
      </c>
    </row>
    <row r="155" spans="1:21" x14ac:dyDescent="0.25">
      <c r="A155" s="690">
        <v>34400</v>
      </c>
      <c r="B155" s="691" t="s">
        <v>925</v>
      </c>
      <c r="C155" s="692">
        <v>2.4949E-3</v>
      </c>
      <c r="D155" s="692">
        <v>2.6771999999999998E-3</v>
      </c>
      <c r="E155" s="689">
        <v>147297</v>
      </c>
      <c r="F155" s="693">
        <v>-166254</v>
      </c>
      <c r="G155" s="693">
        <v>-152488</v>
      </c>
      <c r="H155" s="693"/>
      <c r="I155" s="689">
        <v>41810</v>
      </c>
      <c r="J155" s="689">
        <v>33424</v>
      </c>
      <c r="K155" s="689">
        <v>0</v>
      </c>
      <c r="L155" s="693">
        <v>3609</v>
      </c>
      <c r="M155" s="693"/>
      <c r="N155" s="689">
        <v>0</v>
      </c>
      <c r="O155" s="689">
        <v>0</v>
      </c>
      <c r="P155" s="689">
        <v>0</v>
      </c>
      <c r="Q155" s="693">
        <v>0</v>
      </c>
      <c r="R155" s="693"/>
      <c r="S155" s="689">
        <v>81017</v>
      </c>
      <c r="T155" s="694">
        <v>1203</v>
      </c>
      <c r="U155" s="694">
        <v>82220</v>
      </c>
    </row>
    <row r="156" spans="1:21" x14ac:dyDescent="0.25">
      <c r="A156" s="690">
        <v>34405</v>
      </c>
      <c r="B156" s="691" t="s">
        <v>926</v>
      </c>
      <c r="C156" s="692">
        <v>4.9669999999999998E-4</v>
      </c>
      <c r="D156" s="692">
        <v>5.3189999999999997E-4</v>
      </c>
      <c r="E156" s="689">
        <v>31269</v>
      </c>
      <c r="F156" s="693">
        <v>-33031</v>
      </c>
      <c r="G156" s="693">
        <v>-30358</v>
      </c>
      <c r="H156" s="693"/>
      <c r="I156" s="689">
        <v>8324</v>
      </c>
      <c r="J156" s="689">
        <v>6654</v>
      </c>
      <c r="K156" s="689">
        <v>0</v>
      </c>
      <c r="L156" s="693">
        <v>2126</v>
      </c>
      <c r="M156" s="693"/>
      <c r="N156" s="689">
        <v>0</v>
      </c>
      <c r="O156" s="689">
        <v>0</v>
      </c>
      <c r="P156" s="689">
        <v>0</v>
      </c>
      <c r="Q156" s="693">
        <v>0</v>
      </c>
      <c r="R156" s="693"/>
      <c r="S156" s="689">
        <v>16129</v>
      </c>
      <c r="T156" s="694">
        <v>709</v>
      </c>
      <c r="U156" s="694">
        <v>16838</v>
      </c>
    </row>
    <row r="157" spans="1:21" x14ac:dyDescent="0.25">
      <c r="A157" s="690">
        <v>34500</v>
      </c>
      <c r="B157" s="691" t="s">
        <v>927</v>
      </c>
      <c r="C157" s="692">
        <v>4.4920000000000003E-3</v>
      </c>
      <c r="D157" s="692">
        <v>4.5821000000000004E-3</v>
      </c>
      <c r="E157" s="689">
        <v>266727</v>
      </c>
      <c r="F157" s="693">
        <v>-284548</v>
      </c>
      <c r="G157" s="693">
        <v>-274551</v>
      </c>
      <c r="H157" s="693"/>
      <c r="I157" s="689">
        <v>75277</v>
      </c>
      <c r="J157" s="689">
        <v>60179</v>
      </c>
      <c r="K157" s="689">
        <v>0</v>
      </c>
      <c r="L157" s="693">
        <v>0</v>
      </c>
      <c r="M157" s="693"/>
      <c r="N157" s="689">
        <v>0</v>
      </c>
      <c r="O157" s="689">
        <v>0</v>
      </c>
      <c r="P157" s="689">
        <v>0</v>
      </c>
      <c r="Q157" s="693">
        <v>3451</v>
      </c>
      <c r="R157" s="693"/>
      <c r="S157" s="689">
        <v>145869</v>
      </c>
      <c r="T157" s="694">
        <v>-1150</v>
      </c>
      <c r="U157" s="694">
        <v>144718</v>
      </c>
    </row>
    <row r="158" spans="1:21" x14ac:dyDescent="0.25">
      <c r="A158" s="690">
        <v>34501</v>
      </c>
      <c r="B158" s="691" t="s">
        <v>928</v>
      </c>
      <c r="C158" s="692">
        <v>5.5300000000000002E-5</v>
      </c>
      <c r="D158" s="692">
        <v>5.5899999999999997E-5</v>
      </c>
      <c r="E158" s="689">
        <v>3062</v>
      </c>
      <c r="F158" s="693">
        <v>-3471</v>
      </c>
      <c r="G158" s="693">
        <v>-3380</v>
      </c>
      <c r="H158" s="693"/>
      <c r="I158" s="689">
        <v>927</v>
      </c>
      <c r="J158" s="689">
        <v>741</v>
      </c>
      <c r="K158" s="689">
        <v>0</v>
      </c>
      <c r="L158" s="693">
        <v>0</v>
      </c>
      <c r="M158" s="693"/>
      <c r="N158" s="689">
        <v>0</v>
      </c>
      <c r="O158" s="689">
        <v>0</v>
      </c>
      <c r="P158" s="689">
        <v>0</v>
      </c>
      <c r="Q158" s="693">
        <v>232</v>
      </c>
      <c r="R158" s="693"/>
      <c r="S158" s="689">
        <v>1796</v>
      </c>
      <c r="T158" s="694">
        <v>-77</v>
      </c>
      <c r="U158" s="694">
        <v>1718</v>
      </c>
    </row>
    <row r="159" spans="1:21" x14ac:dyDescent="0.25">
      <c r="A159" s="690">
        <v>34505</v>
      </c>
      <c r="B159" s="691" t="s">
        <v>929</v>
      </c>
      <c r="C159" s="692">
        <v>5.7729999999999999E-4</v>
      </c>
      <c r="D159" s="692">
        <v>5.5340000000000001E-4</v>
      </c>
      <c r="E159" s="689">
        <v>39360</v>
      </c>
      <c r="F159" s="693">
        <v>-34366</v>
      </c>
      <c r="G159" s="693">
        <v>-35285</v>
      </c>
      <c r="H159" s="693"/>
      <c r="I159" s="689">
        <v>9674</v>
      </c>
      <c r="J159" s="689">
        <v>7734</v>
      </c>
      <c r="K159" s="689">
        <v>0</v>
      </c>
      <c r="L159" s="693">
        <v>1715</v>
      </c>
      <c r="M159" s="693"/>
      <c r="N159" s="689">
        <v>0</v>
      </c>
      <c r="O159" s="689">
        <v>0</v>
      </c>
      <c r="P159" s="689">
        <v>0</v>
      </c>
      <c r="Q159" s="693">
        <v>0</v>
      </c>
      <c r="R159" s="693"/>
      <c r="S159" s="689">
        <v>18747</v>
      </c>
      <c r="T159" s="694">
        <v>572</v>
      </c>
      <c r="U159" s="694">
        <v>19318</v>
      </c>
    </row>
    <row r="160" spans="1:21" x14ac:dyDescent="0.25">
      <c r="A160" s="690">
        <v>34600</v>
      </c>
      <c r="B160" s="691" t="s">
        <v>930</v>
      </c>
      <c r="C160" s="692">
        <v>1.0660999999999999E-3</v>
      </c>
      <c r="D160" s="692">
        <v>1.0751999999999999E-3</v>
      </c>
      <c r="E160" s="689">
        <v>67895</v>
      </c>
      <c r="F160" s="693">
        <v>-66770</v>
      </c>
      <c r="G160" s="693">
        <v>-65160</v>
      </c>
      <c r="H160" s="693"/>
      <c r="I160" s="689">
        <v>17866</v>
      </c>
      <c r="J160" s="689">
        <v>14283</v>
      </c>
      <c r="K160" s="689">
        <v>0</v>
      </c>
      <c r="L160" s="693">
        <v>2053</v>
      </c>
      <c r="M160" s="693"/>
      <c r="N160" s="689">
        <v>0</v>
      </c>
      <c r="O160" s="689">
        <v>0</v>
      </c>
      <c r="P160" s="689">
        <v>0</v>
      </c>
      <c r="Q160" s="693">
        <v>0</v>
      </c>
      <c r="R160" s="693"/>
      <c r="S160" s="689">
        <v>34619</v>
      </c>
      <c r="T160" s="694">
        <v>684</v>
      </c>
      <c r="U160" s="694">
        <v>35304</v>
      </c>
    </row>
    <row r="161" spans="1:21" x14ac:dyDescent="0.25">
      <c r="A161" s="690">
        <v>34605</v>
      </c>
      <c r="B161" s="691" t="s">
        <v>931</v>
      </c>
      <c r="C161" s="692">
        <v>2.1880000000000001E-4</v>
      </c>
      <c r="D161" s="692">
        <v>2.4110000000000001E-4</v>
      </c>
      <c r="E161" s="689">
        <v>14564</v>
      </c>
      <c r="F161" s="693">
        <v>-14972</v>
      </c>
      <c r="G161" s="693">
        <v>-13373</v>
      </c>
      <c r="H161" s="693"/>
      <c r="I161" s="689">
        <v>3667</v>
      </c>
      <c r="J161" s="689">
        <v>2931</v>
      </c>
      <c r="K161" s="689">
        <v>0</v>
      </c>
      <c r="L161" s="693">
        <v>1845</v>
      </c>
      <c r="M161" s="693"/>
      <c r="N161" s="689">
        <v>0</v>
      </c>
      <c r="O161" s="689">
        <v>0</v>
      </c>
      <c r="P161" s="689">
        <v>0</v>
      </c>
      <c r="Q161" s="693">
        <v>0</v>
      </c>
      <c r="R161" s="693"/>
      <c r="S161" s="689">
        <v>7105</v>
      </c>
      <c r="T161" s="694">
        <v>615</v>
      </c>
      <c r="U161" s="694">
        <v>7720</v>
      </c>
    </row>
    <row r="162" spans="1:21" x14ac:dyDescent="0.25">
      <c r="A162" s="690">
        <v>34700</v>
      </c>
      <c r="B162" s="691" t="s">
        <v>932</v>
      </c>
      <c r="C162" s="692">
        <v>2.9867000000000001E-3</v>
      </c>
      <c r="D162" s="692">
        <v>3.0238000000000001E-3</v>
      </c>
      <c r="E162" s="689">
        <v>161601</v>
      </c>
      <c r="F162" s="693">
        <v>-187778</v>
      </c>
      <c r="G162" s="693">
        <v>-182547</v>
      </c>
      <c r="H162" s="693"/>
      <c r="I162" s="689">
        <v>50051</v>
      </c>
      <c r="J162" s="689">
        <v>40013</v>
      </c>
      <c r="K162" s="689">
        <v>0</v>
      </c>
      <c r="L162" s="693">
        <v>0</v>
      </c>
      <c r="M162" s="693"/>
      <c r="N162" s="689">
        <v>0</v>
      </c>
      <c r="O162" s="689">
        <v>0</v>
      </c>
      <c r="P162" s="689">
        <v>0</v>
      </c>
      <c r="Q162" s="693">
        <v>15164</v>
      </c>
      <c r="R162" s="693"/>
      <c r="S162" s="689">
        <v>96987</v>
      </c>
      <c r="T162" s="694">
        <v>-5055</v>
      </c>
      <c r="U162" s="694">
        <v>91932</v>
      </c>
    </row>
    <row r="163" spans="1:21" x14ac:dyDescent="0.25">
      <c r="A163" s="690">
        <v>34800</v>
      </c>
      <c r="B163" s="691" t="s">
        <v>933</v>
      </c>
      <c r="C163" s="692">
        <v>3.2909999999999998E-4</v>
      </c>
      <c r="D163" s="692">
        <v>3.2220000000000003E-4</v>
      </c>
      <c r="E163" s="689">
        <v>21832</v>
      </c>
      <c r="F163" s="693">
        <v>-20009</v>
      </c>
      <c r="G163" s="693">
        <v>-20115</v>
      </c>
      <c r="H163" s="693"/>
      <c r="I163" s="689">
        <v>5515</v>
      </c>
      <c r="J163" s="689">
        <v>4409</v>
      </c>
      <c r="K163" s="689">
        <v>0</v>
      </c>
      <c r="L163" s="693">
        <v>836</v>
      </c>
      <c r="M163" s="693"/>
      <c r="N163" s="689">
        <v>0</v>
      </c>
      <c r="O163" s="689">
        <v>0</v>
      </c>
      <c r="P163" s="689">
        <v>0</v>
      </c>
      <c r="Q163" s="693">
        <v>0</v>
      </c>
      <c r="R163" s="693"/>
      <c r="S163" s="689">
        <v>10687</v>
      </c>
      <c r="T163" s="694">
        <v>279</v>
      </c>
      <c r="U163" s="694">
        <v>10966</v>
      </c>
    </row>
    <row r="164" spans="1:21" x14ac:dyDescent="0.25">
      <c r="A164" s="690">
        <v>34900</v>
      </c>
      <c r="B164" s="691" t="s">
        <v>1535</v>
      </c>
      <c r="C164" s="692">
        <v>6.4346000000000004E-3</v>
      </c>
      <c r="D164" s="692">
        <v>6.5344000000000001E-3</v>
      </c>
      <c r="E164" s="689">
        <v>389780</v>
      </c>
      <c r="F164" s="693">
        <v>-405786</v>
      </c>
      <c r="G164" s="693">
        <v>-393283</v>
      </c>
      <c r="H164" s="693"/>
      <c r="I164" s="689">
        <v>107831</v>
      </c>
      <c r="J164" s="689">
        <v>86204</v>
      </c>
      <c r="K164" s="689">
        <v>0</v>
      </c>
      <c r="L164" s="693">
        <v>0</v>
      </c>
      <c r="M164" s="693"/>
      <c r="N164" s="689">
        <v>0</v>
      </c>
      <c r="O164" s="689">
        <v>0</v>
      </c>
      <c r="P164" s="689">
        <v>0</v>
      </c>
      <c r="Q164" s="693">
        <v>527</v>
      </c>
      <c r="R164" s="693"/>
      <c r="S164" s="689">
        <v>208951</v>
      </c>
      <c r="T164" s="694">
        <v>-176</v>
      </c>
      <c r="U164" s="694">
        <v>208775</v>
      </c>
    </row>
    <row r="165" spans="1:21" x14ac:dyDescent="0.25">
      <c r="A165" s="690">
        <v>34901</v>
      </c>
      <c r="B165" s="691" t="s">
        <v>1536</v>
      </c>
      <c r="C165" s="692">
        <v>1.593E-4</v>
      </c>
      <c r="D165" s="692">
        <v>1.6890000000000001E-4</v>
      </c>
      <c r="E165" s="689">
        <v>8350</v>
      </c>
      <c r="F165" s="693">
        <v>-10489</v>
      </c>
      <c r="G165" s="693">
        <v>-9736</v>
      </c>
      <c r="H165" s="693"/>
      <c r="I165" s="689">
        <v>2670</v>
      </c>
      <c r="J165" s="689">
        <v>2134</v>
      </c>
      <c r="K165" s="689">
        <v>0</v>
      </c>
      <c r="L165" s="693">
        <v>0</v>
      </c>
      <c r="M165" s="693"/>
      <c r="N165" s="689">
        <v>0</v>
      </c>
      <c r="O165" s="689">
        <v>0</v>
      </c>
      <c r="P165" s="689">
        <v>0</v>
      </c>
      <c r="Q165" s="693">
        <v>656</v>
      </c>
      <c r="R165" s="693"/>
      <c r="S165" s="689">
        <v>5173</v>
      </c>
      <c r="T165" s="694">
        <v>-219</v>
      </c>
      <c r="U165" s="694">
        <v>4954</v>
      </c>
    </row>
    <row r="166" spans="1:21" x14ac:dyDescent="0.25">
      <c r="A166" s="690">
        <v>34903</v>
      </c>
      <c r="B166" s="691" t="s">
        <v>936</v>
      </c>
      <c r="C166" s="692">
        <v>1.01E-5</v>
      </c>
      <c r="D166" s="692">
        <v>1.0900000000000001E-5</v>
      </c>
      <c r="E166" s="689">
        <v>982</v>
      </c>
      <c r="F166" s="693">
        <v>-677</v>
      </c>
      <c r="G166" s="693">
        <v>-617</v>
      </c>
      <c r="H166" s="693"/>
      <c r="I166" s="689">
        <v>169</v>
      </c>
      <c r="J166" s="689">
        <v>135</v>
      </c>
      <c r="K166" s="689">
        <v>0</v>
      </c>
      <c r="L166" s="693">
        <v>306</v>
      </c>
      <c r="M166" s="693"/>
      <c r="N166" s="689">
        <v>0</v>
      </c>
      <c r="O166" s="689">
        <v>0</v>
      </c>
      <c r="P166" s="689">
        <v>0</v>
      </c>
      <c r="Q166" s="693">
        <v>0</v>
      </c>
      <c r="R166" s="693"/>
      <c r="S166" s="689">
        <v>328</v>
      </c>
      <c r="T166" s="694">
        <v>102</v>
      </c>
      <c r="U166" s="694">
        <v>430</v>
      </c>
    </row>
    <row r="167" spans="1:21" x14ac:dyDescent="0.25">
      <c r="A167" s="690">
        <v>34905</v>
      </c>
      <c r="B167" s="691" t="s">
        <v>937</v>
      </c>
      <c r="C167" s="692">
        <v>6.3719999999999998E-4</v>
      </c>
      <c r="D167" s="692">
        <v>6.3849999999999996E-4</v>
      </c>
      <c r="E167" s="689">
        <v>39702</v>
      </c>
      <c r="F167" s="693">
        <v>-39651</v>
      </c>
      <c r="G167" s="693">
        <v>-38946</v>
      </c>
      <c r="H167" s="693"/>
      <c r="I167" s="689">
        <v>10678</v>
      </c>
      <c r="J167" s="689">
        <v>8537</v>
      </c>
      <c r="K167" s="689">
        <v>0</v>
      </c>
      <c r="L167" s="693">
        <v>375</v>
      </c>
      <c r="M167" s="693"/>
      <c r="N167" s="689">
        <v>0</v>
      </c>
      <c r="O167" s="689">
        <v>0</v>
      </c>
      <c r="P167" s="689">
        <v>0</v>
      </c>
      <c r="Q167" s="693">
        <v>0</v>
      </c>
      <c r="R167" s="693"/>
      <c r="S167" s="689">
        <v>20692</v>
      </c>
      <c r="T167" s="694">
        <v>125</v>
      </c>
      <c r="U167" s="694">
        <v>20817</v>
      </c>
    </row>
    <row r="168" spans="1:21" x14ac:dyDescent="0.25">
      <c r="A168" s="690">
        <v>34910</v>
      </c>
      <c r="B168" s="691" t="s">
        <v>938</v>
      </c>
      <c r="C168" s="692">
        <v>2.0162000000000001E-3</v>
      </c>
      <c r="D168" s="692">
        <v>2.0658E-3</v>
      </c>
      <c r="E168" s="689">
        <v>114987</v>
      </c>
      <c r="F168" s="693">
        <v>-128286</v>
      </c>
      <c r="G168" s="693">
        <v>-123230</v>
      </c>
      <c r="H168" s="693"/>
      <c r="I168" s="689">
        <v>33787</v>
      </c>
      <c r="J168" s="689">
        <v>27011</v>
      </c>
      <c r="K168" s="689">
        <v>0</v>
      </c>
      <c r="L168" s="693">
        <v>0</v>
      </c>
      <c r="M168" s="693"/>
      <c r="N168" s="689">
        <v>0</v>
      </c>
      <c r="O168" s="689">
        <v>0</v>
      </c>
      <c r="P168" s="689">
        <v>0</v>
      </c>
      <c r="Q168" s="693">
        <v>4671</v>
      </c>
      <c r="R168" s="693"/>
      <c r="S168" s="689">
        <v>65472</v>
      </c>
      <c r="T168" s="694">
        <v>-1557</v>
      </c>
      <c r="U168" s="694">
        <v>63915</v>
      </c>
    </row>
    <row r="169" spans="1:21" x14ac:dyDescent="0.25">
      <c r="A169" s="690">
        <v>35000</v>
      </c>
      <c r="B169" s="691" t="s">
        <v>939</v>
      </c>
      <c r="C169" s="692">
        <v>1.3412999999999999E-3</v>
      </c>
      <c r="D169" s="692">
        <v>1.4005999999999999E-3</v>
      </c>
      <c r="E169" s="689">
        <v>77855</v>
      </c>
      <c r="F169" s="693">
        <v>-86977</v>
      </c>
      <c r="G169" s="693">
        <v>-81980</v>
      </c>
      <c r="H169" s="693"/>
      <c r="I169" s="689">
        <v>22478</v>
      </c>
      <c r="J169" s="689">
        <v>17969</v>
      </c>
      <c r="K169" s="689">
        <v>0</v>
      </c>
      <c r="L169" s="693">
        <v>0</v>
      </c>
      <c r="M169" s="693"/>
      <c r="N169" s="689">
        <v>0</v>
      </c>
      <c r="O169" s="689">
        <v>0</v>
      </c>
      <c r="P169" s="689">
        <v>0</v>
      </c>
      <c r="Q169" s="693">
        <v>863</v>
      </c>
      <c r="R169" s="693"/>
      <c r="S169" s="689">
        <v>43556</v>
      </c>
      <c r="T169" s="694">
        <v>-288</v>
      </c>
      <c r="U169" s="694">
        <v>43268</v>
      </c>
    </row>
    <row r="170" spans="1:21" x14ac:dyDescent="0.25">
      <c r="A170" s="690">
        <v>35005</v>
      </c>
      <c r="B170" s="691" t="s">
        <v>940</v>
      </c>
      <c r="C170" s="692">
        <v>6.1209999999999997E-4</v>
      </c>
      <c r="D170" s="692">
        <v>6.2089999999999997E-4</v>
      </c>
      <c r="E170" s="689">
        <v>39300</v>
      </c>
      <c r="F170" s="693">
        <v>-38558</v>
      </c>
      <c r="G170" s="693">
        <v>-37412</v>
      </c>
      <c r="H170" s="693"/>
      <c r="I170" s="689">
        <v>10258</v>
      </c>
      <c r="J170" s="689">
        <v>8200</v>
      </c>
      <c r="K170" s="689">
        <v>0</v>
      </c>
      <c r="L170" s="693">
        <v>1584</v>
      </c>
      <c r="M170" s="693"/>
      <c r="N170" s="689">
        <v>0</v>
      </c>
      <c r="O170" s="689">
        <v>0</v>
      </c>
      <c r="P170" s="689">
        <v>0</v>
      </c>
      <c r="Q170" s="693">
        <v>0</v>
      </c>
      <c r="R170" s="693"/>
      <c r="S170" s="689">
        <v>19877</v>
      </c>
      <c r="T170" s="694">
        <v>528</v>
      </c>
      <c r="U170" s="694">
        <v>20405</v>
      </c>
    </row>
    <row r="171" spans="1:21" x14ac:dyDescent="0.25">
      <c r="A171" s="690">
        <v>35100</v>
      </c>
      <c r="B171" s="691" t="s">
        <v>941</v>
      </c>
      <c r="C171" s="692">
        <v>1.17844E-2</v>
      </c>
      <c r="D171" s="692">
        <v>1.16682E-2</v>
      </c>
      <c r="E171" s="689">
        <v>663328</v>
      </c>
      <c r="F171" s="693">
        <v>-724595</v>
      </c>
      <c r="G171" s="693">
        <v>-720263</v>
      </c>
      <c r="H171" s="693"/>
      <c r="I171" s="689">
        <v>197483</v>
      </c>
      <c r="J171" s="689">
        <v>157876</v>
      </c>
      <c r="K171" s="689">
        <v>0</v>
      </c>
      <c r="L171" s="693">
        <v>0</v>
      </c>
      <c r="M171" s="693"/>
      <c r="N171" s="689">
        <v>0</v>
      </c>
      <c r="O171" s="689">
        <v>0</v>
      </c>
      <c r="P171" s="689">
        <v>0</v>
      </c>
      <c r="Q171" s="693">
        <v>52780</v>
      </c>
      <c r="R171" s="693"/>
      <c r="S171" s="689">
        <v>382675</v>
      </c>
      <c r="T171" s="694">
        <v>-17593</v>
      </c>
      <c r="U171" s="694">
        <v>365082</v>
      </c>
    </row>
    <row r="172" spans="1:21" x14ac:dyDescent="0.25">
      <c r="A172" s="690">
        <v>35105</v>
      </c>
      <c r="B172" s="691" t="s">
        <v>942</v>
      </c>
      <c r="C172" s="692">
        <v>1.0185000000000001E-3</v>
      </c>
      <c r="D172" s="692">
        <v>1.0434999999999999E-3</v>
      </c>
      <c r="E172" s="689">
        <v>61205</v>
      </c>
      <c r="F172" s="693">
        <v>-64801</v>
      </c>
      <c r="G172" s="693">
        <v>-62251</v>
      </c>
      <c r="H172" s="693"/>
      <c r="I172" s="689">
        <v>17068</v>
      </c>
      <c r="J172" s="689">
        <v>13645</v>
      </c>
      <c r="K172" s="689">
        <v>0</v>
      </c>
      <c r="L172" s="693">
        <v>0</v>
      </c>
      <c r="M172" s="693"/>
      <c r="N172" s="689">
        <v>0</v>
      </c>
      <c r="O172" s="689">
        <v>0</v>
      </c>
      <c r="P172" s="689">
        <v>0</v>
      </c>
      <c r="Q172" s="693">
        <v>23</v>
      </c>
      <c r="R172" s="693"/>
      <c r="S172" s="689">
        <v>33074</v>
      </c>
      <c r="T172" s="694">
        <v>-8</v>
      </c>
      <c r="U172" s="694">
        <v>33066</v>
      </c>
    </row>
    <row r="173" spans="1:21" x14ac:dyDescent="0.25">
      <c r="A173" s="690">
        <v>35106</v>
      </c>
      <c r="B173" s="691" t="s">
        <v>943</v>
      </c>
      <c r="C173" s="692">
        <v>2.5569999999999998E-4</v>
      </c>
      <c r="D173" s="692">
        <v>2.7090000000000003E-4</v>
      </c>
      <c r="E173" s="689">
        <v>13107</v>
      </c>
      <c r="F173" s="693">
        <v>-16823</v>
      </c>
      <c r="G173" s="693">
        <v>-15628</v>
      </c>
      <c r="H173" s="693"/>
      <c r="I173" s="689">
        <v>4285</v>
      </c>
      <c r="J173" s="689">
        <v>3426</v>
      </c>
      <c r="K173" s="689">
        <v>0</v>
      </c>
      <c r="L173" s="693">
        <v>0</v>
      </c>
      <c r="M173" s="693"/>
      <c r="N173" s="689">
        <v>0</v>
      </c>
      <c r="O173" s="689">
        <v>0</v>
      </c>
      <c r="P173" s="689">
        <v>0</v>
      </c>
      <c r="Q173" s="693">
        <v>1284</v>
      </c>
      <c r="R173" s="693"/>
      <c r="S173" s="689">
        <v>8303</v>
      </c>
      <c r="T173" s="694">
        <v>-428</v>
      </c>
      <c r="U173" s="694">
        <v>7875</v>
      </c>
    </row>
    <row r="174" spans="1:21" x14ac:dyDescent="0.25">
      <c r="A174" s="690">
        <v>35200</v>
      </c>
      <c r="B174" s="691" t="s">
        <v>944</v>
      </c>
      <c r="C174" s="692">
        <v>4.8859999999999995E-4</v>
      </c>
      <c r="D174" s="692">
        <v>5.0690000000000002E-4</v>
      </c>
      <c r="E174" s="689">
        <v>32505</v>
      </c>
      <c r="F174" s="693">
        <v>-31478</v>
      </c>
      <c r="G174" s="693">
        <v>-29863</v>
      </c>
      <c r="H174" s="693"/>
      <c r="I174" s="689">
        <v>8188</v>
      </c>
      <c r="J174" s="689">
        <v>6546</v>
      </c>
      <c r="K174" s="689">
        <v>0</v>
      </c>
      <c r="L174" s="693">
        <v>2640</v>
      </c>
      <c r="M174" s="693"/>
      <c r="N174" s="689">
        <v>0</v>
      </c>
      <c r="O174" s="689">
        <v>0</v>
      </c>
      <c r="P174" s="689">
        <v>0</v>
      </c>
      <c r="Q174" s="693">
        <v>0</v>
      </c>
      <c r="R174" s="693"/>
      <c r="S174" s="689">
        <v>15866</v>
      </c>
      <c r="T174" s="694">
        <v>880</v>
      </c>
      <c r="U174" s="694">
        <v>16746</v>
      </c>
    </row>
    <row r="175" spans="1:21" x14ac:dyDescent="0.25">
      <c r="A175" s="690">
        <v>35300</v>
      </c>
      <c r="B175" s="691" t="s">
        <v>1537</v>
      </c>
      <c r="C175" s="692">
        <v>3.6235999999999998E-3</v>
      </c>
      <c r="D175" s="692">
        <v>3.4838E-3</v>
      </c>
      <c r="E175" s="689">
        <v>203327</v>
      </c>
      <c r="F175" s="693">
        <v>-216344</v>
      </c>
      <c r="G175" s="693">
        <v>-221474</v>
      </c>
      <c r="H175" s="693"/>
      <c r="I175" s="689">
        <v>60724</v>
      </c>
      <c r="J175" s="689">
        <v>48545</v>
      </c>
      <c r="K175" s="689">
        <v>0</v>
      </c>
      <c r="L175" s="693">
        <v>0</v>
      </c>
      <c r="M175" s="693"/>
      <c r="N175" s="689">
        <v>0</v>
      </c>
      <c r="O175" s="689">
        <v>0</v>
      </c>
      <c r="P175" s="689">
        <v>0</v>
      </c>
      <c r="Q175" s="693">
        <v>21556</v>
      </c>
      <c r="R175" s="693"/>
      <c r="S175" s="689">
        <v>117669</v>
      </c>
      <c r="T175" s="694">
        <v>-7185</v>
      </c>
      <c r="U175" s="694">
        <v>110484</v>
      </c>
    </row>
    <row r="176" spans="1:21" x14ac:dyDescent="0.25">
      <c r="A176" s="690">
        <v>35305</v>
      </c>
      <c r="B176" s="691" t="s">
        <v>946</v>
      </c>
      <c r="C176" s="692">
        <v>1.2482000000000001E-3</v>
      </c>
      <c r="D176" s="692">
        <v>1.2708000000000001E-3</v>
      </c>
      <c r="E176" s="689">
        <v>78815</v>
      </c>
      <c r="F176" s="693">
        <v>-78917</v>
      </c>
      <c r="G176" s="693">
        <v>-76290</v>
      </c>
      <c r="H176" s="693"/>
      <c r="I176" s="689">
        <v>20917</v>
      </c>
      <c r="J176" s="689">
        <v>16722</v>
      </c>
      <c r="K176" s="689">
        <v>0</v>
      </c>
      <c r="L176" s="693">
        <v>2452</v>
      </c>
      <c r="M176" s="693"/>
      <c r="N176" s="689">
        <v>0</v>
      </c>
      <c r="O176" s="689">
        <v>0</v>
      </c>
      <c r="P176" s="689">
        <v>0</v>
      </c>
      <c r="Q176" s="693">
        <v>0</v>
      </c>
      <c r="R176" s="693"/>
      <c r="S176" s="689">
        <v>40533</v>
      </c>
      <c r="T176" s="694">
        <v>817</v>
      </c>
      <c r="U176" s="694">
        <v>41350</v>
      </c>
    </row>
    <row r="177" spans="1:21" x14ac:dyDescent="0.25">
      <c r="A177" s="690">
        <v>35400</v>
      </c>
      <c r="B177" s="691" t="s">
        <v>947</v>
      </c>
      <c r="C177" s="692">
        <v>2.6048E-3</v>
      </c>
      <c r="D177" s="692">
        <v>2.7407999999999998E-3</v>
      </c>
      <c r="E177" s="689">
        <v>164104</v>
      </c>
      <c r="F177" s="693">
        <v>-170204</v>
      </c>
      <c r="G177" s="693">
        <v>-159205</v>
      </c>
      <c r="H177" s="693"/>
      <c r="I177" s="689">
        <v>43651</v>
      </c>
      <c r="J177" s="689">
        <v>34897</v>
      </c>
      <c r="K177" s="689">
        <v>0</v>
      </c>
      <c r="L177" s="693">
        <v>8977</v>
      </c>
      <c r="M177" s="693"/>
      <c r="N177" s="689">
        <v>0</v>
      </c>
      <c r="O177" s="689">
        <v>0</v>
      </c>
      <c r="P177" s="689">
        <v>0</v>
      </c>
      <c r="Q177" s="693">
        <v>0</v>
      </c>
      <c r="R177" s="693"/>
      <c r="S177" s="689">
        <v>84586</v>
      </c>
      <c r="T177" s="694">
        <v>2992</v>
      </c>
      <c r="U177" s="694">
        <v>87578</v>
      </c>
    </row>
    <row r="178" spans="1:21" x14ac:dyDescent="0.25">
      <c r="A178" s="690">
        <v>35401</v>
      </c>
      <c r="B178" s="691" t="s">
        <v>948</v>
      </c>
      <c r="C178" s="692">
        <v>3.2499999999999997E-5</v>
      </c>
      <c r="D178" s="692">
        <v>2.4499999999999999E-5</v>
      </c>
      <c r="E178" s="689">
        <v>1718</v>
      </c>
      <c r="F178" s="693">
        <v>-1521</v>
      </c>
      <c r="G178" s="693">
        <v>-1986</v>
      </c>
      <c r="H178" s="693"/>
      <c r="I178" s="689">
        <v>544.63499999999999</v>
      </c>
      <c r="J178" s="689">
        <v>435.40249999999997</v>
      </c>
      <c r="K178" s="689">
        <v>0</v>
      </c>
      <c r="L178" s="693">
        <v>0</v>
      </c>
      <c r="M178" s="693"/>
      <c r="N178" s="689">
        <v>0</v>
      </c>
      <c r="O178" s="689">
        <v>0</v>
      </c>
      <c r="P178" s="689">
        <v>0</v>
      </c>
      <c r="Q178" s="693">
        <v>587</v>
      </c>
      <c r="R178" s="693"/>
      <c r="S178" s="689">
        <v>1055.3724999999999</v>
      </c>
      <c r="T178" s="694">
        <v>-196</v>
      </c>
      <c r="U178" s="694">
        <v>860</v>
      </c>
    </row>
    <row r="179" spans="1:21" x14ac:dyDescent="0.25">
      <c r="A179" s="690">
        <v>35405</v>
      </c>
      <c r="B179" s="691" t="s">
        <v>950</v>
      </c>
      <c r="C179" s="692">
        <v>9.1980000000000002E-4</v>
      </c>
      <c r="D179" s="692">
        <v>9.6009999999999997E-4</v>
      </c>
      <c r="E179" s="689">
        <v>55186</v>
      </c>
      <c r="F179" s="693">
        <v>-59622</v>
      </c>
      <c r="G179" s="693">
        <v>-56218</v>
      </c>
      <c r="H179" s="693"/>
      <c r="I179" s="689">
        <v>15414</v>
      </c>
      <c r="J179" s="689">
        <v>12323</v>
      </c>
      <c r="K179" s="689">
        <v>0</v>
      </c>
      <c r="L179" s="693">
        <v>739</v>
      </c>
      <c r="M179" s="693"/>
      <c r="N179" s="689">
        <v>0</v>
      </c>
      <c r="O179" s="689">
        <v>0</v>
      </c>
      <c r="P179" s="689">
        <v>0</v>
      </c>
      <c r="Q179" s="693">
        <v>0</v>
      </c>
      <c r="R179" s="693"/>
      <c r="S179" s="689">
        <v>29869</v>
      </c>
      <c r="T179" s="694">
        <v>246</v>
      </c>
      <c r="U179" s="694">
        <v>30115</v>
      </c>
    </row>
    <row r="180" spans="1:21" x14ac:dyDescent="0.25">
      <c r="A180" s="690">
        <v>35500</v>
      </c>
      <c r="B180" s="691" t="s">
        <v>951</v>
      </c>
      <c r="C180" s="692">
        <v>3.6135E-3</v>
      </c>
      <c r="D180" s="692">
        <v>3.8563E-3</v>
      </c>
      <c r="E180" s="689">
        <v>214544</v>
      </c>
      <c r="F180" s="693">
        <v>-239476</v>
      </c>
      <c r="G180" s="693">
        <v>-220857.12</v>
      </c>
      <c r="H180" s="693"/>
      <c r="I180" s="689">
        <v>60555</v>
      </c>
      <c r="J180" s="689">
        <v>48410</v>
      </c>
      <c r="K180" s="689">
        <v>0</v>
      </c>
      <c r="L180" s="693">
        <v>5142</v>
      </c>
      <c r="M180" s="693"/>
      <c r="N180" s="689">
        <v>0</v>
      </c>
      <c r="O180" s="689">
        <v>0</v>
      </c>
      <c r="P180" s="689">
        <v>0</v>
      </c>
      <c r="Q180" s="693">
        <v>0</v>
      </c>
      <c r="R180" s="693"/>
      <c r="S180" s="689">
        <v>117341</v>
      </c>
      <c r="T180" s="694">
        <v>1714</v>
      </c>
      <c r="U180" s="694">
        <v>119055</v>
      </c>
    </row>
    <row r="181" spans="1:21" x14ac:dyDescent="0.25">
      <c r="A181" s="690">
        <v>35600</v>
      </c>
      <c r="B181" s="691" t="s">
        <v>952</v>
      </c>
      <c r="C181" s="692">
        <v>1.5342999999999999E-3</v>
      </c>
      <c r="D181" s="692">
        <v>1.5314E-3</v>
      </c>
      <c r="E181" s="689">
        <v>92647</v>
      </c>
      <c r="F181" s="693">
        <v>-95100</v>
      </c>
      <c r="G181" s="693">
        <v>-93776</v>
      </c>
      <c r="H181" s="693"/>
      <c r="I181" s="689">
        <v>25712</v>
      </c>
      <c r="J181" s="689">
        <v>20555</v>
      </c>
      <c r="K181" s="689">
        <v>0</v>
      </c>
      <c r="L181" s="693">
        <v>0</v>
      </c>
      <c r="M181" s="693"/>
      <c r="N181" s="689">
        <v>0</v>
      </c>
      <c r="O181" s="689">
        <v>0</v>
      </c>
      <c r="P181" s="689">
        <v>0</v>
      </c>
      <c r="Q181" s="693">
        <v>1590</v>
      </c>
      <c r="R181" s="693"/>
      <c r="S181" s="689">
        <v>49823</v>
      </c>
      <c r="T181" s="694">
        <v>-530</v>
      </c>
      <c r="U181" s="694">
        <v>49293</v>
      </c>
    </row>
    <row r="182" spans="1:21" x14ac:dyDescent="0.25">
      <c r="A182" s="690">
        <v>35700</v>
      </c>
      <c r="B182" s="691" t="s">
        <v>953</v>
      </c>
      <c r="C182" s="692">
        <v>8.3239999999999996E-4</v>
      </c>
      <c r="D182" s="692">
        <v>8.5260000000000002E-4</v>
      </c>
      <c r="E182" s="689">
        <v>51154</v>
      </c>
      <c r="F182" s="693">
        <v>-52946</v>
      </c>
      <c r="G182" s="693">
        <v>-50876</v>
      </c>
      <c r="H182" s="693"/>
      <c r="I182" s="689">
        <v>13949</v>
      </c>
      <c r="J182" s="689">
        <v>11152</v>
      </c>
      <c r="K182" s="689">
        <v>0</v>
      </c>
      <c r="L182" s="693">
        <v>819</v>
      </c>
      <c r="M182" s="693"/>
      <c r="N182" s="689">
        <v>0</v>
      </c>
      <c r="O182" s="689">
        <v>0</v>
      </c>
      <c r="P182" s="689">
        <v>0</v>
      </c>
      <c r="Q182" s="693">
        <v>0</v>
      </c>
      <c r="R182" s="693"/>
      <c r="S182" s="689">
        <v>27031</v>
      </c>
      <c r="T182" s="694">
        <v>273</v>
      </c>
      <c r="U182" s="694">
        <v>27304</v>
      </c>
    </row>
    <row r="183" spans="1:21" x14ac:dyDescent="0.25">
      <c r="A183" s="690">
        <v>35800</v>
      </c>
      <c r="B183" s="691" t="s">
        <v>954</v>
      </c>
      <c r="C183" s="692">
        <v>1.1681E-3</v>
      </c>
      <c r="D183" s="692">
        <v>1.2198000000000001E-3</v>
      </c>
      <c r="E183" s="689">
        <v>77568</v>
      </c>
      <c r="F183" s="693">
        <v>-75750</v>
      </c>
      <c r="G183" s="693">
        <v>-71394</v>
      </c>
      <c r="H183" s="693"/>
      <c r="I183" s="689">
        <v>19575</v>
      </c>
      <c r="J183" s="689">
        <v>15649</v>
      </c>
      <c r="K183" s="689">
        <v>0</v>
      </c>
      <c r="L183" s="693">
        <v>6576</v>
      </c>
      <c r="M183" s="693"/>
      <c r="N183" s="689">
        <v>0</v>
      </c>
      <c r="O183" s="689">
        <v>0</v>
      </c>
      <c r="P183" s="689">
        <v>0</v>
      </c>
      <c r="Q183" s="693">
        <v>0</v>
      </c>
      <c r="R183" s="693"/>
      <c r="S183" s="689">
        <v>37932</v>
      </c>
      <c r="T183" s="694">
        <v>2192</v>
      </c>
      <c r="U183" s="694">
        <v>40124</v>
      </c>
    </row>
    <row r="184" spans="1:21" x14ac:dyDescent="0.25">
      <c r="A184" s="690">
        <v>35805</v>
      </c>
      <c r="B184" s="691" t="s">
        <v>955</v>
      </c>
      <c r="C184" s="692">
        <v>2.107E-4</v>
      </c>
      <c r="D184" s="692">
        <v>1.995E-4</v>
      </c>
      <c r="E184" s="689">
        <v>15158</v>
      </c>
      <c r="F184" s="693">
        <v>-12389</v>
      </c>
      <c r="G184" s="693">
        <v>-12878</v>
      </c>
      <c r="H184" s="693"/>
      <c r="I184" s="689">
        <v>3531</v>
      </c>
      <c r="J184" s="689">
        <v>2823</v>
      </c>
      <c r="K184" s="689">
        <v>0</v>
      </c>
      <c r="L184" s="693">
        <v>1105</v>
      </c>
      <c r="M184" s="693"/>
      <c r="N184" s="689">
        <v>0</v>
      </c>
      <c r="O184" s="689">
        <v>0</v>
      </c>
      <c r="P184" s="689">
        <v>0</v>
      </c>
      <c r="Q184" s="693">
        <v>0</v>
      </c>
      <c r="R184" s="693"/>
      <c r="S184" s="689">
        <v>6842</v>
      </c>
      <c r="T184" s="694">
        <v>368</v>
      </c>
      <c r="U184" s="694">
        <v>7210</v>
      </c>
    </row>
    <row r="185" spans="1:21" x14ac:dyDescent="0.25">
      <c r="A185" s="690">
        <v>35900</v>
      </c>
      <c r="B185" s="691" t="s">
        <v>956</v>
      </c>
      <c r="C185" s="692">
        <v>2.1868E-3</v>
      </c>
      <c r="D185" s="692">
        <v>2.2843E-3</v>
      </c>
      <c r="E185" s="689">
        <v>131767</v>
      </c>
      <c r="F185" s="693">
        <v>-141855</v>
      </c>
      <c r="G185" s="693">
        <v>-133657</v>
      </c>
      <c r="H185" s="693"/>
      <c r="I185" s="689">
        <v>36646</v>
      </c>
      <c r="J185" s="689">
        <v>29297</v>
      </c>
      <c r="K185" s="689">
        <v>0</v>
      </c>
      <c r="L185" s="693">
        <v>2257</v>
      </c>
      <c r="M185" s="693"/>
      <c r="N185" s="689">
        <v>0</v>
      </c>
      <c r="O185" s="689">
        <v>0</v>
      </c>
      <c r="P185" s="689">
        <v>0</v>
      </c>
      <c r="Q185" s="693">
        <v>0</v>
      </c>
      <c r="R185" s="693"/>
      <c r="S185" s="689">
        <v>71012</v>
      </c>
      <c r="T185" s="694">
        <v>752</v>
      </c>
      <c r="U185" s="694">
        <v>71764</v>
      </c>
    </row>
    <row r="186" spans="1:21" x14ac:dyDescent="0.25">
      <c r="A186" s="690">
        <v>35905</v>
      </c>
      <c r="B186" s="691" t="s">
        <v>957</v>
      </c>
      <c r="C186" s="692">
        <v>3.009E-4</v>
      </c>
      <c r="D186" s="692">
        <v>3.0519999999999999E-4</v>
      </c>
      <c r="E186" s="689">
        <v>22532</v>
      </c>
      <c r="F186" s="693">
        <v>-18953</v>
      </c>
      <c r="G186" s="693">
        <v>-18391</v>
      </c>
      <c r="H186" s="693"/>
      <c r="I186" s="689">
        <v>5042</v>
      </c>
      <c r="J186" s="689">
        <v>4031</v>
      </c>
      <c r="K186" s="689">
        <v>0</v>
      </c>
      <c r="L186" s="693">
        <v>3186</v>
      </c>
      <c r="M186" s="693"/>
      <c r="N186" s="689">
        <v>0</v>
      </c>
      <c r="O186" s="689">
        <v>0</v>
      </c>
      <c r="P186" s="689">
        <v>0</v>
      </c>
      <c r="Q186" s="693">
        <v>0</v>
      </c>
      <c r="R186" s="693"/>
      <c r="S186" s="689">
        <v>9771</v>
      </c>
      <c r="T186" s="694">
        <v>1062</v>
      </c>
      <c r="U186" s="694">
        <v>10833</v>
      </c>
    </row>
    <row r="187" spans="1:21" x14ac:dyDescent="0.25">
      <c r="A187" s="690">
        <v>36000</v>
      </c>
      <c r="B187" s="691" t="s">
        <v>958</v>
      </c>
      <c r="C187" s="692">
        <v>5.37365E-2</v>
      </c>
      <c r="D187" s="692">
        <v>5.3251399999999997E-2</v>
      </c>
      <c r="E187" s="689">
        <v>2977938</v>
      </c>
      <c r="F187" s="693">
        <v>-3306912</v>
      </c>
      <c r="G187" s="693">
        <v>-3284374.88</v>
      </c>
      <c r="H187" s="693"/>
      <c r="I187" s="689">
        <v>900516</v>
      </c>
      <c r="J187" s="689">
        <v>719908</v>
      </c>
      <c r="K187" s="689">
        <v>0</v>
      </c>
      <c r="L187" s="693">
        <v>0</v>
      </c>
      <c r="M187" s="693"/>
      <c r="N187" s="689">
        <v>0</v>
      </c>
      <c r="O187" s="689">
        <v>0</v>
      </c>
      <c r="P187" s="689">
        <v>0</v>
      </c>
      <c r="Q187" s="693">
        <v>273701</v>
      </c>
      <c r="R187" s="693"/>
      <c r="S187" s="689">
        <v>1744985</v>
      </c>
      <c r="T187" s="694">
        <v>-91234</v>
      </c>
      <c r="U187" s="694">
        <v>1653752</v>
      </c>
    </row>
    <row r="188" spans="1:21" x14ac:dyDescent="0.25">
      <c r="A188" s="690">
        <v>36001</v>
      </c>
      <c r="B188" s="691" t="s">
        <v>959</v>
      </c>
      <c r="C188" s="692">
        <v>2.5999999999999998E-5</v>
      </c>
      <c r="D188" s="692">
        <v>2.9600000000000001E-5</v>
      </c>
      <c r="E188" s="689">
        <v>1690</v>
      </c>
      <c r="F188" s="693">
        <v>-1838</v>
      </c>
      <c r="G188" s="693">
        <v>-1589.12</v>
      </c>
      <c r="H188" s="693"/>
      <c r="I188" s="689">
        <v>436</v>
      </c>
      <c r="J188" s="689">
        <v>348</v>
      </c>
      <c r="K188" s="689">
        <v>0</v>
      </c>
      <c r="L188" s="693">
        <v>233</v>
      </c>
      <c r="M188" s="693"/>
      <c r="N188" s="689">
        <v>0</v>
      </c>
      <c r="O188" s="689">
        <v>0</v>
      </c>
      <c r="P188" s="689">
        <v>0</v>
      </c>
      <c r="Q188" s="693">
        <v>0</v>
      </c>
      <c r="R188" s="693"/>
      <c r="S188" s="689">
        <v>844</v>
      </c>
      <c r="T188" s="694">
        <v>78</v>
      </c>
      <c r="U188" s="694">
        <v>922</v>
      </c>
    </row>
    <row r="189" spans="1:21" s="712" customFormat="1" x14ac:dyDescent="0.25">
      <c r="A189" s="706">
        <v>36002</v>
      </c>
      <c r="B189" s="707" t="s">
        <v>960</v>
      </c>
      <c r="C189" s="708">
        <v>0</v>
      </c>
      <c r="D189" s="708">
        <v>1.3019999999999999E-4</v>
      </c>
      <c r="E189" s="709" t="e">
        <v>#N/A</v>
      </c>
      <c r="F189" s="710">
        <v>-8085</v>
      </c>
      <c r="G189" s="710">
        <v>0</v>
      </c>
      <c r="H189" s="710"/>
      <c r="I189" s="709">
        <v>0</v>
      </c>
      <c r="J189" s="709">
        <v>0</v>
      </c>
      <c r="K189" s="709">
        <v>0</v>
      </c>
      <c r="L189" s="710">
        <v>6064</v>
      </c>
      <c r="M189" s="710"/>
      <c r="N189" s="709">
        <v>0</v>
      </c>
      <c r="O189" s="709">
        <v>0</v>
      </c>
      <c r="P189" s="709">
        <v>0</v>
      </c>
      <c r="Q189" s="710">
        <v>0</v>
      </c>
      <c r="R189" s="710"/>
      <c r="S189" s="709">
        <v>0</v>
      </c>
      <c r="T189" s="711">
        <v>2021</v>
      </c>
      <c r="U189" s="711">
        <v>2021</v>
      </c>
    </row>
    <row r="190" spans="1:21" x14ac:dyDescent="0.25">
      <c r="A190" s="690">
        <v>36003</v>
      </c>
      <c r="B190" s="691" t="s">
        <v>961</v>
      </c>
      <c r="C190" s="692">
        <v>3.8870000000000002E-4</v>
      </c>
      <c r="D190" s="692">
        <v>4.0099999999999999E-4</v>
      </c>
      <c r="E190" s="689">
        <v>19522</v>
      </c>
      <c r="F190" s="693">
        <v>-24902</v>
      </c>
      <c r="G190" s="693">
        <v>-23757</v>
      </c>
      <c r="H190" s="693"/>
      <c r="I190" s="689">
        <v>6514</v>
      </c>
      <c r="J190" s="689">
        <v>5207</v>
      </c>
      <c r="K190" s="689">
        <v>0</v>
      </c>
      <c r="L190" s="693">
        <v>0</v>
      </c>
      <c r="M190" s="693"/>
      <c r="N190" s="689">
        <v>0</v>
      </c>
      <c r="O190" s="689">
        <v>0</v>
      </c>
      <c r="P190" s="689">
        <v>0</v>
      </c>
      <c r="Q190" s="693">
        <v>2758</v>
      </c>
      <c r="R190" s="693"/>
      <c r="S190" s="689">
        <v>12622</v>
      </c>
      <c r="T190" s="694">
        <v>-919</v>
      </c>
      <c r="U190" s="694">
        <v>11703</v>
      </c>
    </row>
    <row r="191" spans="1:21" x14ac:dyDescent="0.25">
      <c r="A191" s="690">
        <v>36004</v>
      </c>
      <c r="B191" s="691" t="s">
        <v>1538</v>
      </c>
      <c r="C191" s="692">
        <v>2.2029999999999999E-4</v>
      </c>
      <c r="D191" s="692">
        <v>1.972E-4</v>
      </c>
      <c r="E191" s="689">
        <v>10315</v>
      </c>
      <c r="F191" s="693">
        <v>-12246</v>
      </c>
      <c r="G191" s="693">
        <v>-13465</v>
      </c>
      <c r="H191" s="693"/>
      <c r="I191" s="689">
        <v>3692</v>
      </c>
      <c r="J191" s="689">
        <v>2951</v>
      </c>
      <c r="K191" s="689">
        <v>0</v>
      </c>
      <c r="L191" s="693">
        <v>0</v>
      </c>
      <c r="M191" s="693"/>
      <c r="N191" s="689">
        <v>0</v>
      </c>
      <c r="O191" s="689">
        <v>0</v>
      </c>
      <c r="P191" s="689">
        <v>0</v>
      </c>
      <c r="Q191" s="693">
        <v>3526</v>
      </c>
      <c r="R191" s="693"/>
      <c r="S191" s="689">
        <v>7154</v>
      </c>
      <c r="T191" s="694">
        <v>-1175</v>
      </c>
      <c r="U191" s="694">
        <v>5979</v>
      </c>
    </row>
    <row r="192" spans="1:21" x14ac:dyDescent="0.25">
      <c r="A192" s="690">
        <v>36005</v>
      </c>
      <c r="B192" s="691" t="s">
        <v>963</v>
      </c>
      <c r="C192" s="692">
        <v>4.4781999999999999E-3</v>
      </c>
      <c r="D192" s="692">
        <v>4.4998E-3</v>
      </c>
      <c r="E192" s="689">
        <v>278100</v>
      </c>
      <c r="F192" s="693">
        <v>-279438</v>
      </c>
      <c r="G192" s="693">
        <v>-273708</v>
      </c>
      <c r="H192" s="693"/>
      <c r="I192" s="689">
        <v>75046</v>
      </c>
      <c r="J192" s="689">
        <v>59994</v>
      </c>
      <c r="K192" s="689">
        <v>0</v>
      </c>
      <c r="L192" s="693">
        <v>2527</v>
      </c>
      <c r="M192" s="693"/>
      <c r="N192" s="689">
        <v>0</v>
      </c>
      <c r="O192" s="689">
        <v>0</v>
      </c>
      <c r="P192" s="689">
        <v>0</v>
      </c>
      <c r="Q192" s="693">
        <v>0</v>
      </c>
      <c r="R192" s="693"/>
      <c r="S192" s="689">
        <v>145421</v>
      </c>
      <c r="T192" s="694">
        <v>842</v>
      </c>
      <c r="U192" s="694">
        <v>146263</v>
      </c>
    </row>
    <row r="193" spans="1:21" x14ac:dyDescent="0.25">
      <c r="A193" s="690">
        <v>36006</v>
      </c>
      <c r="B193" s="691" t="s">
        <v>964</v>
      </c>
      <c r="C193" s="692">
        <v>4.8999999999999998E-4</v>
      </c>
      <c r="D193" s="692">
        <v>4.818E-4</v>
      </c>
      <c r="E193" s="689">
        <v>25314</v>
      </c>
      <c r="F193" s="693">
        <v>-29920</v>
      </c>
      <c r="G193" s="693">
        <v>-29948.799999999999</v>
      </c>
      <c r="H193" s="693"/>
      <c r="I193" s="689">
        <v>8211.42</v>
      </c>
      <c r="J193" s="689">
        <v>6564.53</v>
      </c>
      <c r="K193" s="689">
        <v>0</v>
      </c>
      <c r="L193" s="693">
        <v>0</v>
      </c>
      <c r="M193" s="693"/>
      <c r="N193" s="689">
        <v>0</v>
      </c>
      <c r="O193" s="689">
        <v>0</v>
      </c>
      <c r="P193" s="689">
        <v>0</v>
      </c>
      <c r="Q193" s="693">
        <v>4052</v>
      </c>
      <c r="R193" s="693"/>
      <c r="S193" s="689">
        <v>15912</v>
      </c>
      <c r="T193" s="694">
        <v>-1351</v>
      </c>
      <c r="U193" s="694">
        <v>14561</v>
      </c>
    </row>
    <row r="194" spans="1:21" x14ac:dyDescent="0.25">
      <c r="A194" s="690">
        <v>36007</v>
      </c>
      <c r="B194" s="691" t="s">
        <v>965</v>
      </c>
      <c r="C194" s="692">
        <v>1.7369999999999999E-4</v>
      </c>
      <c r="D194" s="692">
        <v>1.5880000000000001E-4</v>
      </c>
      <c r="E194" s="689">
        <v>9309</v>
      </c>
      <c r="F194" s="693">
        <v>-9861</v>
      </c>
      <c r="G194" s="693">
        <v>-10617</v>
      </c>
      <c r="H194" s="693"/>
      <c r="I194" s="689">
        <v>2911</v>
      </c>
      <c r="J194" s="689">
        <v>2327</v>
      </c>
      <c r="K194" s="689">
        <v>0</v>
      </c>
      <c r="L194" s="693">
        <v>0</v>
      </c>
      <c r="M194" s="693"/>
      <c r="N194" s="689">
        <v>0</v>
      </c>
      <c r="O194" s="689">
        <v>0</v>
      </c>
      <c r="P194" s="689">
        <v>0</v>
      </c>
      <c r="Q194" s="693">
        <v>1744</v>
      </c>
      <c r="R194" s="693"/>
      <c r="S194" s="689">
        <v>5641</v>
      </c>
      <c r="T194" s="694">
        <v>-581</v>
      </c>
      <c r="U194" s="694">
        <v>5059</v>
      </c>
    </row>
    <row r="195" spans="1:21" x14ac:dyDescent="0.25">
      <c r="A195" s="690">
        <v>36008</v>
      </c>
      <c r="B195" s="691" t="s">
        <v>966</v>
      </c>
      <c r="C195" s="692">
        <v>5.5199999999999997E-4</v>
      </c>
      <c r="D195" s="692">
        <v>4.9640000000000003E-4</v>
      </c>
      <c r="E195" s="689">
        <v>26211</v>
      </c>
      <c r="F195" s="693">
        <v>-30826</v>
      </c>
      <c r="G195" s="693">
        <v>-33738.239999999998</v>
      </c>
      <c r="H195" s="693"/>
      <c r="I195" s="689">
        <v>9250</v>
      </c>
      <c r="J195" s="689">
        <v>7395</v>
      </c>
      <c r="K195" s="689">
        <v>0</v>
      </c>
      <c r="L195" s="693">
        <v>0</v>
      </c>
      <c r="M195" s="693"/>
      <c r="N195" s="689">
        <v>0</v>
      </c>
      <c r="O195" s="689">
        <v>0</v>
      </c>
      <c r="P195" s="689">
        <v>0</v>
      </c>
      <c r="Q195" s="693">
        <v>8453</v>
      </c>
      <c r="R195" s="693"/>
      <c r="S195" s="689">
        <v>17925</v>
      </c>
      <c r="T195" s="694">
        <v>-2818</v>
      </c>
      <c r="U195" s="694">
        <v>15107</v>
      </c>
    </row>
    <row r="196" spans="1:21" x14ac:dyDescent="0.25">
      <c r="A196" s="690">
        <v>36009</v>
      </c>
      <c r="B196" s="691" t="s">
        <v>967</v>
      </c>
      <c r="C196" s="692">
        <v>1.3090000000000001E-4</v>
      </c>
      <c r="D196" s="692">
        <v>1.6870000000000001E-4</v>
      </c>
      <c r="E196" s="689">
        <v>6473</v>
      </c>
      <c r="F196" s="693">
        <v>-10476</v>
      </c>
      <c r="G196" s="693">
        <v>-8001</v>
      </c>
      <c r="H196" s="693"/>
      <c r="I196" s="689">
        <v>2194</v>
      </c>
      <c r="J196" s="689">
        <v>1754</v>
      </c>
      <c r="K196" s="689">
        <v>0</v>
      </c>
      <c r="L196" s="693">
        <v>563</v>
      </c>
      <c r="M196" s="693"/>
      <c r="N196" s="689">
        <v>0</v>
      </c>
      <c r="O196" s="689">
        <v>0</v>
      </c>
      <c r="P196" s="689">
        <v>0</v>
      </c>
      <c r="Q196" s="693">
        <v>0</v>
      </c>
      <c r="R196" s="693"/>
      <c r="S196" s="689">
        <v>4251</v>
      </c>
      <c r="T196" s="694">
        <v>188</v>
      </c>
      <c r="U196" s="694">
        <v>4438</v>
      </c>
    </row>
    <row r="197" spans="1:21" x14ac:dyDescent="0.25">
      <c r="A197" s="690">
        <v>36100</v>
      </c>
      <c r="B197" s="691" t="s">
        <v>968</v>
      </c>
      <c r="C197" s="692">
        <v>6.5490000000000004E-4</v>
      </c>
      <c r="D197" s="692">
        <v>6.7909999999999997E-4</v>
      </c>
      <c r="E197" s="689">
        <v>42782</v>
      </c>
      <c r="F197" s="693">
        <v>-42172</v>
      </c>
      <c r="G197" s="693">
        <v>-40027</v>
      </c>
      <c r="H197" s="693"/>
      <c r="I197" s="689">
        <v>10975</v>
      </c>
      <c r="J197" s="689">
        <v>8774</v>
      </c>
      <c r="K197" s="689">
        <v>0</v>
      </c>
      <c r="L197" s="693">
        <v>2934</v>
      </c>
      <c r="M197" s="693"/>
      <c r="N197" s="689">
        <v>0</v>
      </c>
      <c r="O197" s="689">
        <v>0</v>
      </c>
      <c r="P197" s="689">
        <v>0</v>
      </c>
      <c r="Q197" s="693">
        <v>0</v>
      </c>
      <c r="R197" s="693"/>
      <c r="S197" s="689">
        <v>21267</v>
      </c>
      <c r="T197" s="694">
        <v>978</v>
      </c>
      <c r="U197" s="694">
        <v>22245</v>
      </c>
    </row>
    <row r="198" spans="1:21" x14ac:dyDescent="0.25">
      <c r="A198" s="690">
        <v>36102</v>
      </c>
      <c r="B198" s="691" t="s">
        <v>969</v>
      </c>
      <c r="C198" s="692">
        <v>2.0039999999999999E-4</v>
      </c>
      <c r="D198" s="692">
        <v>1.4799999999999999E-4</v>
      </c>
      <c r="E198" s="689">
        <v>9284</v>
      </c>
      <c r="F198" s="693">
        <v>-9191</v>
      </c>
      <c r="G198" s="693">
        <v>-12248</v>
      </c>
      <c r="H198" s="693"/>
      <c r="I198" s="689">
        <v>3358</v>
      </c>
      <c r="J198" s="689">
        <v>2685</v>
      </c>
      <c r="K198" s="689">
        <v>0</v>
      </c>
      <c r="L198" s="693">
        <v>0</v>
      </c>
      <c r="M198" s="693"/>
      <c r="N198" s="689">
        <v>0</v>
      </c>
      <c r="O198" s="689">
        <v>0</v>
      </c>
      <c r="P198" s="689">
        <v>0</v>
      </c>
      <c r="Q198" s="693">
        <v>4743</v>
      </c>
      <c r="R198" s="693"/>
      <c r="S198" s="689">
        <v>6508</v>
      </c>
      <c r="T198" s="694">
        <v>-1581</v>
      </c>
      <c r="U198" s="694">
        <v>4926</v>
      </c>
    </row>
    <row r="199" spans="1:21" x14ac:dyDescent="0.25">
      <c r="A199" s="690">
        <v>36105</v>
      </c>
      <c r="B199" s="691" t="s">
        <v>970</v>
      </c>
      <c r="C199" s="692">
        <v>3.5750000000000002E-4</v>
      </c>
      <c r="D199" s="692">
        <v>3.5530000000000002E-4</v>
      </c>
      <c r="E199" s="689">
        <v>24021</v>
      </c>
      <c r="F199" s="693">
        <v>-22064</v>
      </c>
      <c r="G199" s="693">
        <v>-21850.400000000001</v>
      </c>
      <c r="H199" s="693"/>
      <c r="I199" s="689">
        <v>5991</v>
      </c>
      <c r="J199" s="689">
        <v>4789</v>
      </c>
      <c r="K199" s="689">
        <v>0</v>
      </c>
      <c r="L199" s="693">
        <v>1384</v>
      </c>
      <c r="M199" s="693"/>
      <c r="N199" s="689">
        <v>0</v>
      </c>
      <c r="O199" s="689">
        <v>0</v>
      </c>
      <c r="P199" s="689">
        <v>0</v>
      </c>
      <c r="Q199" s="693">
        <v>0</v>
      </c>
      <c r="R199" s="693"/>
      <c r="S199" s="689">
        <v>11609</v>
      </c>
      <c r="T199" s="694">
        <v>461</v>
      </c>
      <c r="U199" s="694">
        <v>12070.46</v>
      </c>
    </row>
    <row r="200" spans="1:21" x14ac:dyDescent="0.25">
      <c r="A200" s="690">
        <v>36200</v>
      </c>
      <c r="B200" s="691" t="s">
        <v>971</v>
      </c>
      <c r="C200" s="692">
        <v>1.3937000000000001E-3</v>
      </c>
      <c r="D200" s="692">
        <v>1.4419999999999999E-3</v>
      </c>
      <c r="E200" s="689">
        <v>87686</v>
      </c>
      <c r="F200" s="693">
        <v>-89548</v>
      </c>
      <c r="G200" s="693">
        <v>-85183</v>
      </c>
      <c r="H200" s="693"/>
      <c r="I200" s="689">
        <v>23356</v>
      </c>
      <c r="J200" s="689">
        <v>18671</v>
      </c>
      <c r="K200" s="689">
        <v>0</v>
      </c>
      <c r="L200" s="693">
        <v>3575</v>
      </c>
      <c r="M200" s="693"/>
      <c r="N200" s="689">
        <v>0</v>
      </c>
      <c r="O200" s="689">
        <v>0</v>
      </c>
      <c r="P200" s="689">
        <v>0</v>
      </c>
      <c r="Q200" s="693">
        <v>0</v>
      </c>
      <c r="R200" s="693"/>
      <c r="S200" s="689">
        <v>45258</v>
      </c>
      <c r="T200" s="694">
        <v>1192</v>
      </c>
      <c r="U200" s="694">
        <v>46449</v>
      </c>
    </row>
    <row r="201" spans="1:21" x14ac:dyDescent="0.25">
      <c r="A201" s="690">
        <v>36205</v>
      </c>
      <c r="B201" s="691" t="s">
        <v>972</v>
      </c>
      <c r="C201" s="692">
        <v>2.5270000000000002E-4</v>
      </c>
      <c r="D201" s="692">
        <v>2.4610000000000002E-4</v>
      </c>
      <c r="E201" s="689">
        <v>15509</v>
      </c>
      <c r="F201" s="693">
        <v>-15283</v>
      </c>
      <c r="G201" s="693">
        <v>-15445</v>
      </c>
      <c r="H201" s="693"/>
      <c r="I201" s="689">
        <v>4235</v>
      </c>
      <c r="J201" s="689">
        <v>3385</v>
      </c>
      <c r="K201" s="689">
        <v>0</v>
      </c>
      <c r="L201" s="693">
        <v>0</v>
      </c>
      <c r="M201" s="693"/>
      <c r="N201" s="689">
        <v>0</v>
      </c>
      <c r="O201" s="689">
        <v>0</v>
      </c>
      <c r="P201" s="689">
        <v>0</v>
      </c>
      <c r="Q201" s="693">
        <v>359</v>
      </c>
      <c r="R201" s="693"/>
      <c r="S201" s="689">
        <v>8206</v>
      </c>
      <c r="T201" s="694">
        <v>-120</v>
      </c>
      <c r="U201" s="694">
        <v>8086</v>
      </c>
    </row>
    <row r="202" spans="1:21" x14ac:dyDescent="0.25">
      <c r="A202" s="690">
        <v>36300</v>
      </c>
      <c r="B202" s="691" t="s">
        <v>973</v>
      </c>
      <c r="C202" s="692">
        <v>4.4821000000000001E-3</v>
      </c>
      <c r="D202" s="692">
        <v>4.5243000000000002E-3</v>
      </c>
      <c r="E202" s="689">
        <v>262978</v>
      </c>
      <c r="F202" s="693">
        <v>-280959</v>
      </c>
      <c r="G202" s="693">
        <v>-273946</v>
      </c>
      <c r="H202" s="693"/>
      <c r="I202" s="689">
        <v>75111</v>
      </c>
      <c r="J202" s="689">
        <v>60047</v>
      </c>
      <c r="K202" s="689">
        <v>0</v>
      </c>
      <c r="L202" s="693">
        <v>0</v>
      </c>
      <c r="M202" s="693"/>
      <c r="N202" s="689">
        <v>0</v>
      </c>
      <c r="O202" s="689">
        <v>0</v>
      </c>
      <c r="P202" s="689">
        <v>0</v>
      </c>
      <c r="Q202" s="693">
        <v>8036</v>
      </c>
      <c r="R202" s="693"/>
      <c r="S202" s="689">
        <v>145547</v>
      </c>
      <c r="T202" s="694">
        <v>-2679</v>
      </c>
      <c r="U202" s="694">
        <v>142869</v>
      </c>
    </row>
    <row r="203" spans="1:21" x14ac:dyDescent="0.25">
      <c r="A203" s="690">
        <v>36301</v>
      </c>
      <c r="B203" s="691" t="s">
        <v>974</v>
      </c>
      <c r="C203" s="692">
        <v>7.2299999999999996E-5</v>
      </c>
      <c r="D203" s="692">
        <v>6.1500000000000004E-5</v>
      </c>
      <c r="E203" s="689">
        <v>3494</v>
      </c>
      <c r="F203" s="693">
        <v>-3819</v>
      </c>
      <c r="G203" s="693">
        <v>-4419</v>
      </c>
      <c r="H203" s="693"/>
      <c r="I203" s="689">
        <v>1212</v>
      </c>
      <c r="J203" s="689">
        <v>969</v>
      </c>
      <c r="K203" s="689">
        <v>0</v>
      </c>
      <c r="L203" s="693">
        <v>0</v>
      </c>
      <c r="M203" s="693"/>
      <c r="N203" s="689">
        <v>0</v>
      </c>
      <c r="O203" s="689">
        <v>0</v>
      </c>
      <c r="P203" s="689">
        <v>0</v>
      </c>
      <c r="Q203" s="693">
        <v>1225</v>
      </c>
      <c r="R203" s="693"/>
      <c r="S203" s="689">
        <v>2348</v>
      </c>
      <c r="T203" s="694">
        <v>-408</v>
      </c>
      <c r="U203" s="694">
        <v>1939</v>
      </c>
    </row>
    <row r="204" spans="1:21" x14ac:dyDescent="0.25">
      <c r="A204" s="690">
        <v>36302</v>
      </c>
      <c r="B204" s="691" t="s">
        <v>975</v>
      </c>
      <c r="C204" s="692">
        <v>1.0679999999999999E-4</v>
      </c>
      <c r="D204" s="692">
        <v>1.1239999999999999E-4</v>
      </c>
      <c r="E204" s="689">
        <v>5464</v>
      </c>
      <c r="F204" s="693">
        <v>-6980</v>
      </c>
      <c r="G204" s="693">
        <v>-6528</v>
      </c>
      <c r="H204" s="693"/>
      <c r="I204" s="689">
        <v>1790</v>
      </c>
      <c r="J204" s="689">
        <v>1431</v>
      </c>
      <c r="K204" s="689">
        <v>0</v>
      </c>
      <c r="L204" s="693">
        <v>0</v>
      </c>
      <c r="M204" s="693"/>
      <c r="N204" s="689">
        <v>0</v>
      </c>
      <c r="O204" s="689">
        <v>0</v>
      </c>
      <c r="P204" s="689">
        <v>0</v>
      </c>
      <c r="Q204" s="693">
        <v>579</v>
      </c>
      <c r="R204" s="693"/>
      <c r="S204" s="689">
        <v>3468</v>
      </c>
      <c r="T204" s="694">
        <v>-193</v>
      </c>
      <c r="U204" s="694">
        <v>3275</v>
      </c>
    </row>
    <row r="205" spans="1:21" x14ac:dyDescent="0.25">
      <c r="A205" s="690">
        <v>36305</v>
      </c>
      <c r="B205" s="691" t="s">
        <v>976</v>
      </c>
      <c r="C205" s="692">
        <v>8.1789999999999999E-4</v>
      </c>
      <c r="D205" s="692">
        <v>8.6989999999999995E-4</v>
      </c>
      <c r="E205" s="689">
        <v>58085</v>
      </c>
      <c r="F205" s="693">
        <v>-54021</v>
      </c>
      <c r="G205" s="693">
        <v>-49990</v>
      </c>
      <c r="H205" s="693"/>
      <c r="I205" s="689">
        <v>13706</v>
      </c>
      <c r="J205" s="689">
        <v>10957</v>
      </c>
      <c r="K205" s="689">
        <v>0</v>
      </c>
      <c r="L205" s="693">
        <v>8169</v>
      </c>
      <c r="M205" s="693"/>
      <c r="N205" s="689">
        <v>0</v>
      </c>
      <c r="O205" s="689">
        <v>0</v>
      </c>
      <c r="P205" s="689">
        <v>0</v>
      </c>
      <c r="Q205" s="693">
        <v>0</v>
      </c>
      <c r="R205" s="693"/>
      <c r="S205" s="689">
        <v>26560</v>
      </c>
      <c r="T205" s="694">
        <v>2723</v>
      </c>
      <c r="U205" s="694">
        <v>29283</v>
      </c>
    </row>
    <row r="206" spans="1:21" x14ac:dyDescent="0.25">
      <c r="A206" s="690">
        <v>36310</v>
      </c>
      <c r="B206" s="691" t="s">
        <v>1539</v>
      </c>
      <c r="C206" s="692">
        <v>3.4999999999999997E-5</v>
      </c>
      <c r="D206" s="692">
        <v>0</v>
      </c>
      <c r="E206" s="689">
        <v>1876</v>
      </c>
      <c r="F206" s="693">
        <v>0</v>
      </c>
      <c r="G206" s="693">
        <v>-2139</v>
      </c>
      <c r="H206" s="693"/>
      <c r="I206" s="689">
        <v>586.53</v>
      </c>
      <c r="J206" s="689">
        <v>468.89499999999998</v>
      </c>
      <c r="K206" s="689">
        <v>0</v>
      </c>
      <c r="L206" s="693">
        <v>0</v>
      </c>
      <c r="M206" s="693"/>
      <c r="N206" s="689">
        <v>0</v>
      </c>
      <c r="O206" s="689">
        <v>0</v>
      </c>
      <c r="P206" s="689">
        <v>0</v>
      </c>
      <c r="Q206" s="693">
        <v>1841</v>
      </c>
      <c r="R206" s="693"/>
      <c r="S206" s="689">
        <v>1137</v>
      </c>
      <c r="T206" s="694">
        <v>-614</v>
      </c>
      <c r="U206" s="694">
        <v>523</v>
      </c>
    </row>
    <row r="207" spans="1:21" x14ac:dyDescent="0.25">
      <c r="A207" s="690">
        <v>36400</v>
      </c>
      <c r="B207" s="691" t="s">
        <v>977</v>
      </c>
      <c r="C207" s="692">
        <v>4.9451E-3</v>
      </c>
      <c r="D207" s="692">
        <v>4.8573000000000002E-3</v>
      </c>
      <c r="E207" s="689">
        <v>309620</v>
      </c>
      <c r="F207" s="693">
        <v>-301638</v>
      </c>
      <c r="G207" s="693">
        <v>-302245</v>
      </c>
      <c r="H207" s="693"/>
      <c r="I207" s="689">
        <v>82870</v>
      </c>
      <c r="J207" s="689">
        <v>66250</v>
      </c>
      <c r="K207" s="689">
        <v>0</v>
      </c>
      <c r="L207" s="693">
        <v>0</v>
      </c>
      <c r="M207" s="693"/>
      <c r="N207" s="689">
        <v>0</v>
      </c>
      <c r="O207" s="689">
        <v>0</v>
      </c>
      <c r="P207" s="689">
        <v>0</v>
      </c>
      <c r="Q207" s="693">
        <v>516</v>
      </c>
      <c r="R207" s="693"/>
      <c r="S207" s="689">
        <v>160582</v>
      </c>
      <c r="T207" s="694">
        <v>-172</v>
      </c>
      <c r="U207" s="694">
        <v>160410</v>
      </c>
    </row>
    <row r="208" spans="1:21" x14ac:dyDescent="0.25">
      <c r="A208" s="690">
        <v>36405</v>
      </c>
      <c r="B208" s="691" t="s">
        <v>1540</v>
      </c>
      <c r="C208" s="692">
        <v>8.6149999999999996E-4</v>
      </c>
      <c r="D208" s="692">
        <v>8.407E-4</v>
      </c>
      <c r="E208" s="689">
        <v>50823</v>
      </c>
      <c r="F208" s="693">
        <v>-52207</v>
      </c>
      <c r="G208" s="693">
        <v>-52654.879999999997</v>
      </c>
      <c r="H208" s="693"/>
      <c r="I208" s="689">
        <v>14437</v>
      </c>
      <c r="J208" s="689">
        <v>11542</v>
      </c>
      <c r="K208" s="689">
        <v>0</v>
      </c>
      <c r="L208" s="693">
        <v>0</v>
      </c>
      <c r="M208" s="693"/>
      <c r="N208" s="689">
        <v>0</v>
      </c>
      <c r="O208" s="689">
        <v>0</v>
      </c>
      <c r="P208" s="689">
        <v>0</v>
      </c>
      <c r="Q208" s="693">
        <v>2684</v>
      </c>
      <c r="R208" s="693"/>
      <c r="S208" s="689">
        <v>27975</v>
      </c>
      <c r="T208" s="694">
        <v>-895</v>
      </c>
      <c r="U208" s="694">
        <v>27081</v>
      </c>
    </row>
    <row r="209" spans="1:21" x14ac:dyDescent="0.25">
      <c r="A209" s="690">
        <v>36500</v>
      </c>
      <c r="B209" s="691" t="s">
        <v>979</v>
      </c>
      <c r="C209" s="692">
        <v>9.7397000000000004E-3</v>
      </c>
      <c r="D209" s="692">
        <v>9.5695999999999993E-3</v>
      </c>
      <c r="E209" s="689">
        <v>572250</v>
      </c>
      <c r="F209" s="693">
        <v>-594272</v>
      </c>
      <c r="G209" s="693">
        <v>-595290</v>
      </c>
      <c r="H209" s="693"/>
      <c r="I209" s="689">
        <v>163218</v>
      </c>
      <c r="J209" s="689">
        <v>130483</v>
      </c>
      <c r="K209" s="689">
        <v>0</v>
      </c>
      <c r="L209" s="693">
        <v>0</v>
      </c>
      <c r="M209" s="693"/>
      <c r="N209" s="689">
        <v>0</v>
      </c>
      <c r="O209" s="689">
        <v>0</v>
      </c>
      <c r="P209" s="689">
        <v>0</v>
      </c>
      <c r="Q209" s="693">
        <v>29060</v>
      </c>
      <c r="R209" s="693"/>
      <c r="S209" s="689">
        <v>316277</v>
      </c>
      <c r="T209" s="694">
        <v>-9687</v>
      </c>
      <c r="U209" s="694">
        <v>306591</v>
      </c>
    </row>
    <row r="210" spans="1:21" x14ac:dyDescent="0.25">
      <c r="A210" s="690">
        <v>36501</v>
      </c>
      <c r="B210" s="691" t="s">
        <v>980</v>
      </c>
      <c r="C210" s="692">
        <v>1.2860000000000001E-4</v>
      </c>
      <c r="D210" s="692">
        <v>1.092E-4</v>
      </c>
      <c r="E210" s="689">
        <v>6506</v>
      </c>
      <c r="F210" s="693">
        <v>-6781</v>
      </c>
      <c r="G210" s="693">
        <v>-7860</v>
      </c>
      <c r="H210" s="693"/>
      <c r="I210" s="689">
        <v>2155</v>
      </c>
      <c r="J210" s="689">
        <v>1723</v>
      </c>
      <c r="K210" s="689">
        <v>0</v>
      </c>
      <c r="L210" s="693">
        <v>0</v>
      </c>
      <c r="M210" s="693"/>
      <c r="N210" s="689">
        <v>0</v>
      </c>
      <c r="O210" s="689">
        <v>0</v>
      </c>
      <c r="P210" s="689">
        <v>0</v>
      </c>
      <c r="Q210" s="693">
        <v>1970</v>
      </c>
      <c r="R210" s="693"/>
      <c r="S210" s="689">
        <v>4176</v>
      </c>
      <c r="T210" s="694">
        <v>-657</v>
      </c>
      <c r="U210" s="694">
        <v>3519</v>
      </c>
    </row>
    <row r="211" spans="1:21" x14ac:dyDescent="0.25">
      <c r="A211" s="690">
        <v>36502</v>
      </c>
      <c r="B211" s="691" t="s">
        <v>981</v>
      </c>
      <c r="C211" s="692">
        <v>4.49E-5</v>
      </c>
      <c r="D211" s="692">
        <v>4.7800000000000003E-5</v>
      </c>
      <c r="E211" s="689">
        <v>2331</v>
      </c>
      <c r="F211" s="693">
        <v>-2968</v>
      </c>
      <c r="G211" s="693">
        <v>-2744</v>
      </c>
      <c r="H211" s="693"/>
      <c r="I211" s="689">
        <v>752</v>
      </c>
      <c r="J211" s="689">
        <v>602</v>
      </c>
      <c r="K211" s="689">
        <v>0</v>
      </c>
      <c r="L211" s="693">
        <v>0</v>
      </c>
      <c r="M211" s="693"/>
      <c r="N211" s="689">
        <v>0</v>
      </c>
      <c r="O211" s="689">
        <v>0</v>
      </c>
      <c r="P211" s="689">
        <v>0</v>
      </c>
      <c r="Q211" s="693">
        <v>193</v>
      </c>
      <c r="R211" s="693"/>
      <c r="S211" s="689">
        <v>1458</v>
      </c>
      <c r="T211" s="694">
        <v>-64</v>
      </c>
      <c r="U211" s="694">
        <v>1394</v>
      </c>
    </row>
    <row r="212" spans="1:21" x14ac:dyDescent="0.25">
      <c r="A212" s="690">
        <v>36505</v>
      </c>
      <c r="B212" s="691" t="s">
        <v>982</v>
      </c>
      <c r="C212" s="692">
        <v>1.9540999999999998E-3</v>
      </c>
      <c r="D212" s="692">
        <v>1.8978000000000001E-3</v>
      </c>
      <c r="E212" s="689">
        <v>123302</v>
      </c>
      <c r="F212" s="693">
        <v>-117853</v>
      </c>
      <c r="G212" s="693">
        <v>-119435</v>
      </c>
      <c r="H212" s="693"/>
      <c r="I212" s="689">
        <v>32747</v>
      </c>
      <c r="J212" s="689">
        <v>26179</v>
      </c>
      <c r="K212" s="689">
        <v>0</v>
      </c>
      <c r="L212" s="693">
        <v>0</v>
      </c>
      <c r="M212" s="693"/>
      <c r="N212" s="689">
        <v>0</v>
      </c>
      <c r="O212" s="689">
        <v>0</v>
      </c>
      <c r="P212" s="689">
        <v>0</v>
      </c>
      <c r="Q212" s="693">
        <v>496</v>
      </c>
      <c r="R212" s="693"/>
      <c r="S212" s="689">
        <v>63455</v>
      </c>
      <c r="T212" s="694">
        <v>-165</v>
      </c>
      <c r="U212" s="694">
        <v>63290</v>
      </c>
    </row>
    <row r="213" spans="1:21" x14ac:dyDescent="0.25">
      <c r="A213" s="690">
        <v>36600</v>
      </c>
      <c r="B213" s="691" t="s">
        <v>983</v>
      </c>
      <c r="C213" s="692">
        <v>6.8749999999999996E-4</v>
      </c>
      <c r="D213" s="692">
        <v>7.027E-4</v>
      </c>
      <c r="E213" s="689">
        <v>47155</v>
      </c>
      <c r="F213" s="693">
        <v>-43638</v>
      </c>
      <c r="G213" s="693">
        <v>-42020</v>
      </c>
      <c r="H213" s="693"/>
      <c r="I213" s="689">
        <v>11521.125</v>
      </c>
      <c r="J213" s="689">
        <v>9210.4375</v>
      </c>
      <c r="K213" s="689">
        <v>0</v>
      </c>
      <c r="L213" s="693">
        <v>4287</v>
      </c>
      <c r="M213" s="693"/>
      <c r="N213" s="689">
        <v>0</v>
      </c>
      <c r="O213" s="689">
        <v>0</v>
      </c>
      <c r="P213" s="689">
        <v>0</v>
      </c>
      <c r="Q213" s="693">
        <v>0</v>
      </c>
      <c r="R213" s="693"/>
      <c r="S213" s="689">
        <v>22325.1875</v>
      </c>
      <c r="T213" s="694">
        <v>1429</v>
      </c>
      <c r="U213" s="694">
        <v>23754</v>
      </c>
    </row>
    <row r="214" spans="1:21" x14ac:dyDescent="0.25">
      <c r="A214" s="690">
        <v>36601</v>
      </c>
      <c r="B214" s="691" t="s">
        <v>984</v>
      </c>
      <c r="C214" s="692">
        <v>4.2230000000000002E-4</v>
      </c>
      <c r="D214" s="692">
        <v>3.8210000000000002E-4</v>
      </c>
      <c r="E214" s="689">
        <v>20183</v>
      </c>
      <c r="F214" s="693">
        <v>-23728</v>
      </c>
      <c r="G214" s="693">
        <v>-25811</v>
      </c>
      <c r="H214" s="693"/>
      <c r="I214" s="689">
        <v>7077</v>
      </c>
      <c r="J214" s="689">
        <v>5658</v>
      </c>
      <c r="K214" s="689">
        <v>0</v>
      </c>
      <c r="L214" s="693">
        <v>0</v>
      </c>
      <c r="M214" s="693"/>
      <c r="N214" s="689">
        <v>0</v>
      </c>
      <c r="O214" s="689">
        <v>0</v>
      </c>
      <c r="P214" s="689">
        <v>0</v>
      </c>
      <c r="Q214" s="693">
        <v>6260</v>
      </c>
      <c r="R214" s="693"/>
      <c r="S214" s="689">
        <v>13713</v>
      </c>
      <c r="T214" s="694">
        <v>-2087</v>
      </c>
      <c r="U214" s="694">
        <v>11627</v>
      </c>
    </row>
    <row r="215" spans="1:21" x14ac:dyDescent="0.25">
      <c r="A215" s="690">
        <v>36700</v>
      </c>
      <c r="B215" s="691" t="s">
        <v>985</v>
      </c>
      <c r="C215" s="692">
        <v>8.1998999999999996E-3</v>
      </c>
      <c r="D215" s="692">
        <v>8.2167999999999998E-3</v>
      </c>
      <c r="E215" s="689">
        <v>474902</v>
      </c>
      <c r="F215" s="693">
        <v>-510263</v>
      </c>
      <c r="G215" s="693">
        <v>-501178</v>
      </c>
      <c r="H215" s="693"/>
      <c r="I215" s="689">
        <v>137414</v>
      </c>
      <c r="J215" s="689">
        <v>109854</v>
      </c>
      <c r="K215" s="689">
        <v>0</v>
      </c>
      <c r="L215" s="693">
        <v>0</v>
      </c>
      <c r="M215" s="693"/>
      <c r="N215" s="689">
        <v>0</v>
      </c>
      <c r="O215" s="689">
        <v>0</v>
      </c>
      <c r="P215" s="689">
        <v>0</v>
      </c>
      <c r="Q215" s="693">
        <v>22167</v>
      </c>
      <c r="R215" s="693"/>
      <c r="S215" s="689">
        <v>266275</v>
      </c>
      <c r="T215" s="694">
        <v>-7389</v>
      </c>
      <c r="U215" s="694">
        <v>258886</v>
      </c>
    </row>
    <row r="216" spans="1:21" x14ac:dyDescent="0.25">
      <c r="A216" s="690">
        <v>36701</v>
      </c>
      <c r="B216" s="691" t="s">
        <v>986</v>
      </c>
      <c r="C216" s="692">
        <v>2.9799999999999999E-5</v>
      </c>
      <c r="D216" s="692">
        <v>4.3000000000000002E-5</v>
      </c>
      <c r="E216" s="689">
        <v>1320</v>
      </c>
      <c r="F216" s="693">
        <v>-2670</v>
      </c>
      <c r="G216" s="693">
        <v>-1821</v>
      </c>
      <c r="H216" s="693"/>
      <c r="I216" s="689">
        <v>499</v>
      </c>
      <c r="J216" s="689">
        <v>399</v>
      </c>
      <c r="K216" s="689">
        <v>0</v>
      </c>
      <c r="L216" s="693">
        <v>227</v>
      </c>
      <c r="M216" s="693"/>
      <c r="N216" s="689">
        <v>0</v>
      </c>
      <c r="O216" s="689">
        <v>0</v>
      </c>
      <c r="P216" s="689">
        <v>0</v>
      </c>
      <c r="Q216" s="693">
        <v>0</v>
      </c>
      <c r="R216" s="693"/>
      <c r="S216" s="689">
        <v>968</v>
      </c>
      <c r="T216" s="694">
        <v>76</v>
      </c>
      <c r="U216" s="694">
        <v>1043</v>
      </c>
    </row>
    <row r="217" spans="1:21" x14ac:dyDescent="0.25">
      <c r="A217" s="690">
        <v>36705</v>
      </c>
      <c r="B217" s="691" t="s">
        <v>987</v>
      </c>
      <c r="C217" s="692">
        <v>9.6460000000000003E-4</v>
      </c>
      <c r="D217" s="692">
        <v>9.3300000000000002E-4</v>
      </c>
      <c r="E217" s="689">
        <v>60358</v>
      </c>
      <c r="F217" s="693">
        <v>-57939</v>
      </c>
      <c r="G217" s="693">
        <v>-58956</v>
      </c>
      <c r="H217" s="693"/>
      <c r="I217" s="689">
        <v>16165</v>
      </c>
      <c r="J217" s="689">
        <v>12923</v>
      </c>
      <c r="K217" s="689">
        <v>0</v>
      </c>
      <c r="L217" s="693">
        <v>0</v>
      </c>
      <c r="M217" s="693"/>
      <c r="N217" s="689">
        <v>0</v>
      </c>
      <c r="O217" s="689">
        <v>0</v>
      </c>
      <c r="P217" s="689">
        <v>0</v>
      </c>
      <c r="Q217" s="693">
        <v>803</v>
      </c>
      <c r="R217" s="693"/>
      <c r="S217" s="689">
        <v>31323</v>
      </c>
      <c r="T217" s="694">
        <v>-268</v>
      </c>
      <c r="U217" s="694">
        <v>31056</v>
      </c>
    </row>
    <row r="218" spans="1:21" x14ac:dyDescent="0.25">
      <c r="A218" s="690">
        <v>36800</v>
      </c>
      <c r="B218" s="691" t="s">
        <v>988</v>
      </c>
      <c r="C218" s="692">
        <v>3.0942000000000001E-3</v>
      </c>
      <c r="D218" s="692">
        <v>3.0677999999999999E-3</v>
      </c>
      <c r="E218" s="689">
        <v>190882</v>
      </c>
      <c r="F218" s="693">
        <v>-190510</v>
      </c>
      <c r="G218" s="693">
        <v>-189118</v>
      </c>
      <c r="H218" s="693"/>
      <c r="I218" s="689">
        <v>51853</v>
      </c>
      <c r="J218" s="689">
        <v>41453</v>
      </c>
      <c r="K218" s="689">
        <v>0</v>
      </c>
      <c r="L218" s="693">
        <v>0</v>
      </c>
      <c r="M218" s="693"/>
      <c r="N218" s="689">
        <v>0</v>
      </c>
      <c r="O218" s="689">
        <v>0</v>
      </c>
      <c r="P218" s="689">
        <v>0</v>
      </c>
      <c r="Q218" s="693">
        <v>1132</v>
      </c>
      <c r="R218" s="693"/>
      <c r="S218" s="689">
        <v>100478</v>
      </c>
      <c r="T218" s="694">
        <v>-377</v>
      </c>
      <c r="U218" s="694">
        <v>100101</v>
      </c>
    </row>
    <row r="219" spans="1:21" s="712" customFormat="1" x14ac:dyDescent="0.25">
      <c r="A219" s="706">
        <v>36801</v>
      </c>
      <c r="B219" s="707" t="s">
        <v>989</v>
      </c>
      <c r="C219" s="708">
        <v>0</v>
      </c>
      <c r="D219" s="708">
        <v>0</v>
      </c>
      <c r="E219" s="709">
        <v>0</v>
      </c>
      <c r="F219" s="710">
        <v>0</v>
      </c>
      <c r="G219" s="710">
        <v>0</v>
      </c>
      <c r="H219" s="710"/>
      <c r="I219" s="709">
        <v>0</v>
      </c>
      <c r="J219" s="709">
        <v>0</v>
      </c>
      <c r="K219" s="709">
        <v>0</v>
      </c>
      <c r="L219" s="710">
        <v>0</v>
      </c>
      <c r="M219" s="710"/>
      <c r="N219" s="709">
        <v>0</v>
      </c>
      <c r="O219" s="709">
        <v>0</v>
      </c>
      <c r="P219" s="709">
        <v>0</v>
      </c>
      <c r="Q219" s="710">
        <v>0</v>
      </c>
      <c r="R219" s="710"/>
      <c r="S219" s="709">
        <v>0</v>
      </c>
      <c r="T219" s="711">
        <v>0</v>
      </c>
      <c r="U219" s="711">
        <v>0</v>
      </c>
    </row>
    <row r="220" spans="1:21" x14ac:dyDescent="0.25">
      <c r="A220" s="690">
        <v>36802</v>
      </c>
      <c r="B220" s="691" t="s">
        <v>990</v>
      </c>
      <c r="C220" s="692">
        <v>1.1340000000000001E-4</v>
      </c>
      <c r="D220" s="692">
        <v>8.1299999999999997E-5</v>
      </c>
      <c r="E220" s="689">
        <v>5295</v>
      </c>
      <c r="F220" s="693">
        <v>-5049</v>
      </c>
      <c r="G220" s="693">
        <v>-6931</v>
      </c>
      <c r="H220" s="693"/>
      <c r="I220" s="689">
        <v>1900</v>
      </c>
      <c r="J220" s="689">
        <v>1519</v>
      </c>
      <c r="K220" s="689">
        <v>0</v>
      </c>
      <c r="L220" s="693">
        <v>0</v>
      </c>
      <c r="M220" s="693"/>
      <c r="N220" s="689">
        <v>0</v>
      </c>
      <c r="O220" s="689">
        <v>0</v>
      </c>
      <c r="P220" s="689">
        <v>0</v>
      </c>
      <c r="Q220" s="693">
        <v>2767</v>
      </c>
      <c r="R220" s="693"/>
      <c r="S220" s="689">
        <v>3682</v>
      </c>
      <c r="T220" s="694">
        <v>-922</v>
      </c>
      <c r="U220" s="694">
        <v>2760</v>
      </c>
    </row>
    <row r="221" spans="1:21" x14ac:dyDescent="0.25">
      <c r="A221" s="690">
        <v>36810</v>
      </c>
      <c r="B221" s="691" t="s">
        <v>1541</v>
      </c>
      <c r="C221" s="692">
        <v>5.8441999999999999E-3</v>
      </c>
      <c r="D221" s="692">
        <v>5.9566000000000003E-3</v>
      </c>
      <c r="E221" s="689">
        <v>341582</v>
      </c>
      <c r="F221" s="693">
        <v>-369905</v>
      </c>
      <c r="G221" s="693">
        <v>-357198</v>
      </c>
      <c r="H221" s="693"/>
      <c r="I221" s="689">
        <v>97937</v>
      </c>
      <c r="J221" s="689">
        <v>78295</v>
      </c>
      <c r="K221" s="689">
        <v>0</v>
      </c>
      <c r="L221" s="693">
        <v>0</v>
      </c>
      <c r="M221" s="693"/>
      <c r="N221" s="689">
        <v>0</v>
      </c>
      <c r="O221" s="689">
        <v>0</v>
      </c>
      <c r="P221" s="689">
        <v>0</v>
      </c>
      <c r="Q221" s="693">
        <v>8791</v>
      </c>
      <c r="R221" s="693"/>
      <c r="S221" s="689">
        <v>189779</v>
      </c>
      <c r="T221" s="694">
        <v>-2930</v>
      </c>
      <c r="U221" s="694">
        <v>186848</v>
      </c>
    </row>
    <row r="222" spans="1:21" x14ac:dyDescent="0.25">
      <c r="A222" s="690">
        <v>36900</v>
      </c>
      <c r="B222" s="691" t="s">
        <v>992</v>
      </c>
      <c r="C222" s="692">
        <v>5.7249999999999998E-4</v>
      </c>
      <c r="D222" s="692">
        <v>5.8239999999999995E-4</v>
      </c>
      <c r="E222" s="689">
        <v>35198</v>
      </c>
      <c r="F222" s="693">
        <v>-36167</v>
      </c>
      <c r="G222" s="693">
        <v>-34991</v>
      </c>
      <c r="H222" s="693"/>
      <c r="I222" s="689">
        <v>9594</v>
      </c>
      <c r="J222" s="689">
        <v>7670</v>
      </c>
      <c r="K222" s="689">
        <v>0</v>
      </c>
      <c r="L222" s="693">
        <v>390</v>
      </c>
      <c r="M222" s="693"/>
      <c r="N222" s="689">
        <v>0</v>
      </c>
      <c r="O222" s="689">
        <v>0</v>
      </c>
      <c r="P222" s="689">
        <v>0</v>
      </c>
      <c r="Q222" s="693">
        <v>0</v>
      </c>
      <c r="R222" s="693"/>
      <c r="S222" s="689">
        <v>18591</v>
      </c>
      <c r="T222" s="694">
        <v>130</v>
      </c>
      <c r="U222" s="694">
        <v>18721</v>
      </c>
    </row>
    <row r="223" spans="1:21" x14ac:dyDescent="0.25">
      <c r="A223" s="690">
        <v>36901</v>
      </c>
      <c r="B223" s="691" t="s">
        <v>993</v>
      </c>
      <c r="C223" s="692">
        <v>1.94E-4</v>
      </c>
      <c r="D223" s="692">
        <v>1.919E-4</v>
      </c>
      <c r="E223" s="689">
        <v>12048</v>
      </c>
      <c r="F223" s="693">
        <v>-11917</v>
      </c>
      <c r="G223" s="693">
        <v>-11857.28</v>
      </c>
      <c r="H223" s="693"/>
      <c r="I223" s="689">
        <v>3251</v>
      </c>
      <c r="J223" s="689">
        <v>2599</v>
      </c>
      <c r="K223" s="689">
        <v>0</v>
      </c>
      <c r="L223" s="693">
        <v>0</v>
      </c>
      <c r="M223" s="693"/>
      <c r="N223" s="689">
        <v>0</v>
      </c>
      <c r="O223" s="689">
        <v>0</v>
      </c>
      <c r="P223" s="689">
        <v>0</v>
      </c>
      <c r="Q223" s="693">
        <v>32</v>
      </c>
      <c r="R223" s="693"/>
      <c r="S223" s="689">
        <v>6300</v>
      </c>
      <c r="T223" s="694">
        <v>-11</v>
      </c>
      <c r="U223" s="694">
        <v>6289</v>
      </c>
    </row>
    <row r="224" spans="1:21" x14ac:dyDescent="0.25">
      <c r="A224" s="690">
        <v>36905</v>
      </c>
      <c r="B224" s="691" t="s">
        <v>994</v>
      </c>
      <c r="C224" s="692">
        <v>1.9149999999999999E-4</v>
      </c>
      <c r="D224" s="692">
        <v>1.7919999999999999E-4</v>
      </c>
      <c r="E224" s="689">
        <v>13593</v>
      </c>
      <c r="F224" s="693">
        <v>-11128</v>
      </c>
      <c r="G224" s="693">
        <v>-11704.48</v>
      </c>
      <c r="H224" s="693"/>
      <c r="I224" s="689">
        <v>3209</v>
      </c>
      <c r="J224" s="689">
        <v>2566</v>
      </c>
      <c r="K224" s="689">
        <v>0</v>
      </c>
      <c r="L224" s="693">
        <v>768</v>
      </c>
      <c r="M224" s="693"/>
      <c r="N224" s="689">
        <v>0</v>
      </c>
      <c r="O224" s="689">
        <v>0</v>
      </c>
      <c r="P224" s="689">
        <v>0</v>
      </c>
      <c r="Q224" s="693">
        <v>0</v>
      </c>
      <c r="R224" s="693"/>
      <c r="S224" s="689">
        <v>6219</v>
      </c>
      <c r="T224" s="694">
        <v>256</v>
      </c>
      <c r="U224" s="694">
        <v>6475</v>
      </c>
    </row>
    <row r="225" spans="1:21" x14ac:dyDescent="0.25">
      <c r="A225" s="690">
        <v>37000</v>
      </c>
      <c r="B225" s="691" t="s">
        <v>995</v>
      </c>
      <c r="C225" s="692">
        <v>1.9151999999999999E-3</v>
      </c>
      <c r="D225" s="692">
        <v>2.0284000000000001E-3</v>
      </c>
      <c r="E225" s="689">
        <v>116348</v>
      </c>
      <c r="F225" s="693">
        <v>-125964</v>
      </c>
      <c r="G225" s="693">
        <v>-117057</v>
      </c>
      <c r="H225" s="693"/>
      <c r="I225" s="689">
        <v>32095</v>
      </c>
      <c r="J225" s="689">
        <v>25658</v>
      </c>
      <c r="K225" s="689">
        <v>0</v>
      </c>
      <c r="L225" s="693">
        <v>3982</v>
      </c>
      <c r="M225" s="693"/>
      <c r="N225" s="689">
        <v>0</v>
      </c>
      <c r="O225" s="689">
        <v>0</v>
      </c>
      <c r="P225" s="689">
        <v>0</v>
      </c>
      <c r="Q225" s="693">
        <v>0</v>
      </c>
      <c r="R225" s="693"/>
      <c r="S225" s="689">
        <v>62192</v>
      </c>
      <c r="T225" s="694">
        <v>1327</v>
      </c>
      <c r="U225" s="694">
        <v>63520</v>
      </c>
    </row>
    <row r="226" spans="1:21" x14ac:dyDescent="0.25">
      <c r="A226" s="690">
        <v>37001</v>
      </c>
      <c r="B226" s="691" t="s">
        <v>1150</v>
      </c>
      <c r="C226" s="692">
        <v>7.9599999999999997E-5</v>
      </c>
      <c r="D226" s="692">
        <v>4.1199999999999999E-5</v>
      </c>
      <c r="E226" s="689">
        <v>3917</v>
      </c>
      <c r="F226" s="693">
        <v>-2559</v>
      </c>
      <c r="G226" s="693">
        <v>-4865</v>
      </c>
      <c r="H226" s="693"/>
      <c r="I226" s="689">
        <v>1334</v>
      </c>
      <c r="J226" s="689">
        <v>1066</v>
      </c>
      <c r="K226" s="689">
        <v>0</v>
      </c>
      <c r="L226" s="693">
        <v>0</v>
      </c>
      <c r="M226" s="693"/>
      <c r="N226" s="689">
        <v>0</v>
      </c>
      <c r="O226" s="689">
        <v>0</v>
      </c>
      <c r="P226" s="689">
        <v>0</v>
      </c>
      <c r="Q226" s="693">
        <v>2531</v>
      </c>
      <c r="R226" s="693"/>
      <c r="S226" s="689">
        <v>2585</v>
      </c>
      <c r="T226" s="694">
        <v>-844</v>
      </c>
      <c r="U226" s="694">
        <v>1741</v>
      </c>
    </row>
    <row r="227" spans="1:21" x14ac:dyDescent="0.25">
      <c r="A227" s="690">
        <v>37005</v>
      </c>
      <c r="B227" s="691" t="s">
        <v>996</v>
      </c>
      <c r="C227" s="692">
        <v>4.572E-4</v>
      </c>
      <c r="D227" s="692">
        <v>4.707E-4</v>
      </c>
      <c r="E227" s="689">
        <v>32154</v>
      </c>
      <c r="F227" s="693">
        <v>-29230</v>
      </c>
      <c r="G227" s="693">
        <v>-27944</v>
      </c>
      <c r="H227" s="693"/>
      <c r="I227" s="689">
        <v>7662</v>
      </c>
      <c r="J227" s="689">
        <v>6125</v>
      </c>
      <c r="K227" s="689">
        <v>0</v>
      </c>
      <c r="L227" s="693">
        <v>3605</v>
      </c>
      <c r="M227" s="693"/>
      <c r="N227" s="689">
        <v>0</v>
      </c>
      <c r="O227" s="689">
        <v>0</v>
      </c>
      <c r="P227" s="689">
        <v>0</v>
      </c>
      <c r="Q227" s="693">
        <v>0</v>
      </c>
      <c r="R227" s="693"/>
      <c r="S227" s="689">
        <v>14847</v>
      </c>
      <c r="T227" s="694">
        <v>1202</v>
      </c>
      <c r="U227" s="694">
        <v>16048</v>
      </c>
    </row>
    <row r="228" spans="1:21" x14ac:dyDescent="0.25">
      <c r="A228" s="690">
        <v>37100</v>
      </c>
      <c r="B228" s="691" t="s">
        <v>997</v>
      </c>
      <c r="C228" s="692">
        <v>2.9053E-3</v>
      </c>
      <c r="D228" s="692">
        <v>2.8511000000000001E-3</v>
      </c>
      <c r="E228" s="689">
        <v>167058</v>
      </c>
      <c r="F228" s="693">
        <v>-177053</v>
      </c>
      <c r="G228" s="693">
        <v>-177572</v>
      </c>
      <c r="H228" s="693"/>
      <c r="I228" s="689">
        <v>48687</v>
      </c>
      <c r="J228" s="689">
        <v>38922</v>
      </c>
      <c r="K228" s="689">
        <v>0</v>
      </c>
      <c r="L228" s="693">
        <v>0</v>
      </c>
      <c r="M228" s="693"/>
      <c r="N228" s="689">
        <v>0</v>
      </c>
      <c r="O228" s="689">
        <v>0</v>
      </c>
      <c r="P228" s="689">
        <v>0</v>
      </c>
      <c r="Q228" s="693">
        <v>11560</v>
      </c>
      <c r="R228" s="693"/>
      <c r="S228" s="689">
        <v>94344</v>
      </c>
      <c r="T228" s="694">
        <v>-3853</v>
      </c>
      <c r="U228" s="694">
        <v>90490</v>
      </c>
    </row>
    <row r="229" spans="1:21" x14ac:dyDescent="0.25">
      <c r="A229" s="690">
        <v>37200</v>
      </c>
      <c r="B229" s="691" t="s">
        <v>998</v>
      </c>
      <c r="C229" s="692">
        <v>6.4570000000000003E-4</v>
      </c>
      <c r="D229" s="692">
        <v>6.3849999999999996E-4</v>
      </c>
      <c r="E229" s="689">
        <v>38634</v>
      </c>
      <c r="F229" s="693">
        <v>-39651</v>
      </c>
      <c r="G229" s="693">
        <v>-39465</v>
      </c>
      <c r="H229" s="693"/>
      <c r="I229" s="689">
        <v>10821</v>
      </c>
      <c r="J229" s="689">
        <v>8650</v>
      </c>
      <c r="K229" s="689">
        <v>0</v>
      </c>
      <c r="L229" s="693">
        <v>0</v>
      </c>
      <c r="M229" s="693"/>
      <c r="N229" s="689">
        <v>0</v>
      </c>
      <c r="O229" s="689">
        <v>0</v>
      </c>
      <c r="P229" s="689">
        <v>0</v>
      </c>
      <c r="Q229" s="693">
        <v>1214</v>
      </c>
      <c r="R229" s="693"/>
      <c r="S229" s="689">
        <v>20968</v>
      </c>
      <c r="T229" s="694">
        <v>-405</v>
      </c>
      <c r="U229" s="694">
        <v>20563</v>
      </c>
    </row>
    <row r="230" spans="1:21" x14ac:dyDescent="0.25">
      <c r="A230" s="690">
        <v>37300</v>
      </c>
      <c r="B230" s="691" t="s">
        <v>999</v>
      </c>
      <c r="C230" s="692">
        <v>1.7251E-3</v>
      </c>
      <c r="D230" s="692">
        <v>1.6995999999999999E-3</v>
      </c>
      <c r="E230" s="689">
        <v>98821</v>
      </c>
      <c r="F230" s="693">
        <v>-105545</v>
      </c>
      <c r="G230" s="693">
        <v>-105438</v>
      </c>
      <c r="H230" s="693"/>
      <c r="I230" s="689">
        <v>28909</v>
      </c>
      <c r="J230" s="689">
        <v>23111</v>
      </c>
      <c r="K230" s="689">
        <v>0</v>
      </c>
      <c r="L230" s="693">
        <v>0</v>
      </c>
      <c r="M230" s="693"/>
      <c r="N230" s="689">
        <v>0</v>
      </c>
      <c r="O230" s="689">
        <v>0</v>
      </c>
      <c r="P230" s="689">
        <v>0</v>
      </c>
      <c r="Q230" s="693">
        <v>6834</v>
      </c>
      <c r="R230" s="693"/>
      <c r="S230" s="689">
        <v>56019</v>
      </c>
      <c r="T230" s="694">
        <v>-2278</v>
      </c>
      <c r="U230" s="694">
        <v>53741</v>
      </c>
    </row>
    <row r="231" spans="1:21" x14ac:dyDescent="0.25">
      <c r="A231" s="690">
        <v>37301</v>
      </c>
      <c r="B231" s="691" t="s">
        <v>1000</v>
      </c>
      <c r="C231" s="692">
        <v>1.8780000000000001E-4</v>
      </c>
      <c r="D231" s="692">
        <v>1.7569999999999999E-4</v>
      </c>
      <c r="E231" s="689">
        <v>10804</v>
      </c>
      <c r="F231" s="693">
        <v>-10911</v>
      </c>
      <c r="G231" s="693">
        <v>-11478</v>
      </c>
      <c r="H231" s="693"/>
      <c r="I231" s="689">
        <v>3147</v>
      </c>
      <c r="J231" s="689">
        <v>2516</v>
      </c>
      <c r="K231" s="689">
        <v>0</v>
      </c>
      <c r="L231" s="693">
        <v>0</v>
      </c>
      <c r="M231" s="693"/>
      <c r="N231" s="689">
        <v>0</v>
      </c>
      <c r="O231" s="689">
        <v>0</v>
      </c>
      <c r="P231" s="689">
        <v>0</v>
      </c>
      <c r="Q231" s="693">
        <v>1144</v>
      </c>
      <c r="R231" s="693"/>
      <c r="S231" s="689">
        <v>6098</v>
      </c>
      <c r="T231" s="694">
        <v>-381</v>
      </c>
      <c r="U231" s="694">
        <v>5717</v>
      </c>
    </row>
    <row r="232" spans="1:21" x14ac:dyDescent="0.25">
      <c r="A232" s="690">
        <v>37305</v>
      </c>
      <c r="B232" s="691" t="s">
        <v>1001</v>
      </c>
      <c r="C232" s="692">
        <v>4.4040000000000003E-4</v>
      </c>
      <c r="D232" s="692">
        <v>4.8660000000000001E-4</v>
      </c>
      <c r="E232" s="689">
        <v>34140</v>
      </c>
      <c r="F232" s="693">
        <v>-30218</v>
      </c>
      <c r="G232" s="693">
        <v>-26917</v>
      </c>
      <c r="H232" s="693"/>
      <c r="I232" s="689">
        <v>7380</v>
      </c>
      <c r="J232" s="689">
        <v>5900</v>
      </c>
      <c r="K232" s="689">
        <v>0</v>
      </c>
      <c r="L232" s="693">
        <v>7395</v>
      </c>
      <c r="M232" s="693"/>
      <c r="N232" s="689">
        <v>0</v>
      </c>
      <c r="O232" s="689">
        <v>0</v>
      </c>
      <c r="P232" s="689">
        <v>0</v>
      </c>
      <c r="Q232" s="693">
        <v>0</v>
      </c>
      <c r="R232" s="693"/>
      <c r="S232" s="689">
        <v>14301</v>
      </c>
      <c r="T232" s="694">
        <v>2465</v>
      </c>
      <c r="U232" s="694">
        <v>16766</v>
      </c>
    </row>
    <row r="233" spans="1:21" x14ac:dyDescent="0.25">
      <c r="A233" s="690">
        <v>37400</v>
      </c>
      <c r="B233" s="691" t="s">
        <v>1002</v>
      </c>
      <c r="C233" s="692">
        <v>8.0526999999999994E-3</v>
      </c>
      <c r="D233" s="692">
        <v>8.2755999999999993E-3</v>
      </c>
      <c r="E233" s="689">
        <v>454142</v>
      </c>
      <c r="F233" s="693">
        <v>-513915</v>
      </c>
      <c r="G233" s="693">
        <v>-492181</v>
      </c>
      <c r="H233" s="693"/>
      <c r="I233" s="689">
        <v>134947</v>
      </c>
      <c r="J233" s="689">
        <v>107882</v>
      </c>
      <c r="K233" s="689">
        <v>0</v>
      </c>
      <c r="L233" s="693">
        <v>0</v>
      </c>
      <c r="M233" s="693"/>
      <c r="N233" s="689">
        <v>0</v>
      </c>
      <c r="O233" s="689">
        <v>0</v>
      </c>
      <c r="P233" s="689">
        <v>0</v>
      </c>
      <c r="Q233" s="693">
        <v>21336</v>
      </c>
      <c r="R233" s="693"/>
      <c r="S233" s="689">
        <v>261495</v>
      </c>
      <c r="T233" s="694">
        <v>-7112</v>
      </c>
      <c r="U233" s="694">
        <v>254383</v>
      </c>
    </row>
    <row r="234" spans="1:21" x14ac:dyDescent="0.25">
      <c r="A234" s="690">
        <v>37405</v>
      </c>
      <c r="B234" s="691" t="s">
        <v>1003</v>
      </c>
      <c r="C234" s="692">
        <v>1.864E-3</v>
      </c>
      <c r="D234" s="692">
        <v>1.8485000000000001E-3</v>
      </c>
      <c r="E234" s="689">
        <v>110550</v>
      </c>
      <c r="F234" s="693">
        <v>-114792</v>
      </c>
      <c r="G234" s="693">
        <v>-113927.67999999999</v>
      </c>
      <c r="H234" s="693"/>
      <c r="I234" s="689">
        <v>31237</v>
      </c>
      <c r="J234" s="689">
        <v>24972</v>
      </c>
      <c r="K234" s="689">
        <v>0</v>
      </c>
      <c r="L234" s="693">
        <v>0</v>
      </c>
      <c r="M234" s="693"/>
      <c r="N234" s="689">
        <v>0</v>
      </c>
      <c r="O234" s="689">
        <v>0</v>
      </c>
      <c r="P234" s="689">
        <v>0</v>
      </c>
      <c r="Q234" s="693">
        <v>3993</v>
      </c>
      <c r="R234" s="693"/>
      <c r="S234" s="689">
        <v>60530</v>
      </c>
      <c r="T234" s="694">
        <v>-1331</v>
      </c>
      <c r="U234" s="694">
        <v>59199</v>
      </c>
    </row>
    <row r="235" spans="1:21" x14ac:dyDescent="0.25">
      <c r="A235" s="690">
        <v>37500</v>
      </c>
      <c r="B235" s="691" t="s">
        <v>1004</v>
      </c>
      <c r="C235" s="692">
        <v>8.9360000000000004E-4</v>
      </c>
      <c r="D235" s="692">
        <v>8.9860000000000005E-4</v>
      </c>
      <c r="E235" s="689">
        <v>56260</v>
      </c>
      <c r="F235" s="693">
        <v>-55803</v>
      </c>
      <c r="G235" s="693">
        <v>-54617</v>
      </c>
      <c r="H235" s="693"/>
      <c r="I235" s="689">
        <v>14975</v>
      </c>
      <c r="J235" s="689">
        <v>11972</v>
      </c>
      <c r="K235" s="689">
        <v>0</v>
      </c>
      <c r="L235" s="693">
        <v>1111</v>
      </c>
      <c r="M235" s="693"/>
      <c r="N235" s="689">
        <v>0</v>
      </c>
      <c r="O235" s="689">
        <v>0</v>
      </c>
      <c r="P235" s="689">
        <v>0</v>
      </c>
      <c r="Q235" s="693">
        <v>0</v>
      </c>
      <c r="R235" s="693"/>
      <c r="S235" s="689">
        <v>29018</v>
      </c>
      <c r="T235" s="694">
        <v>370</v>
      </c>
      <c r="U235" s="694">
        <v>29388</v>
      </c>
    </row>
    <row r="236" spans="1:21" x14ac:dyDescent="0.25">
      <c r="A236" s="690">
        <v>37600</v>
      </c>
      <c r="B236" s="691" t="s">
        <v>1005</v>
      </c>
      <c r="C236" s="692">
        <v>5.6343000000000001E-3</v>
      </c>
      <c r="D236" s="692">
        <v>5.7749000000000003E-3</v>
      </c>
      <c r="E236" s="689">
        <v>327897</v>
      </c>
      <c r="F236" s="693">
        <v>-358621</v>
      </c>
      <c r="G236" s="693">
        <v>-344368</v>
      </c>
      <c r="H236" s="693"/>
      <c r="I236" s="689">
        <v>94420</v>
      </c>
      <c r="J236" s="689">
        <v>75483</v>
      </c>
      <c r="K236" s="689">
        <v>0</v>
      </c>
      <c r="L236" s="693">
        <v>0</v>
      </c>
      <c r="M236" s="693"/>
      <c r="N236" s="689">
        <v>0</v>
      </c>
      <c r="O236" s="689">
        <v>0</v>
      </c>
      <c r="P236" s="689">
        <v>0</v>
      </c>
      <c r="Q236" s="693">
        <v>8036</v>
      </c>
      <c r="R236" s="693"/>
      <c r="S236" s="689">
        <v>182963</v>
      </c>
      <c r="T236" s="694">
        <v>-2679</v>
      </c>
      <c r="U236" s="694">
        <v>180284</v>
      </c>
    </row>
    <row r="237" spans="1:21" x14ac:dyDescent="0.25">
      <c r="A237" s="690">
        <v>37601</v>
      </c>
      <c r="B237" s="691" t="s">
        <v>1006</v>
      </c>
      <c r="C237" s="692">
        <v>2.3470000000000001E-4</v>
      </c>
      <c r="D237" s="692">
        <v>1.8919999999999999E-4</v>
      </c>
      <c r="E237" s="689">
        <v>11453</v>
      </c>
      <c r="F237" s="693">
        <v>-11749</v>
      </c>
      <c r="G237" s="693">
        <v>-14345</v>
      </c>
      <c r="H237" s="693"/>
      <c r="I237" s="689">
        <v>3933</v>
      </c>
      <c r="J237" s="689">
        <v>3144</v>
      </c>
      <c r="K237" s="689">
        <v>0</v>
      </c>
      <c r="L237" s="693">
        <v>0</v>
      </c>
      <c r="M237" s="693"/>
      <c r="N237" s="689">
        <v>0</v>
      </c>
      <c r="O237" s="689">
        <v>0</v>
      </c>
      <c r="P237" s="689">
        <v>0</v>
      </c>
      <c r="Q237" s="693">
        <v>4381</v>
      </c>
      <c r="R237" s="693"/>
      <c r="S237" s="689">
        <v>7621</v>
      </c>
      <c r="T237" s="694">
        <v>-1460</v>
      </c>
      <c r="U237" s="694">
        <v>6161</v>
      </c>
    </row>
    <row r="238" spans="1:21" x14ac:dyDescent="0.25">
      <c r="A238" s="690">
        <v>37605</v>
      </c>
      <c r="B238" s="691" t="s">
        <v>1007</v>
      </c>
      <c r="C238" s="692">
        <v>6.9490000000000003E-4</v>
      </c>
      <c r="D238" s="692">
        <v>6.8349999999999997E-4</v>
      </c>
      <c r="E238" s="689">
        <v>41157</v>
      </c>
      <c r="F238" s="693">
        <v>-42445</v>
      </c>
      <c r="G238" s="693">
        <v>-42472</v>
      </c>
      <c r="H238" s="693"/>
      <c r="I238" s="689">
        <v>11645</v>
      </c>
      <c r="J238" s="689">
        <v>9310</v>
      </c>
      <c r="K238" s="689">
        <v>0</v>
      </c>
      <c r="L238" s="693">
        <v>0</v>
      </c>
      <c r="M238" s="693"/>
      <c r="N238" s="689">
        <v>0</v>
      </c>
      <c r="O238" s="689">
        <v>0</v>
      </c>
      <c r="P238" s="689">
        <v>0</v>
      </c>
      <c r="Q238" s="693">
        <v>1793</v>
      </c>
      <c r="R238" s="693"/>
      <c r="S238" s="689">
        <v>22565</v>
      </c>
      <c r="T238" s="694">
        <v>-598</v>
      </c>
      <c r="U238" s="694">
        <v>21968</v>
      </c>
    </row>
    <row r="239" spans="1:21" x14ac:dyDescent="0.25">
      <c r="A239" s="690">
        <v>37610</v>
      </c>
      <c r="B239" s="691" t="s">
        <v>1008</v>
      </c>
      <c r="C239" s="692">
        <v>1.7455999999999999E-3</v>
      </c>
      <c r="D239" s="692">
        <v>1.7512000000000001E-3</v>
      </c>
      <c r="E239" s="689">
        <v>96267</v>
      </c>
      <c r="F239" s="693">
        <v>-108750</v>
      </c>
      <c r="G239" s="693">
        <v>-106691</v>
      </c>
      <c r="H239" s="693"/>
      <c r="I239" s="689">
        <v>29253</v>
      </c>
      <c r="J239" s="689">
        <v>23386</v>
      </c>
      <c r="K239" s="689">
        <v>0</v>
      </c>
      <c r="L239" s="693">
        <v>0</v>
      </c>
      <c r="M239" s="693"/>
      <c r="N239" s="689">
        <v>0</v>
      </c>
      <c r="O239" s="689">
        <v>0</v>
      </c>
      <c r="P239" s="689">
        <v>0</v>
      </c>
      <c r="Q239" s="693">
        <v>8248</v>
      </c>
      <c r="R239" s="693"/>
      <c r="S239" s="689">
        <v>56685</v>
      </c>
      <c r="T239" s="694">
        <v>-2749</v>
      </c>
      <c r="U239" s="694">
        <v>53935</v>
      </c>
    </row>
    <row r="240" spans="1:21" x14ac:dyDescent="0.25">
      <c r="A240" s="690">
        <v>37700</v>
      </c>
      <c r="B240" s="691" t="s">
        <v>1009</v>
      </c>
      <c r="C240" s="692">
        <v>2.3754000000000002E-3</v>
      </c>
      <c r="D240" s="692">
        <v>2.4591999999999999E-3</v>
      </c>
      <c r="E240" s="689">
        <v>144058</v>
      </c>
      <c r="F240" s="693">
        <v>-152716</v>
      </c>
      <c r="G240" s="693">
        <v>-145184</v>
      </c>
      <c r="H240" s="693"/>
      <c r="I240" s="689">
        <v>39807</v>
      </c>
      <c r="J240" s="689">
        <v>31823</v>
      </c>
      <c r="K240" s="689">
        <v>0</v>
      </c>
      <c r="L240" s="693">
        <v>2118</v>
      </c>
      <c r="M240" s="693"/>
      <c r="N240" s="689">
        <v>0</v>
      </c>
      <c r="O240" s="689">
        <v>0</v>
      </c>
      <c r="P240" s="689">
        <v>0</v>
      </c>
      <c r="Q240" s="693">
        <v>0</v>
      </c>
      <c r="R240" s="693"/>
      <c r="S240" s="689">
        <v>77136</v>
      </c>
      <c r="T240" s="694">
        <v>706</v>
      </c>
      <c r="U240" s="694">
        <v>77842</v>
      </c>
    </row>
    <row r="241" spans="1:21" x14ac:dyDescent="0.25">
      <c r="A241" s="690">
        <v>37705</v>
      </c>
      <c r="B241" s="691" t="s">
        <v>1010</v>
      </c>
      <c r="C241" s="692">
        <v>7.0790000000000002E-4</v>
      </c>
      <c r="D241" s="692">
        <v>7.1440000000000002E-4</v>
      </c>
      <c r="E241" s="689">
        <v>44473</v>
      </c>
      <c r="F241" s="693">
        <v>-44364</v>
      </c>
      <c r="G241" s="693">
        <v>-43267</v>
      </c>
      <c r="H241" s="693"/>
      <c r="I241" s="689">
        <v>11863</v>
      </c>
      <c r="J241" s="689">
        <v>9484</v>
      </c>
      <c r="K241" s="689">
        <v>0</v>
      </c>
      <c r="L241" s="693">
        <v>927</v>
      </c>
      <c r="M241" s="693"/>
      <c r="N241" s="689">
        <v>0</v>
      </c>
      <c r="O241" s="689">
        <v>0</v>
      </c>
      <c r="P241" s="689">
        <v>0</v>
      </c>
      <c r="Q241" s="693">
        <v>0</v>
      </c>
      <c r="R241" s="693"/>
      <c r="S241" s="689">
        <v>22988</v>
      </c>
      <c r="T241" s="694">
        <v>309</v>
      </c>
      <c r="U241" s="694">
        <v>23297</v>
      </c>
    </row>
    <row r="242" spans="1:21" x14ac:dyDescent="0.25">
      <c r="A242" s="690">
        <v>37800</v>
      </c>
      <c r="B242" s="691" t="s">
        <v>1011</v>
      </c>
      <c r="C242" s="692">
        <v>7.3393E-3</v>
      </c>
      <c r="D242" s="692">
        <v>7.3857999999999997E-3</v>
      </c>
      <c r="E242" s="689">
        <v>449392</v>
      </c>
      <c r="F242" s="693">
        <v>-458658</v>
      </c>
      <c r="G242" s="693">
        <v>-448578</v>
      </c>
      <c r="H242" s="693"/>
      <c r="I242" s="689">
        <v>122992</v>
      </c>
      <c r="J242" s="689">
        <v>98325</v>
      </c>
      <c r="K242" s="689">
        <v>0</v>
      </c>
      <c r="L242" s="693">
        <v>0</v>
      </c>
      <c r="M242" s="693"/>
      <c r="N242" s="689">
        <v>0</v>
      </c>
      <c r="O242" s="689">
        <v>0</v>
      </c>
      <c r="P242" s="689">
        <v>0</v>
      </c>
      <c r="Q242" s="693">
        <v>130</v>
      </c>
      <c r="R242" s="693"/>
      <c r="S242" s="689">
        <v>238329</v>
      </c>
      <c r="T242" s="694">
        <v>-43</v>
      </c>
      <c r="U242" s="694">
        <v>238286</v>
      </c>
    </row>
    <row r="243" spans="1:21" x14ac:dyDescent="0.25">
      <c r="A243" s="690">
        <v>37801</v>
      </c>
      <c r="B243" s="691" t="s">
        <v>1012</v>
      </c>
      <c r="C243" s="692">
        <v>5.6400000000000002E-5</v>
      </c>
      <c r="D243" s="692">
        <v>4.85E-5</v>
      </c>
      <c r="E243" s="689">
        <v>2733</v>
      </c>
      <c r="F243" s="693">
        <v>-3012</v>
      </c>
      <c r="G243" s="693">
        <v>-3447</v>
      </c>
      <c r="H243" s="693"/>
      <c r="I243" s="689">
        <v>945</v>
      </c>
      <c r="J243" s="689">
        <v>756</v>
      </c>
      <c r="K243" s="689">
        <v>0</v>
      </c>
      <c r="L243" s="693">
        <v>0</v>
      </c>
      <c r="M243" s="693"/>
      <c r="N243" s="689">
        <v>0</v>
      </c>
      <c r="O243" s="689">
        <v>0</v>
      </c>
      <c r="P243" s="689">
        <v>0</v>
      </c>
      <c r="Q243" s="693">
        <v>926</v>
      </c>
      <c r="R243" s="693"/>
      <c r="S243" s="689">
        <v>1831</v>
      </c>
      <c r="T243" s="694">
        <v>-309</v>
      </c>
      <c r="U243" s="694">
        <v>1523</v>
      </c>
    </row>
    <row r="244" spans="1:21" x14ac:dyDescent="0.25">
      <c r="A244" s="690">
        <v>37805</v>
      </c>
      <c r="B244" s="691" t="s">
        <v>1013</v>
      </c>
      <c r="C244" s="692">
        <v>5.4929999999999996E-4</v>
      </c>
      <c r="D244" s="692">
        <v>5.8770000000000003E-4</v>
      </c>
      <c r="E244" s="689">
        <v>36759</v>
      </c>
      <c r="F244" s="693">
        <v>-36496</v>
      </c>
      <c r="G244" s="693">
        <v>-33573</v>
      </c>
      <c r="H244" s="693"/>
      <c r="I244" s="689">
        <v>9205</v>
      </c>
      <c r="J244" s="689">
        <v>7359</v>
      </c>
      <c r="K244" s="689">
        <v>0</v>
      </c>
      <c r="L244" s="693">
        <v>3960</v>
      </c>
      <c r="M244" s="693"/>
      <c r="N244" s="689">
        <v>0</v>
      </c>
      <c r="O244" s="689">
        <v>0</v>
      </c>
      <c r="P244" s="689">
        <v>0</v>
      </c>
      <c r="Q244" s="693">
        <v>0</v>
      </c>
      <c r="R244" s="693"/>
      <c r="S244" s="689">
        <v>17837</v>
      </c>
      <c r="T244" s="694">
        <v>1320</v>
      </c>
      <c r="U244" s="694">
        <v>19158</v>
      </c>
    </row>
    <row r="245" spans="1:21" x14ac:dyDescent="0.25">
      <c r="A245" s="690">
        <v>37900</v>
      </c>
      <c r="B245" s="691" t="s">
        <v>1014</v>
      </c>
      <c r="C245" s="692">
        <v>3.8422999999999999E-3</v>
      </c>
      <c r="D245" s="692">
        <v>4.0228E-3</v>
      </c>
      <c r="E245" s="689">
        <v>238928</v>
      </c>
      <c r="F245" s="693">
        <v>-249816</v>
      </c>
      <c r="G245" s="693">
        <v>-234841</v>
      </c>
      <c r="H245" s="693"/>
      <c r="I245" s="689">
        <v>64389</v>
      </c>
      <c r="J245" s="689">
        <v>51475</v>
      </c>
      <c r="K245" s="689">
        <v>0</v>
      </c>
      <c r="L245" s="693">
        <v>9950</v>
      </c>
      <c r="M245" s="693"/>
      <c r="N245" s="689">
        <v>0</v>
      </c>
      <c r="O245" s="689">
        <v>0</v>
      </c>
      <c r="P245" s="689">
        <v>0</v>
      </c>
      <c r="Q245" s="693">
        <v>0</v>
      </c>
      <c r="R245" s="693"/>
      <c r="S245" s="689">
        <v>124771</v>
      </c>
      <c r="T245" s="694">
        <v>3317</v>
      </c>
      <c r="U245" s="694">
        <v>128088</v>
      </c>
    </row>
    <row r="246" spans="1:21" x14ac:dyDescent="0.25">
      <c r="A246" s="690">
        <v>37901</v>
      </c>
      <c r="B246" s="691" t="s">
        <v>1015</v>
      </c>
      <c r="C246" s="692">
        <v>5.2200000000000002E-5</v>
      </c>
      <c r="D246" s="692">
        <v>5.5699999999999999E-5</v>
      </c>
      <c r="E246" s="689">
        <v>3306</v>
      </c>
      <c r="F246" s="693">
        <v>-3459</v>
      </c>
      <c r="G246" s="693">
        <v>-3190</v>
      </c>
      <c r="H246" s="693"/>
      <c r="I246" s="689">
        <v>875</v>
      </c>
      <c r="J246" s="689">
        <v>699</v>
      </c>
      <c r="K246" s="689">
        <v>0</v>
      </c>
      <c r="L246" s="693">
        <v>229</v>
      </c>
      <c r="M246" s="693"/>
      <c r="N246" s="689">
        <v>0</v>
      </c>
      <c r="O246" s="689">
        <v>0</v>
      </c>
      <c r="P246" s="689">
        <v>0</v>
      </c>
      <c r="Q246" s="693">
        <v>0</v>
      </c>
      <c r="R246" s="693"/>
      <c r="S246" s="689">
        <v>1695</v>
      </c>
      <c r="T246" s="694">
        <v>76</v>
      </c>
      <c r="U246" s="694">
        <v>1772</v>
      </c>
    </row>
    <row r="247" spans="1:21" x14ac:dyDescent="0.25">
      <c r="A247" s="690">
        <v>37905</v>
      </c>
      <c r="B247" s="691" t="s">
        <v>1016</v>
      </c>
      <c r="C247" s="692">
        <v>4.6309999999999998E-4</v>
      </c>
      <c r="D247" s="692">
        <v>4.4200000000000001E-4</v>
      </c>
      <c r="E247" s="689">
        <v>31794</v>
      </c>
      <c r="F247" s="693">
        <v>-27448</v>
      </c>
      <c r="G247" s="693">
        <v>-28305</v>
      </c>
      <c r="H247" s="693"/>
      <c r="I247" s="689">
        <v>7761</v>
      </c>
      <c r="J247" s="689">
        <v>6204</v>
      </c>
      <c r="K247" s="689">
        <v>0</v>
      </c>
      <c r="L247" s="693">
        <v>1451</v>
      </c>
      <c r="M247" s="693"/>
      <c r="N247" s="689">
        <v>0</v>
      </c>
      <c r="O247" s="689">
        <v>0</v>
      </c>
      <c r="P247" s="689">
        <v>0</v>
      </c>
      <c r="Q247" s="693">
        <v>0</v>
      </c>
      <c r="R247" s="693"/>
      <c r="S247" s="689">
        <v>15038</v>
      </c>
      <c r="T247" s="694">
        <v>484</v>
      </c>
      <c r="U247" s="694">
        <v>15522</v>
      </c>
    </row>
    <row r="248" spans="1:21" x14ac:dyDescent="0.25">
      <c r="A248" s="690">
        <v>38000</v>
      </c>
      <c r="B248" s="691" t="s">
        <v>1017</v>
      </c>
      <c r="C248" s="692">
        <v>6.3971999999999996E-3</v>
      </c>
      <c r="D248" s="692">
        <v>6.3898000000000002E-3</v>
      </c>
      <c r="E248" s="689">
        <v>381706</v>
      </c>
      <c r="F248" s="693">
        <v>-396807</v>
      </c>
      <c r="G248" s="693">
        <v>-390997</v>
      </c>
      <c r="H248" s="693"/>
      <c r="I248" s="689">
        <v>107204</v>
      </c>
      <c r="J248" s="689">
        <v>85703</v>
      </c>
      <c r="K248" s="689">
        <v>0</v>
      </c>
      <c r="L248" s="693">
        <v>0</v>
      </c>
      <c r="M248" s="693"/>
      <c r="N248" s="689">
        <v>0</v>
      </c>
      <c r="O248" s="689">
        <v>0</v>
      </c>
      <c r="P248" s="689">
        <v>0</v>
      </c>
      <c r="Q248" s="693">
        <v>9846</v>
      </c>
      <c r="R248" s="693"/>
      <c r="S248" s="689">
        <v>207736</v>
      </c>
      <c r="T248" s="694">
        <v>-3282</v>
      </c>
      <c r="U248" s="694">
        <v>204454</v>
      </c>
    </row>
    <row r="249" spans="1:21" x14ac:dyDescent="0.25">
      <c r="A249" s="690">
        <v>38005</v>
      </c>
      <c r="B249" s="691" t="s">
        <v>1018</v>
      </c>
      <c r="C249" s="692">
        <v>1.2283999999999999E-3</v>
      </c>
      <c r="D249" s="692">
        <v>1.3235E-3</v>
      </c>
      <c r="E249" s="689">
        <v>76597</v>
      </c>
      <c r="F249" s="693">
        <v>-82189</v>
      </c>
      <c r="G249" s="693">
        <v>-75080</v>
      </c>
      <c r="H249" s="693"/>
      <c r="I249" s="689">
        <v>20586</v>
      </c>
      <c r="J249" s="689">
        <v>16457</v>
      </c>
      <c r="K249" s="689">
        <v>0</v>
      </c>
      <c r="L249" s="693">
        <v>5081</v>
      </c>
      <c r="M249" s="693"/>
      <c r="N249" s="689">
        <v>0</v>
      </c>
      <c r="O249" s="689">
        <v>0</v>
      </c>
      <c r="P249" s="689">
        <v>0</v>
      </c>
      <c r="Q249" s="693">
        <v>0</v>
      </c>
      <c r="R249" s="693"/>
      <c r="S249" s="689">
        <v>39890</v>
      </c>
      <c r="T249" s="694">
        <v>1694</v>
      </c>
      <c r="U249" s="694">
        <v>41583</v>
      </c>
    </row>
    <row r="250" spans="1:21" x14ac:dyDescent="0.25">
      <c r="A250" s="690">
        <v>38100</v>
      </c>
      <c r="B250" s="691" t="s">
        <v>1019</v>
      </c>
      <c r="C250" s="692">
        <v>2.8528E-3</v>
      </c>
      <c r="D250" s="692">
        <v>2.9339000000000001E-3</v>
      </c>
      <c r="E250" s="689">
        <v>177404</v>
      </c>
      <c r="F250" s="693">
        <v>-182195</v>
      </c>
      <c r="G250" s="693">
        <v>-174363</v>
      </c>
      <c r="H250" s="693"/>
      <c r="I250" s="689">
        <v>47807</v>
      </c>
      <c r="J250" s="689">
        <v>38219</v>
      </c>
      <c r="K250" s="689">
        <v>0</v>
      </c>
      <c r="L250" s="693">
        <v>4928</v>
      </c>
      <c r="M250" s="693"/>
      <c r="N250" s="689">
        <v>0</v>
      </c>
      <c r="O250" s="689">
        <v>0</v>
      </c>
      <c r="P250" s="689">
        <v>0</v>
      </c>
      <c r="Q250" s="693">
        <v>0</v>
      </c>
      <c r="R250" s="693"/>
      <c r="S250" s="689">
        <v>92639</v>
      </c>
      <c r="T250" s="694">
        <v>1643</v>
      </c>
      <c r="U250" s="694">
        <v>94282</v>
      </c>
    </row>
    <row r="251" spans="1:21" x14ac:dyDescent="0.25">
      <c r="A251" s="690">
        <v>38105</v>
      </c>
      <c r="B251" s="691" t="s">
        <v>1020</v>
      </c>
      <c r="C251" s="692">
        <v>5.7609999999999996E-4</v>
      </c>
      <c r="D251" s="692">
        <v>5.9949999999999999E-4</v>
      </c>
      <c r="E251" s="689">
        <v>35939</v>
      </c>
      <c r="F251" s="693">
        <v>-37229</v>
      </c>
      <c r="G251" s="693">
        <v>-35211</v>
      </c>
      <c r="H251" s="693"/>
      <c r="I251" s="689">
        <v>9654</v>
      </c>
      <c r="J251" s="689">
        <v>7718</v>
      </c>
      <c r="K251" s="689">
        <v>0</v>
      </c>
      <c r="L251" s="693">
        <v>1408</v>
      </c>
      <c r="M251" s="693"/>
      <c r="N251" s="689">
        <v>0</v>
      </c>
      <c r="O251" s="689">
        <v>0</v>
      </c>
      <c r="P251" s="689">
        <v>0</v>
      </c>
      <c r="Q251" s="693">
        <v>0</v>
      </c>
      <c r="R251" s="693"/>
      <c r="S251" s="689">
        <v>18708</v>
      </c>
      <c r="T251" s="694">
        <v>469</v>
      </c>
      <c r="U251" s="694">
        <v>19177</v>
      </c>
    </row>
    <row r="252" spans="1:21" x14ac:dyDescent="0.25">
      <c r="A252" s="690">
        <v>38200</v>
      </c>
      <c r="B252" s="691" t="s">
        <v>1021</v>
      </c>
      <c r="C252" s="692">
        <v>2.7244000000000001E-3</v>
      </c>
      <c r="D252" s="692">
        <v>2.8557999999999999E-3</v>
      </c>
      <c r="E252" s="689">
        <v>162965</v>
      </c>
      <c r="F252" s="693">
        <v>-177345</v>
      </c>
      <c r="G252" s="693">
        <v>-166515</v>
      </c>
      <c r="H252" s="693"/>
      <c r="I252" s="689">
        <v>45655</v>
      </c>
      <c r="J252" s="689">
        <v>36499</v>
      </c>
      <c r="K252" s="689">
        <v>0</v>
      </c>
      <c r="L252" s="693">
        <v>2378</v>
      </c>
      <c r="M252" s="693"/>
      <c r="N252" s="689">
        <v>0</v>
      </c>
      <c r="O252" s="689">
        <v>0</v>
      </c>
      <c r="P252" s="689">
        <v>0</v>
      </c>
      <c r="Q252" s="693">
        <v>0</v>
      </c>
      <c r="R252" s="693"/>
      <c r="S252" s="689">
        <v>88469</v>
      </c>
      <c r="T252" s="694">
        <v>793</v>
      </c>
      <c r="U252" s="694">
        <v>89262</v>
      </c>
    </row>
    <row r="253" spans="1:21" x14ac:dyDescent="0.25">
      <c r="A253" s="690">
        <v>38205</v>
      </c>
      <c r="B253" s="691" t="s">
        <v>1022</v>
      </c>
      <c r="C253" s="692">
        <v>3.992E-4</v>
      </c>
      <c r="D253" s="692">
        <v>3.9550000000000002E-4</v>
      </c>
      <c r="E253" s="689">
        <v>27024</v>
      </c>
      <c r="F253" s="693">
        <v>-24561</v>
      </c>
      <c r="G253" s="693">
        <v>-24399</v>
      </c>
      <c r="H253" s="693"/>
      <c r="I253" s="689">
        <v>6690</v>
      </c>
      <c r="J253" s="689">
        <v>5348</v>
      </c>
      <c r="K253" s="689">
        <v>0</v>
      </c>
      <c r="L253" s="693">
        <v>1638</v>
      </c>
      <c r="M253" s="693"/>
      <c r="N253" s="689">
        <v>0</v>
      </c>
      <c r="O253" s="689">
        <v>0</v>
      </c>
      <c r="P253" s="689">
        <v>0</v>
      </c>
      <c r="Q253" s="693">
        <v>0</v>
      </c>
      <c r="R253" s="693"/>
      <c r="S253" s="689">
        <v>12963</v>
      </c>
      <c r="T253" s="694">
        <v>546</v>
      </c>
      <c r="U253" s="694">
        <v>13509</v>
      </c>
    </row>
    <row r="254" spans="1:21" x14ac:dyDescent="0.25">
      <c r="A254" s="690">
        <v>38210</v>
      </c>
      <c r="B254" s="691" t="s">
        <v>1023</v>
      </c>
      <c r="C254" s="692">
        <v>1.0332E-3</v>
      </c>
      <c r="D254" s="692">
        <v>1.0463E-3</v>
      </c>
      <c r="E254" s="689">
        <v>61310</v>
      </c>
      <c r="F254" s="693">
        <v>-64975</v>
      </c>
      <c r="G254" s="693">
        <v>-63149</v>
      </c>
      <c r="H254" s="693"/>
      <c r="I254" s="689">
        <v>17314</v>
      </c>
      <c r="J254" s="689">
        <v>13842</v>
      </c>
      <c r="K254" s="689">
        <v>0</v>
      </c>
      <c r="L254" s="693">
        <v>0</v>
      </c>
      <c r="M254" s="693"/>
      <c r="N254" s="689">
        <v>0</v>
      </c>
      <c r="O254" s="689">
        <v>0</v>
      </c>
      <c r="P254" s="689">
        <v>0</v>
      </c>
      <c r="Q254" s="693">
        <v>1178</v>
      </c>
      <c r="R254" s="693"/>
      <c r="S254" s="689">
        <v>33551</v>
      </c>
      <c r="T254" s="694">
        <v>-393</v>
      </c>
      <c r="U254" s="694">
        <v>33158</v>
      </c>
    </row>
    <row r="255" spans="1:21" x14ac:dyDescent="0.25">
      <c r="A255" s="690">
        <v>38300</v>
      </c>
      <c r="B255" s="691" t="s">
        <v>1024</v>
      </c>
      <c r="C255" s="692">
        <v>2.1595E-3</v>
      </c>
      <c r="D255" s="692">
        <v>2.2450999999999999E-3</v>
      </c>
      <c r="E255" s="689">
        <v>130519</v>
      </c>
      <c r="F255" s="693">
        <v>-139421</v>
      </c>
      <c r="G255" s="693">
        <v>-131989</v>
      </c>
      <c r="H255" s="693"/>
      <c r="I255" s="689">
        <v>36189</v>
      </c>
      <c r="J255" s="689">
        <v>28931</v>
      </c>
      <c r="K255" s="689">
        <v>0</v>
      </c>
      <c r="L255" s="693">
        <v>2029</v>
      </c>
      <c r="M255" s="693"/>
      <c r="N255" s="689">
        <v>0</v>
      </c>
      <c r="O255" s="689">
        <v>0</v>
      </c>
      <c r="P255" s="689">
        <v>0</v>
      </c>
      <c r="Q255" s="693">
        <v>0</v>
      </c>
      <c r="R255" s="693"/>
      <c r="S255" s="689">
        <v>70125</v>
      </c>
      <c r="T255" s="694">
        <v>676</v>
      </c>
      <c r="U255" s="694">
        <v>70802</v>
      </c>
    </row>
    <row r="256" spans="1:21" x14ac:dyDescent="0.25">
      <c r="A256" s="690">
        <v>38400</v>
      </c>
      <c r="B256" s="691" t="s">
        <v>1025</v>
      </c>
      <c r="C256" s="692">
        <v>2.6337999999999999E-3</v>
      </c>
      <c r="D256" s="692">
        <v>2.7464999999999998E-3</v>
      </c>
      <c r="E256" s="689">
        <v>162424</v>
      </c>
      <c r="F256" s="693">
        <v>-170558</v>
      </c>
      <c r="G256" s="693">
        <v>-160978</v>
      </c>
      <c r="H256" s="693"/>
      <c r="I256" s="689">
        <v>44137</v>
      </c>
      <c r="J256" s="689">
        <v>35285</v>
      </c>
      <c r="K256" s="689">
        <v>0</v>
      </c>
      <c r="L256" s="693">
        <v>5291</v>
      </c>
      <c r="M256" s="693"/>
      <c r="N256" s="689">
        <v>0</v>
      </c>
      <c r="O256" s="689">
        <v>0</v>
      </c>
      <c r="P256" s="689">
        <v>0</v>
      </c>
      <c r="Q256" s="693">
        <v>0</v>
      </c>
      <c r="R256" s="693"/>
      <c r="S256" s="689">
        <v>85527</v>
      </c>
      <c r="T256" s="694">
        <v>1764</v>
      </c>
      <c r="U256" s="694">
        <v>87291</v>
      </c>
    </row>
    <row r="257" spans="1:21" x14ac:dyDescent="0.25">
      <c r="A257" s="690">
        <v>38402</v>
      </c>
      <c r="B257" s="691" t="s">
        <v>1026</v>
      </c>
      <c r="C257" s="692">
        <v>1.12E-4</v>
      </c>
      <c r="D257" s="692">
        <v>9.6899999999999997E-5</v>
      </c>
      <c r="E257" s="689">
        <v>5917</v>
      </c>
      <c r="F257" s="693">
        <v>-6017</v>
      </c>
      <c r="G257" s="693">
        <v>-6845.44</v>
      </c>
      <c r="H257" s="693"/>
      <c r="I257" s="689">
        <v>1877</v>
      </c>
      <c r="J257" s="689">
        <v>1500</v>
      </c>
      <c r="K257" s="689">
        <v>0</v>
      </c>
      <c r="L257" s="693">
        <v>0</v>
      </c>
      <c r="M257" s="693"/>
      <c r="N257" s="689">
        <v>0</v>
      </c>
      <c r="O257" s="689">
        <v>0</v>
      </c>
      <c r="P257" s="689">
        <v>0</v>
      </c>
      <c r="Q257" s="693">
        <v>1444</v>
      </c>
      <c r="R257" s="693"/>
      <c r="S257" s="689">
        <v>3637</v>
      </c>
      <c r="T257" s="694">
        <v>-481</v>
      </c>
      <c r="U257" s="694">
        <v>3156</v>
      </c>
    </row>
    <row r="258" spans="1:21" x14ac:dyDescent="0.25">
      <c r="A258" s="690">
        <v>38405</v>
      </c>
      <c r="B258" s="691" t="s">
        <v>1027</v>
      </c>
      <c r="C258" s="692">
        <v>7.0279999999999995E-4</v>
      </c>
      <c r="D258" s="692">
        <v>6.8249999999999995E-4</v>
      </c>
      <c r="E258" s="689">
        <v>40918</v>
      </c>
      <c r="F258" s="693">
        <v>-42383</v>
      </c>
      <c r="G258" s="693">
        <v>-42955</v>
      </c>
      <c r="H258" s="693"/>
      <c r="I258" s="689">
        <v>11778</v>
      </c>
      <c r="J258" s="689">
        <v>9415</v>
      </c>
      <c r="K258" s="689">
        <v>0</v>
      </c>
      <c r="L258" s="693">
        <v>0</v>
      </c>
      <c r="M258" s="693"/>
      <c r="N258" s="689">
        <v>0</v>
      </c>
      <c r="O258" s="689">
        <v>0</v>
      </c>
      <c r="P258" s="689">
        <v>0</v>
      </c>
      <c r="Q258" s="693">
        <v>2752</v>
      </c>
      <c r="R258" s="693"/>
      <c r="S258" s="689">
        <v>22822</v>
      </c>
      <c r="T258" s="694">
        <v>-917</v>
      </c>
      <c r="U258" s="694">
        <v>21905</v>
      </c>
    </row>
    <row r="259" spans="1:21" x14ac:dyDescent="0.25">
      <c r="A259" s="690">
        <v>38500</v>
      </c>
      <c r="B259" s="691" t="s">
        <v>1028</v>
      </c>
      <c r="C259" s="692">
        <v>2.0376999999999999E-3</v>
      </c>
      <c r="D259" s="692">
        <v>2.2046000000000001E-3</v>
      </c>
      <c r="E259" s="689">
        <v>127166</v>
      </c>
      <c r="F259" s="693">
        <v>-136906</v>
      </c>
      <c r="G259" s="693">
        <v>-124544</v>
      </c>
      <c r="H259" s="693"/>
      <c r="I259" s="689">
        <v>34148</v>
      </c>
      <c r="J259" s="689">
        <v>27299</v>
      </c>
      <c r="K259" s="689">
        <v>0</v>
      </c>
      <c r="L259" s="693">
        <v>8933</v>
      </c>
      <c r="M259" s="693"/>
      <c r="N259" s="689">
        <v>0</v>
      </c>
      <c r="O259" s="689">
        <v>0</v>
      </c>
      <c r="P259" s="689">
        <v>0</v>
      </c>
      <c r="Q259" s="693">
        <v>0</v>
      </c>
      <c r="R259" s="693"/>
      <c r="S259" s="689">
        <v>66170</v>
      </c>
      <c r="T259" s="694">
        <v>2978</v>
      </c>
      <c r="U259" s="694">
        <v>69148</v>
      </c>
    </row>
    <row r="260" spans="1:21" x14ac:dyDescent="0.25">
      <c r="A260" s="690">
        <v>38600</v>
      </c>
      <c r="B260" s="691" t="s">
        <v>1029</v>
      </c>
      <c r="C260" s="692">
        <v>2.6662000000000001E-3</v>
      </c>
      <c r="D260" s="692">
        <v>2.7312E-3</v>
      </c>
      <c r="E260" s="689">
        <v>161419</v>
      </c>
      <c r="F260" s="693">
        <v>-169608</v>
      </c>
      <c r="G260" s="693">
        <v>-162958</v>
      </c>
      <c r="H260" s="693"/>
      <c r="I260" s="689">
        <v>44680</v>
      </c>
      <c r="J260" s="689">
        <v>35719</v>
      </c>
      <c r="K260" s="689">
        <v>0</v>
      </c>
      <c r="L260" s="693">
        <v>817</v>
      </c>
      <c r="M260" s="693"/>
      <c r="N260" s="689">
        <v>0</v>
      </c>
      <c r="O260" s="689">
        <v>0</v>
      </c>
      <c r="P260" s="689">
        <v>0</v>
      </c>
      <c r="Q260" s="693">
        <v>0</v>
      </c>
      <c r="R260" s="693"/>
      <c r="S260" s="689">
        <v>86580</v>
      </c>
      <c r="T260" s="694">
        <v>272</v>
      </c>
      <c r="U260" s="694">
        <v>86852</v>
      </c>
    </row>
    <row r="261" spans="1:21" x14ac:dyDescent="0.25">
      <c r="A261" s="690">
        <v>38601</v>
      </c>
      <c r="B261" s="691" t="s">
        <v>1030</v>
      </c>
      <c r="C261" s="692">
        <v>3.18E-5</v>
      </c>
      <c r="D261" s="692">
        <v>3.7499999999999997E-5</v>
      </c>
      <c r="E261" s="689">
        <v>1758</v>
      </c>
      <c r="F261" s="693">
        <v>-2329</v>
      </c>
      <c r="G261" s="693">
        <v>-1944</v>
      </c>
      <c r="H261" s="693"/>
      <c r="I261" s="689">
        <v>533</v>
      </c>
      <c r="J261" s="689">
        <v>426</v>
      </c>
      <c r="K261" s="689">
        <v>0</v>
      </c>
      <c r="L261" s="693">
        <v>114</v>
      </c>
      <c r="M261" s="693"/>
      <c r="N261" s="689">
        <v>0</v>
      </c>
      <c r="O261" s="689">
        <v>0</v>
      </c>
      <c r="P261" s="689">
        <v>0</v>
      </c>
      <c r="Q261" s="693">
        <v>0</v>
      </c>
      <c r="R261" s="693"/>
      <c r="S261" s="689">
        <v>1033</v>
      </c>
      <c r="T261" s="694">
        <v>38</v>
      </c>
      <c r="U261" s="694">
        <v>1070</v>
      </c>
    </row>
    <row r="262" spans="1:21" x14ac:dyDescent="0.25">
      <c r="A262" s="690">
        <v>38602</v>
      </c>
      <c r="B262" s="691" t="s">
        <v>1031</v>
      </c>
      <c r="C262" s="692">
        <v>1.9929999999999999E-4</v>
      </c>
      <c r="D262" s="692">
        <v>1.6359999999999999E-4</v>
      </c>
      <c r="E262" s="689">
        <v>11491</v>
      </c>
      <c r="F262" s="693">
        <v>-10160</v>
      </c>
      <c r="G262" s="693">
        <v>-12181</v>
      </c>
      <c r="H262" s="693"/>
      <c r="I262" s="689">
        <v>3340</v>
      </c>
      <c r="J262" s="689">
        <v>2670</v>
      </c>
      <c r="K262" s="689">
        <v>0</v>
      </c>
      <c r="L262" s="693">
        <v>0</v>
      </c>
      <c r="M262" s="693"/>
      <c r="N262" s="689">
        <v>0</v>
      </c>
      <c r="O262" s="689">
        <v>0</v>
      </c>
      <c r="P262" s="689">
        <v>0</v>
      </c>
      <c r="Q262" s="693">
        <v>2259</v>
      </c>
      <c r="R262" s="693"/>
      <c r="S262" s="689">
        <v>6472</v>
      </c>
      <c r="T262" s="694">
        <v>-753</v>
      </c>
      <c r="U262" s="694">
        <v>5719</v>
      </c>
    </row>
    <row r="263" spans="1:21" x14ac:dyDescent="0.25">
      <c r="A263" s="690">
        <v>38605</v>
      </c>
      <c r="B263" s="691" t="s">
        <v>1032</v>
      </c>
      <c r="C263" s="692">
        <v>7.4120000000000002E-4</v>
      </c>
      <c r="D263" s="692">
        <v>7.5679999999999996E-4</v>
      </c>
      <c r="E263" s="689">
        <v>45446</v>
      </c>
      <c r="F263" s="693">
        <v>-46997</v>
      </c>
      <c r="G263" s="693">
        <v>-45302</v>
      </c>
      <c r="H263" s="693"/>
      <c r="I263" s="689">
        <v>12421</v>
      </c>
      <c r="J263" s="689">
        <v>9930</v>
      </c>
      <c r="K263" s="689">
        <v>0</v>
      </c>
      <c r="L263" s="693">
        <v>541</v>
      </c>
      <c r="M263" s="693"/>
      <c r="N263" s="689">
        <v>0</v>
      </c>
      <c r="O263" s="689">
        <v>0</v>
      </c>
      <c r="P263" s="689">
        <v>0</v>
      </c>
      <c r="Q263" s="693">
        <v>0</v>
      </c>
      <c r="R263" s="693"/>
      <c r="S263" s="689">
        <v>24069</v>
      </c>
      <c r="T263" s="694">
        <v>180</v>
      </c>
      <c r="U263" s="694">
        <v>24249</v>
      </c>
    </row>
    <row r="264" spans="1:21" x14ac:dyDescent="0.25">
      <c r="A264" s="690">
        <v>38610</v>
      </c>
      <c r="B264" s="691" t="s">
        <v>1033</v>
      </c>
      <c r="C264" s="692">
        <v>5.1929999999999999E-4</v>
      </c>
      <c r="D264" s="692">
        <v>5.5329999999999995E-4</v>
      </c>
      <c r="E264" s="689">
        <v>34321</v>
      </c>
      <c r="F264" s="693">
        <v>-34360</v>
      </c>
      <c r="G264" s="693">
        <v>-31740</v>
      </c>
      <c r="H264" s="693"/>
      <c r="I264" s="689">
        <v>8702</v>
      </c>
      <c r="J264" s="689">
        <v>6957</v>
      </c>
      <c r="K264" s="689">
        <v>0</v>
      </c>
      <c r="L264" s="693">
        <v>3314</v>
      </c>
      <c r="M264" s="693"/>
      <c r="N264" s="689">
        <v>0</v>
      </c>
      <c r="O264" s="689">
        <v>0</v>
      </c>
      <c r="P264" s="689">
        <v>0</v>
      </c>
      <c r="Q264" s="693">
        <v>0</v>
      </c>
      <c r="R264" s="693"/>
      <c r="S264" s="689">
        <v>16863</v>
      </c>
      <c r="T264" s="694">
        <v>1105</v>
      </c>
      <c r="U264" s="694">
        <v>17968</v>
      </c>
    </row>
    <row r="265" spans="1:21" x14ac:dyDescent="0.25">
      <c r="A265" s="690">
        <v>38620</v>
      </c>
      <c r="B265" s="691" t="s">
        <v>1034</v>
      </c>
      <c r="C265" s="692">
        <v>4.3080000000000001E-4</v>
      </c>
      <c r="D265" s="692">
        <v>4.7150000000000002E-4</v>
      </c>
      <c r="E265" s="689">
        <v>27051</v>
      </c>
      <c r="F265" s="693">
        <v>-29280</v>
      </c>
      <c r="G265" s="693">
        <v>-26330</v>
      </c>
      <c r="H265" s="693"/>
      <c r="I265" s="689">
        <v>7219</v>
      </c>
      <c r="J265" s="689">
        <v>5771</v>
      </c>
      <c r="K265" s="689">
        <v>0</v>
      </c>
      <c r="L265" s="693">
        <v>2266</v>
      </c>
      <c r="M265" s="693"/>
      <c r="N265" s="689">
        <v>0</v>
      </c>
      <c r="O265" s="689">
        <v>0</v>
      </c>
      <c r="P265" s="689">
        <v>0</v>
      </c>
      <c r="Q265" s="693">
        <v>0</v>
      </c>
      <c r="R265" s="693"/>
      <c r="S265" s="689">
        <v>13989</v>
      </c>
      <c r="T265" s="694">
        <v>755</v>
      </c>
      <c r="U265" s="694">
        <v>14745</v>
      </c>
    </row>
    <row r="266" spans="1:21" x14ac:dyDescent="0.25">
      <c r="A266" s="690">
        <v>38700</v>
      </c>
      <c r="B266" s="691" t="s">
        <v>1035</v>
      </c>
      <c r="C266" s="692">
        <v>8.0769999999999995E-4</v>
      </c>
      <c r="D266" s="692">
        <v>8.2010000000000004E-4</v>
      </c>
      <c r="E266" s="689">
        <v>46512</v>
      </c>
      <c r="F266" s="693">
        <v>-50928</v>
      </c>
      <c r="G266" s="693">
        <v>-49367</v>
      </c>
      <c r="H266" s="693"/>
      <c r="I266" s="689">
        <v>13535</v>
      </c>
      <c r="J266" s="689">
        <v>10821</v>
      </c>
      <c r="K266" s="689">
        <v>0</v>
      </c>
      <c r="L266" s="693">
        <v>0</v>
      </c>
      <c r="M266" s="693"/>
      <c r="N266" s="689">
        <v>0</v>
      </c>
      <c r="O266" s="689">
        <v>0</v>
      </c>
      <c r="P266" s="689">
        <v>0</v>
      </c>
      <c r="Q266" s="693">
        <v>1883</v>
      </c>
      <c r="R266" s="693"/>
      <c r="S266" s="689">
        <v>26228</v>
      </c>
      <c r="T266" s="694">
        <v>-628</v>
      </c>
      <c r="U266" s="694">
        <v>25601</v>
      </c>
    </row>
    <row r="267" spans="1:21" x14ac:dyDescent="0.25">
      <c r="A267" s="690">
        <v>38701</v>
      </c>
      <c r="B267" s="691" t="s">
        <v>1036</v>
      </c>
      <c r="C267" s="692">
        <v>4.4100000000000001E-5</v>
      </c>
      <c r="D267" s="692">
        <v>5.4400000000000001E-5</v>
      </c>
      <c r="E267" s="689">
        <v>3119</v>
      </c>
      <c r="F267" s="693">
        <v>-3378</v>
      </c>
      <c r="G267" s="693">
        <v>-2695</v>
      </c>
      <c r="H267" s="693"/>
      <c r="I267" s="689">
        <v>739</v>
      </c>
      <c r="J267" s="689">
        <v>591</v>
      </c>
      <c r="K267" s="689">
        <v>0</v>
      </c>
      <c r="L267" s="693">
        <v>780</v>
      </c>
      <c r="M267" s="693"/>
      <c r="N267" s="689">
        <v>0</v>
      </c>
      <c r="O267" s="689">
        <v>0</v>
      </c>
      <c r="P267" s="689">
        <v>0</v>
      </c>
      <c r="Q267" s="693">
        <v>0</v>
      </c>
      <c r="R267" s="693"/>
      <c r="S267" s="689">
        <v>1432</v>
      </c>
      <c r="T267" s="694">
        <v>260</v>
      </c>
      <c r="U267" s="694">
        <v>1692</v>
      </c>
    </row>
    <row r="268" spans="1:21" x14ac:dyDescent="0.25">
      <c r="A268" s="690">
        <v>38800</v>
      </c>
      <c r="B268" s="691" t="s">
        <v>1037</v>
      </c>
      <c r="C268" s="692">
        <v>1.3588000000000001E-3</v>
      </c>
      <c r="D268" s="692">
        <v>1.4008E-3</v>
      </c>
      <c r="E268" s="689">
        <v>81110</v>
      </c>
      <c r="F268" s="693">
        <v>-86990</v>
      </c>
      <c r="G268" s="693">
        <v>-83050</v>
      </c>
      <c r="H268" s="693"/>
      <c r="I268" s="689">
        <v>22771</v>
      </c>
      <c r="J268" s="689">
        <v>18204</v>
      </c>
      <c r="K268" s="689">
        <v>0</v>
      </c>
      <c r="L268" s="693">
        <v>0</v>
      </c>
      <c r="M268" s="693"/>
      <c r="N268" s="689">
        <v>0</v>
      </c>
      <c r="O268" s="689">
        <v>0</v>
      </c>
      <c r="P268" s="689">
        <v>0</v>
      </c>
      <c r="Q268" s="693">
        <v>37</v>
      </c>
      <c r="R268" s="693"/>
      <c r="S268" s="689">
        <v>44124</v>
      </c>
      <c r="T268" s="694">
        <v>-12</v>
      </c>
      <c r="U268" s="694">
        <v>44112</v>
      </c>
    </row>
    <row r="269" spans="1:21" x14ac:dyDescent="0.25">
      <c r="A269" s="690">
        <v>38801</v>
      </c>
      <c r="B269" s="691" t="s">
        <v>1038</v>
      </c>
      <c r="C269" s="692">
        <v>1.1519999999999999E-4</v>
      </c>
      <c r="D269" s="692">
        <v>1.032E-4</v>
      </c>
      <c r="E269" s="689">
        <v>5747</v>
      </c>
      <c r="F269" s="693">
        <v>-6409</v>
      </c>
      <c r="G269" s="693">
        <v>-7041</v>
      </c>
      <c r="H269" s="693"/>
      <c r="I269" s="689">
        <v>1931</v>
      </c>
      <c r="J269" s="689">
        <v>1543</v>
      </c>
      <c r="K269" s="689">
        <v>0</v>
      </c>
      <c r="L269" s="693">
        <v>0</v>
      </c>
      <c r="M269" s="693"/>
      <c r="N269" s="689">
        <v>0</v>
      </c>
      <c r="O269" s="689">
        <v>0</v>
      </c>
      <c r="P269" s="689">
        <v>0</v>
      </c>
      <c r="Q269" s="693">
        <v>1575</v>
      </c>
      <c r="R269" s="693"/>
      <c r="S269" s="689">
        <v>3741</v>
      </c>
      <c r="T269" s="694">
        <v>-525</v>
      </c>
      <c r="U269" s="694">
        <v>3216</v>
      </c>
    </row>
    <row r="270" spans="1:21" x14ac:dyDescent="0.25">
      <c r="A270" s="690">
        <v>38900</v>
      </c>
      <c r="B270" s="691" t="s">
        <v>1039</v>
      </c>
      <c r="C270" s="692">
        <v>2.9349999999999998E-4</v>
      </c>
      <c r="D270" s="692">
        <v>3.1530000000000002E-4</v>
      </c>
      <c r="E270" s="689">
        <v>18176</v>
      </c>
      <c r="F270" s="693">
        <v>-19580</v>
      </c>
      <c r="G270" s="693">
        <v>-17939</v>
      </c>
      <c r="H270" s="693"/>
      <c r="I270" s="689">
        <v>4918</v>
      </c>
      <c r="J270" s="689">
        <v>3932</v>
      </c>
      <c r="K270" s="689">
        <v>0</v>
      </c>
      <c r="L270" s="693">
        <v>1077</v>
      </c>
      <c r="M270" s="693"/>
      <c r="N270" s="689">
        <v>0</v>
      </c>
      <c r="O270" s="689">
        <v>0</v>
      </c>
      <c r="P270" s="689">
        <v>0</v>
      </c>
      <c r="Q270" s="693">
        <v>0</v>
      </c>
      <c r="R270" s="693"/>
      <c r="S270" s="689">
        <v>9531</v>
      </c>
      <c r="T270" s="694">
        <v>359</v>
      </c>
      <c r="U270" s="694">
        <v>9890</v>
      </c>
    </row>
    <row r="271" spans="1:21" x14ac:dyDescent="0.25">
      <c r="A271" s="690">
        <v>39000</v>
      </c>
      <c r="B271" s="691" t="s">
        <v>1040</v>
      </c>
      <c r="C271" s="692">
        <v>1.4090699999999999E-2</v>
      </c>
      <c r="D271" s="692">
        <v>1.41358E-2</v>
      </c>
      <c r="E271" s="689">
        <v>795524</v>
      </c>
      <c r="F271" s="693">
        <v>-877833</v>
      </c>
      <c r="G271" s="693">
        <v>-861224</v>
      </c>
      <c r="H271" s="693"/>
      <c r="I271" s="689">
        <v>236132</v>
      </c>
      <c r="J271" s="689">
        <v>188773</v>
      </c>
      <c r="K271" s="689">
        <v>0</v>
      </c>
      <c r="L271" s="693">
        <v>0</v>
      </c>
      <c r="M271" s="693"/>
      <c r="N271" s="689">
        <v>0</v>
      </c>
      <c r="O271" s="689">
        <v>0</v>
      </c>
      <c r="P271" s="689">
        <v>0</v>
      </c>
      <c r="Q271" s="693">
        <v>52754</v>
      </c>
      <c r="R271" s="693"/>
      <c r="S271" s="689">
        <v>457567</v>
      </c>
      <c r="T271" s="694">
        <v>-17585</v>
      </c>
      <c r="U271" s="694">
        <v>439983</v>
      </c>
    </row>
    <row r="272" spans="1:21" x14ac:dyDescent="0.25">
      <c r="A272" s="690">
        <v>39100</v>
      </c>
      <c r="B272" s="691" t="s">
        <v>1041</v>
      </c>
      <c r="C272" s="692">
        <v>2.0573000000000002E-3</v>
      </c>
      <c r="D272" s="692">
        <v>2.1825999999999998E-3</v>
      </c>
      <c r="E272" s="689">
        <v>134585</v>
      </c>
      <c r="F272" s="693">
        <v>-135539</v>
      </c>
      <c r="G272" s="693">
        <v>-125742</v>
      </c>
      <c r="H272" s="693"/>
      <c r="I272" s="689">
        <v>34476</v>
      </c>
      <c r="J272" s="689">
        <v>27562</v>
      </c>
      <c r="K272" s="689">
        <v>0</v>
      </c>
      <c r="L272" s="693">
        <v>11653</v>
      </c>
      <c r="M272" s="693"/>
      <c r="N272" s="689">
        <v>0</v>
      </c>
      <c r="O272" s="689">
        <v>0</v>
      </c>
      <c r="P272" s="689">
        <v>0</v>
      </c>
      <c r="Q272" s="693">
        <v>0</v>
      </c>
      <c r="R272" s="693"/>
      <c r="S272" s="689">
        <v>66807</v>
      </c>
      <c r="T272" s="694">
        <v>3884</v>
      </c>
      <c r="U272" s="694">
        <v>70691</v>
      </c>
    </row>
    <row r="273" spans="1:21" x14ac:dyDescent="0.25">
      <c r="A273" s="690">
        <v>39101</v>
      </c>
      <c r="B273" s="691" t="s">
        <v>1042</v>
      </c>
      <c r="C273" s="692">
        <v>1.6899999999999999E-4</v>
      </c>
      <c r="D273" s="692">
        <v>1.5469999999999999E-4</v>
      </c>
      <c r="E273" s="689">
        <v>10762</v>
      </c>
      <c r="F273" s="693">
        <v>-9607</v>
      </c>
      <c r="G273" s="693">
        <v>-10329</v>
      </c>
      <c r="H273" s="693"/>
      <c r="I273" s="689">
        <v>2832</v>
      </c>
      <c r="J273" s="689">
        <v>2264</v>
      </c>
      <c r="K273" s="689">
        <v>0</v>
      </c>
      <c r="L273" s="693">
        <v>0</v>
      </c>
      <c r="M273" s="693"/>
      <c r="N273" s="689">
        <v>0</v>
      </c>
      <c r="O273" s="689">
        <v>0</v>
      </c>
      <c r="P273" s="689">
        <v>0</v>
      </c>
      <c r="Q273" s="693">
        <v>409</v>
      </c>
      <c r="R273" s="693"/>
      <c r="S273" s="689">
        <v>5488</v>
      </c>
      <c r="T273" s="694">
        <v>-136</v>
      </c>
      <c r="U273" s="694">
        <v>5352</v>
      </c>
    </row>
    <row r="274" spans="1:21" x14ac:dyDescent="0.25">
      <c r="A274" s="690">
        <v>39105</v>
      </c>
      <c r="B274" s="691" t="s">
        <v>1043</v>
      </c>
      <c r="C274" s="692">
        <v>8.4730000000000005E-4</v>
      </c>
      <c r="D274" s="692">
        <v>8.9249999999999996E-4</v>
      </c>
      <c r="E274" s="689">
        <v>53597</v>
      </c>
      <c r="F274" s="693">
        <v>-55424</v>
      </c>
      <c r="G274" s="693">
        <v>-51787</v>
      </c>
      <c r="H274" s="693"/>
      <c r="I274" s="689">
        <v>14199</v>
      </c>
      <c r="J274" s="689">
        <v>11351</v>
      </c>
      <c r="K274" s="689">
        <v>0</v>
      </c>
      <c r="L274" s="693">
        <v>3127</v>
      </c>
      <c r="M274" s="693"/>
      <c r="N274" s="689">
        <v>0</v>
      </c>
      <c r="O274" s="689">
        <v>0</v>
      </c>
      <c r="P274" s="689">
        <v>0</v>
      </c>
      <c r="Q274" s="693">
        <v>0</v>
      </c>
      <c r="R274" s="693"/>
      <c r="S274" s="689">
        <v>27514</v>
      </c>
      <c r="T274" s="694">
        <v>1042</v>
      </c>
      <c r="U274" s="694">
        <v>28557</v>
      </c>
    </row>
    <row r="275" spans="1:21" x14ac:dyDescent="0.25">
      <c r="A275" s="690">
        <v>39200</v>
      </c>
      <c r="B275" s="691" t="s">
        <v>1542</v>
      </c>
      <c r="C275" s="692">
        <v>5.8469500000000001E-2</v>
      </c>
      <c r="D275" s="692">
        <v>5.7920399999999997E-2</v>
      </c>
      <c r="E275" s="689">
        <v>3324168</v>
      </c>
      <c r="F275" s="693">
        <v>-3596857</v>
      </c>
      <c r="G275" s="693">
        <v>-3573655.84</v>
      </c>
      <c r="H275" s="693"/>
      <c r="I275" s="689">
        <v>979832</v>
      </c>
      <c r="J275" s="689">
        <v>783316</v>
      </c>
      <c r="K275" s="689">
        <v>0</v>
      </c>
      <c r="L275" s="693">
        <v>0</v>
      </c>
      <c r="M275" s="693"/>
      <c r="N275" s="689">
        <v>0</v>
      </c>
      <c r="O275" s="689">
        <v>0</v>
      </c>
      <c r="P275" s="689">
        <v>0</v>
      </c>
      <c r="Q275" s="693">
        <v>235844</v>
      </c>
      <c r="R275" s="693"/>
      <c r="S275" s="689">
        <v>1898680</v>
      </c>
      <c r="T275" s="694">
        <v>-78615</v>
      </c>
      <c r="U275" s="694">
        <v>1820065</v>
      </c>
    </row>
    <row r="276" spans="1:21" x14ac:dyDescent="0.25">
      <c r="A276" s="690">
        <v>39201</v>
      </c>
      <c r="B276" s="691" t="s">
        <v>1045</v>
      </c>
      <c r="C276" s="692">
        <v>1.7530000000000001E-4</v>
      </c>
      <c r="D276" s="692">
        <v>1.784E-4</v>
      </c>
      <c r="E276" s="689">
        <v>8158</v>
      </c>
      <c r="F276" s="693">
        <v>-11079</v>
      </c>
      <c r="G276" s="693">
        <v>-10714</v>
      </c>
      <c r="H276" s="693"/>
      <c r="I276" s="689">
        <v>2938</v>
      </c>
      <c r="J276" s="689">
        <v>2348</v>
      </c>
      <c r="K276" s="689">
        <v>0</v>
      </c>
      <c r="L276" s="693">
        <v>0</v>
      </c>
      <c r="M276" s="693"/>
      <c r="N276" s="689">
        <v>0</v>
      </c>
      <c r="O276" s="689">
        <v>0</v>
      </c>
      <c r="P276" s="689">
        <v>0</v>
      </c>
      <c r="Q276" s="693">
        <v>1842</v>
      </c>
      <c r="R276" s="693"/>
      <c r="S276" s="689">
        <v>5693</v>
      </c>
      <c r="T276" s="694">
        <v>-614</v>
      </c>
      <c r="U276" s="694">
        <v>5078</v>
      </c>
    </row>
    <row r="277" spans="1:21" x14ac:dyDescent="0.25">
      <c r="A277" s="690">
        <v>39204</v>
      </c>
      <c r="B277" s="691" t="s">
        <v>1046</v>
      </c>
      <c r="C277" s="692">
        <v>1.641E-4</v>
      </c>
      <c r="D277" s="692">
        <v>1.225E-4</v>
      </c>
      <c r="E277" s="689">
        <v>8268</v>
      </c>
      <c r="F277" s="693">
        <v>-7607</v>
      </c>
      <c r="G277" s="693">
        <v>-10030</v>
      </c>
      <c r="H277" s="693"/>
      <c r="I277" s="689">
        <v>2750</v>
      </c>
      <c r="J277" s="689">
        <v>2198</v>
      </c>
      <c r="K277" s="689">
        <v>0</v>
      </c>
      <c r="L277" s="693">
        <v>0</v>
      </c>
      <c r="M277" s="693"/>
      <c r="N277" s="689">
        <v>0</v>
      </c>
      <c r="O277" s="689">
        <v>0</v>
      </c>
      <c r="P277" s="689">
        <v>0</v>
      </c>
      <c r="Q277" s="693">
        <v>3324</v>
      </c>
      <c r="R277" s="693"/>
      <c r="S277" s="689">
        <v>5329</v>
      </c>
      <c r="T277" s="694">
        <v>-1108</v>
      </c>
      <c r="U277" s="694">
        <v>4221</v>
      </c>
    </row>
    <row r="278" spans="1:21" x14ac:dyDescent="0.25">
      <c r="A278" s="690">
        <v>39205</v>
      </c>
      <c r="B278" s="691" t="s">
        <v>1047</v>
      </c>
      <c r="C278" s="692">
        <v>4.7406999999999996E-3</v>
      </c>
      <c r="D278" s="692">
        <v>4.5104999999999998E-3</v>
      </c>
      <c r="E278" s="689">
        <v>294890</v>
      </c>
      <c r="F278" s="693">
        <v>-280102</v>
      </c>
      <c r="G278" s="693">
        <v>-289752</v>
      </c>
      <c r="H278" s="693"/>
      <c r="I278" s="689">
        <v>79445</v>
      </c>
      <c r="J278" s="689">
        <v>63511</v>
      </c>
      <c r="K278" s="689">
        <v>0</v>
      </c>
      <c r="L278" s="693">
        <v>0</v>
      </c>
      <c r="M278" s="693"/>
      <c r="N278" s="689">
        <v>0</v>
      </c>
      <c r="O278" s="689">
        <v>0</v>
      </c>
      <c r="P278" s="689">
        <v>0</v>
      </c>
      <c r="Q278" s="693">
        <v>8745</v>
      </c>
      <c r="R278" s="693"/>
      <c r="S278" s="689">
        <v>153945</v>
      </c>
      <c r="T278" s="694">
        <v>-2915</v>
      </c>
      <c r="U278" s="694">
        <v>151030</v>
      </c>
    </row>
    <row r="279" spans="1:21" x14ac:dyDescent="0.25">
      <c r="A279" s="690">
        <v>39208</v>
      </c>
      <c r="B279" s="691" t="s">
        <v>1543</v>
      </c>
      <c r="C279" s="692">
        <v>3.4610000000000001E-4</v>
      </c>
      <c r="D279" s="692">
        <v>3.6979999999999999E-4</v>
      </c>
      <c r="E279" s="689">
        <v>17640</v>
      </c>
      <c r="F279" s="693">
        <v>-22965</v>
      </c>
      <c r="G279" s="693">
        <v>-21154</v>
      </c>
      <c r="H279" s="693"/>
      <c r="I279" s="689">
        <v>5800</v>
      </c>
      <c r="J279" s="689">
        <v>4637</v>
      </c>
      <c r="K279" s="689">
        <v>0</v>
      </c>
      <c r="L279" s="693">
        <v>0</v>
      </c>
      <c r="M279" s="693"/>
      <c r="N279" s="689">
        <v>0</v>
      </c>
      <c r="O279" s="689">
        <v>0</v>
      </c>
      <c r="P279" s="689">
        <v>0</v>
      </c>
      <c r="Q279" s="693">
        <v>1668</v>
      </c>
      <c r="R279" s="693"/>
      <c r="S279" s="689">
        <v>11239</v>
      </c>
      <c r="T279" s="694">
        <v>-556</v>
      </c>
      <c r="U279" s="694">
        <v>10683</v>
      </c>
    </row>
    <row r="280" spans="1:21" x14ac:dyDescent="0.25">
      <c r="A280" s="690">
        <v>39209</v>
      </c>
      <c r="B280" s="691" t="s">
        <v>1049</v>
      </c>
      <c r="C280" s="692">
        <v>1.916E-4</v>
      </c>
      <c r="D280" s="692">
        <v>1.8430000000000001E-4</v>
      </c>
      <c r="E280" s="689">
        <v>9200</v>
      </c>
      <c r="F280" s="693">
        <v>-11445</v>
      </c>
      <c r="G280" s="693">
        <v>-11711</v>
      </c>
      <c r="H280" s="693"/>
      <c r="I280" s="689">
        <v>3211</v>
      </c>
      <c r="J280" s="689">
        <v>2567</v>
      </c>
      <c r="K280" s="689">
        <v>0</v>
      </c>
      <c r="L280" s="693">
        <v>0</v>
      </c>
      <c r="M280" s="693"/>
      <c r="N280" s="689">
        <v>0</v>
      </c>
      <c r="O280" s="689">
        <v>0</v>
      </c>
      <c r="P280" s="689">
        <v>0</v>
      </c>
      <c r="Q280" s="693">
        <v>2299</v>
      </c>
      <c r="R280" s="693"/>
      <c r="S280" s="689">
        <v>6222</v>
      </c>
      <c r="T280" s="694">
        <v>-766</v>
      </c>
      <c r="U280" s="694">
        <v>5456</v>
      </c>
    </row>
    <row r="281" spans="1:21" x14ac:dyDescent="0.25">
      <c r="A281" s="690">
        <v>39300</v>
      </c>
      <c r="B281" s="691" t="s">
        <v>1050</v>
      </c>
      <c r="C281" s="692">
        <v>7.6119999999999996E-4</v>
      </c>
      <c r="D281" s="692">
        <v>8.5419999999999995E-4</v>
      </c>
      <c r="E281" s="689">
        <v>49111</v>
      </c>
      <c r="F281" s="693">
        <v>-53046</v>
      </c>
      <c r="G281" s="693">
        <v>-46525</v>
      </c>
      <c r="H281" s="693"/>
      <c r="I281" s="689">
        <v>12756</v>
      </c>
      <c r="J281" s="689">
        <v>10198</v>
      </c>
      <c r="K281" s="689">
        <v>0</v>
      </c>
      <c r="L281" s="693">
        <v>5970</v>
      </c>
      <c r="M281" s="693"/>
      <c r="N281" s="689">
        <v>0</v>
      </c>
      <c r="O281" s="689">
        <v>0</v>
      </c>
      <c r="P281" s="689">
        <v>0</v>
      </c>
      <c r="Q281" s="693">
        <v>0</v>
      </c>
      <c r="R281" s="693"/>
      <c r="S281" s="689">
        <v>24718</v>
      </c>
      <c r="T281" s="694">
        <v>1990</v>
      </c>
      <c r="U281" s="694">
        <v>26708</v>
      </c>
    </row>
    <row r="282" spans="1:21" x14ac:dyDescent="0.25">
      <c r="A282" s="690">
        <v>39301</v>
      </c>
      <c r="B282" s="691" t="s">
        <v>1051</v>
      </c>
      <c r="C282" s="692">
        <v>5.3900000000000002E-5</v>
      </c>
      <c r="D282" s="692">
        <v>4.74E-5</v>
      </c>
      <c r="E282" s="689">
        <v>3070</v>
      </c>
      <c r="F282" s="693">
        <v>-2944</v>
      </c>
      <c r="G282" s="693">
        <v>-3294</v>
      </c>
      <c r="H282" s="693"/>
      <c r="I282" s="689">
        <v>903</v>
      </c>
      <c r="J282" s="689">
        <v>722</v>
      </c>
      <c r="K282" s="689">
        <v>0</v>
      </c>
      <c r="L282" s="693">
        <v>0</v>
      </c>
      <c r="M282" s="693"/>
      <c r="N282" s="689">
        <v>0</v>
      </c>
      <c r="O282" s="689">
        <v>0</v>
      </c>
      <c r="P282" s="689">
        <v>0</v>
      </c>
      <c r="Q282" s="693">
        <v>493</v>
      </c>
      <c r="R282" s="693"/>
      <c r="S282" s="689">
        <v>1750</v>
      </c>
      <c r="T282" s="694">
        <v>-164</v>
      </c>
      <c r="U282" s="694">
        <v>1586</v>
      </c>
    </row>
    <row r="283" spans="1:21" x14ac:dyDescent="0.25">
      <c r="A283" s="690">
        <v>39400</v>
      </c>
      <c r="B283" s="691" t="s">
        <v>1052</v>
      </c>
      <c r="C283" s="692">
        <v>5.419E-4</v>
      </c>
      <c r="D283" s="692">
        <v>5.844E-4</v>
      </c>
      <c r="E283" s="689">
        <v>37358</v>
      </c>
      <c r="F283" s="693">
        <v>-36291</v>
      </c>
      <c r="G283" s="693">
        <v>-33121</v>
      </c>
      <c r="H283" s="693"/>
      <c r="I283" s="689">
        <v>9081</v>
      </c>
      <c r="J283" s="689">
        <v>7260</v>
      </c>
      <c r="K283" s="689">
        <v>0</v>
      </c>
      <c r="L283" s="693">
        <v>4943</v>
      </c>
      <c r="M283" s="693"/>
      <c r="N283" s="689">
        <v>0</v>
      </c>
      <c r="O283" s="689">
        <v>0</v>
      </c>
      <c r="P283" s="689">
        <v>0</v>
      </c>
      <c r="Q283" s="693">
        <v>0</v>
      </c>
      <c r="R283" s="693"/>
      <c r="S283" s="689">
        <v>17597</v>
      </c>
      <c r="T283" s="694">
        <v>1648</v>
      </c>
      <c r="U283" s="694">
        <v>19245</v>
      </c>
    </row>
    <row r="284" spans="1:21" x14ac:dyDescent="0.25">
      <c r="A284" s="690">
        <v>39401</v>
      </c>
      <c r="B284" s="691" t="s">
        <v>1053</v>
      </c>
      <c r="C284" s="692">
        <v>3.1119999999999997E-4</v>
      </c>
      <c r="D284" s="692">
        <v>2.1699999999999999E-4</v>
      </c>
      <c r="E284" s="689">
        <v>13347</v>
      </c>
      <c r="F284" s="693">
        <v>-13476</v>
      </c>
      <c r="G284" s="693">
        <v>-19021</v>
      </c>
      <c r="H284" s="693"/>
      <c r="I284" s="689">
        <v>5215</v>
      </c>
      <c r="J284" s="689">
        <v>4169</v>
      </c>
      <c r="K284" s="689">
        <v>0</v>
      </c>
      <c r="L284" s="693">
        <v>0</v>
      </c>
      <c r="M284" s="693"/>
      <c r="N284" s="689">
        <v>0</v>
      </c>
      <c r="O284" s="689">
        <v>0</v>
      </c>
      <c r="P284" s="689">
        <v>0</v>
      </c>
      <c r="Q284" s="693">
        <v>8766</v>
      </c>
      <c r="R284" s="693"/>
      <c r="S284" s="689">
        <v>10106</v>
      </c>
      <c r="T284" s="694">
        <v>-2922</v>
      </c>
      <c r="U284" s="694">
        <v>7184</v>
      </c>
    </row>
    <row r="285" spans="1:21" x14ac:dyDescent="0.25">
      <c r="A285" s="690">
        <v>39500</v>
      </c>
      <c r="B285" s="691" t="s">
        <v>1054</v>
      </c>
      <c r="C285" s="692">
        <v>1.745E-3</v>
      </c>
      <c r="D285" s="692">
        <v>1.7711000000000001E-3</v>
      </c>
      <c r="E285" s="689">
        <v>104563</v>
      </c>
      <c r="F285" s="693">
        <v>-109985</v>
      </c>
      <c r="G285" s="693">
        <v>-106654.39999999999</v>
      </c>
      <c r="H285" s="693"/>
      <c r="I285" s="689">
        <v>29242.71</v>
      </c>
      <c r="J285" s="689">
        <v>23378</v>
      </c>
      <c r="K285" s="689">
        <v>0</v>
      </c>
      <c r="L285" s="693">
        <v>0</v>
      </c>
      <c r="M285" s="693"/>
      <c r="N285" s="689">
        <v>0</v>
      </c>
      <c r="O285" s="689">
        <v>0</v>
      </c>
      <c r="P285" s="689">
        <v>0</v>
      </c>
      <c r="Q285" s="693">
        <v>1044</v>
      </c>
      <c r="R285" s="693"/>
      <c r="S285" s="689">
        <v>56665</v>
      </c>
      <c r="T285" s="694">
        <v>-348</v>
      </c>
      <c r="U285" s="694">
        <v>56317</v>
      </c>
    </row>
    <row r="286" spans="1:21" x14ac:dyDescent="0.25">
      <c r="A286" s="690">
        <v>39501</v>
      </c>
      <c r="B286" s="691" t="s">
        <v>1055</v>
      </c>
      <c r="C286" s="692">
        <v>6.0399999999999998E-5</v>
      </c>
      <c r="D286" s="692">
        <v>5.7000000000000003E-5</v>
      </c>
      <c r="E286" s="689">
        <v>3284</v>
      </c>
      <c r="F286" s="693">
        <v>-3540</v>
      </c>
      <c r="G286" s="693">
        <v>-3692</v>
      </c>
      <c r="H286" s="693"/>
      <c r="I286" s="689">
        <v>1012</v>
      </c>
      <c r="J286" s="689">
        <v>809</v>
      </c>
      <c r="K286" s="689">
        <v>0</v>
      </c>
      <c r="L286" s="693">
        <v>0</v>
      </c>
      <c r="M286" s="693"/>
      <c r="N286" s="689">
        <v>0</v>
      </c>
      <c r="O286" s="689">
        <v>0</v>
      </c>
      <c r="P286" s="689">
        <v>0</v>
      </c>
      <c r="Q286" s="693">
        <v>488</v>
      </c>
      <c r="R286" s="693"/>
      <c r="S286" s="689">
        <v>1961</v>
      </c>
      <c r="T286" s="694">
        <v>-163</v>
      </c>
      <c r="U286" s="694">
        <v>1799</v>
      </c>
    </row>
    <row r="287" spans="1:21" x14ac:dyDescent="0.25">
      <c r="A287" s="690">
        <v>39600</v>
      </c>
      <c r="B287" s="691" t="s">
        <v>1056</v>
      </c>
      <c r="C287" s="692">
        <v>5.7155000000000001E-3</v>
      </c>
      <c r="D287" s="692">
        <v>5.7600999999999998E-3</v>
      </c>
      <c r="E287" s="689">
        <v>356807</v>
      </c>
      <c r="F287" s="693">
        <v>-357702</v>
      </c>
      <c r="G287" s="693">
        <v>-349331.36</v>
      </c>
      <c r="H287" s="693"/>
      <c r="I287" s="689">
        <v>95780</v>
      </c>
      <c r="J287" s="689">
        <v>76571</v>
      </c>
      <c r="K287" s="689">
        <v>0</v>
      </c>
      <c r="L287" s="693">
        <v>5421</v>
      </c>
      <c r="M287" s="693"/>
      <c r="N287" s="689">
        <v>0</v>
      </c>
      <c r="O287" s="689">
        <v>0</v>
      </c>
      <c r="P287" s="689">
        <v>0</v>
      </c>
      <c r="Q287" s="693">
        <v>0</v>
      </c>
      <c r="R287" s="693"/>
      <c r="S287" s="689">
        <v>185599</v>
      </c>
      <c r="T287" s="694">
        <v>1807</v>
      </c>
      <c r="U287" s="694">
        <v>187406</v>
      </c>
    </row>
    <row r="288" spans="1:21" x14ac:dyDescent="0.25">
      <c r="A288" s="690">
        <v>39605</v>
      </c>
      <c r="B288" s="691" t="s">
        <v>1057</v>
      </c>
      <c r="C288" s="692">
        <v>8.4079999999999995E-4</v>
      </c>
      <c r="D288" s="692">
        <v>8.3909999999999996E-4</v>
      </c>
      <c r="E288" s="689">
        <v>52920</v>
      </c>
      <c r="F288" s="693">
        <v>-52108</v>
      </c>
      <c r="G288" s="693">
        <v>-51390</v>
      </c>
      <c r="H288" s="693"/>
      <c r="I288" s="689">
        <v>14090</v>
      </c>
      <c r="J288" s="689">
        <v>11264</v>
      </c>
      <c r="K288" s="689">
        <v>0</v>
      </c>
      <c r="L288" s="693">
        <v>735</v>
      </c>
      <c r="M288" s="693"/>
      <c r="N288" s="689">
        <v>0</v>
      </c>
      <c r="O288" s="689">
        <v>0</v>
      </c>
      <c r="P288" s="689">
        <v>0</v>
      </c>
      <c r="Q288" s="693">
        <v>0</v>
      </c>
      <c r="R288" s="693"/>
      <c r="S288" s="689">
        <v>27303</v>
      </c>
      <c r="T288" s="694">
        <v>245</v>
      </c>
      <c r="U288" s="694">
        <v>27548</v>
      </c>
    </row>
    <row r="289" spans="1:21" x14ac:dyDescent="0.25">
      <c r="A289" s="690">
        <v>39700</v>
      </c>
      <c r="B289" s="691" t="s">
        <v>1058</v>
      </c>
      <c r="C289" s="692">
        <v>3.3145000000000002E-3</v>
      </c>
      <c r="D289" s="692">
        <v>3.4721000000000001E-3</v>
      </c>
      <c r="E289" s="689">
        <v>197244</v>
      </c>
      <c r="F289" s="693">
        <v>-215617</v>
      </c>
      <c r="G289" s="693">
        <v>-202582</v>
      </c>
      <c r="H289" s="693"/>
      <c r="I289" s="689">
        <v>55544</v>
      </c>
      <c r="J289" s="689">
        <v>44404</v>
      </c>
      <c r="K289" s="689">
        <v>0</v>
      </c>
      <c r="L289" s="693">
        <v>2024</v>
      </c>
      <c r="M289" s="693"/>
      <c r="N289" s="689">
        <v>0</v>
      </c>
      <c r="O289" s="689">
        <v>0</v>
      </c>
      <c r="P289" s="689">
        <v>0</v>
      </c>
      <c r="Q289" s="693">
        <v>0</v>
      </c>
      <c r="R289" s="693"/>
      <c r="S289" s="689">
        <v>107632</v>
      </c>
      <c r="T289" s="694">
        <v>675</v>
      </c>
      <c r="U289" s="694">
        <v>108307</v>
      </c>
    </row>
    <row r="290" spans="1:21" x14ac:dyDescent="0.25">
      <c r="A290" s="690">
        <v>39703</v>
      </c>
      <c r="B290" s="691" t="s">
        <v>1059</v>
      </c>
      <c r="C290" s="692">
        <v>1.4329999999999999E-4</v>
      </c>
      <c r="D290" s="692">
        <v>1.119E-4</v>
      </c>
      <c r="E290" s="689">
        <v>6743</v>
      </c>
      <c r="F290" s="693">
        <v>-6949</v>
      </c>
      <c r="G290" s="693">
        <v>-8758</v>
      </c>
      <c r="H290" s="693"/>
      <c r="I290" s="689">
        <v>2401</v>
      </c>
      <c r="J290" s="689">
        <v>1920</v>
      </c>
      <c r="K290" s="689">
        <v>0</v>
      </c>
      <c r="L290" s="693">
        <v>0</v>
      </c>
      <c r="M290" s="693"/>
      <c r="N290" s="689">
        <v>0</v>
      </c>
      <c r="O290" s="689">
        <v>0</v>
      </c>
      <c r="P290" s="689">
        <v>0</v>
      </c>
      <c r="Q290" s="693">
        <v>3030</v>
      </c>
      <c r="R290" s="693"/>
      <c r="S290" s="689">
        <v>4653</v>
      </c>
      <c r="T290" s="694">
        <v>-1010</v>
      </c>
      <c r="U290" s="694">
        <v>3643</v>
      </c>
    </row>
    <row r="291" spans="1:21" x14ac:dyDescent="0.25">
      <c r="A291" s="690">
        <v>39705</v>
      </c>
      <c r="B291" s="691" t="s">
        <v>1060</v>
      </c>
      <c r="C291" s="692">
        <v>7.8140000000000002E-4</v>
      </c>
      <c r="D291" s="692">
        <v>7.9449999999999996E-4</v>
      </c>
      <c r="E291" s="689">
        <v>51964</v>
      </c>
      <c r="F291" s="693">
        <v>-49338</v>
      </c>
      <c r="G291" s="693">
        <v>-47759</v>
      </c>
      <c r="H291" s="693"/>
      <c r="I291" s="689">
        <v>13095</v>
      </c>
      <c r="J291" s="689">
        <v>10468</v>
      </c>
      <c r="K291" s="689">
        <v>0</v>
      </c>
      <c r="L291" s="693">
        <v>3455</v>
      </c>
      <c r="M291" s="693"/>
      <c r="N291" s="689">
        <v>0</v>
      </c>
      <c r="O291" s="689">
        <v>0</v>
      </c>
      <c r="P291" s="689">
        <v>0</v>
      </c>
      <c r="Q291" s="693">
        <v>0</v>
      </c>
      <c r="R291" s="693"/>
      <c r="S291" s="689">
        <v>25374</v>
      </c>
      <c r="T291" s="694">
        <v>1152</v>
      </c>
      <c r="U291" s="694">
        <v>26526</v>
      </c>
    </row>
    <row r="292" spans="1:21" x14ac:dyDescent="0.25">
      <c r="A292" s="690">
        <v>39800</v>
      </c>
      <c r="B292" s="691" t="s">
        <v>1061</v>
      </c>
      <c r="C292" s="692">
        <v>3.7190999999999999E-3</v>
      </c>
      <c r="D292" s="692">
        <v>3.8138E-3</v>
      </c>
      <c r="E292" s="689">
        <v>229479</v>
      </c>
      <c r="F292" s="693">
        <v>-236837</v>
      </c>
      <c r="G292" s="693">
        <v>-227311</v>
      </c>
      <c r="H292" s="693"/>
      <c r="I292" s="689">
        <v>62325</v>
      </c>
      <c r="J292" s="689">
        <v>49825</v>
      </c>
      <c r="K292" s="689">
        <v>0</v>
      </c>
      <c r="L292" s="693">
        <v>4564</v>
      </c>
      <c r="M292" s="693"/>
      <c r="N292" s="689">
        <v>0</v>
      </c>
      <c r="O292" s="689">
        <v>0</v>
      </c>
      <c r="P292" s="689">
        <v>0</v>
      </c>
      <c r="Q292" s="693">
        <v>0</v>
      </c>
      <c r="R292" s="693"/>
      <c r="S292" s="689">
        <v>120770</v>
      </c>
      <c r="T292" s="694">
        <v>1521</v>
      </c>
      <c r="U292" s="694">
        <v>122292</v>
      </c>
    </row>
    <row r="293" spans="1:21" x14ac:dyDescent="0.25">
      <c r="A293" s="690">
        <v>39805</v>
      </c>
      <c r="B293" s="691" t="s">
        <v>1062</v>
      </c>
      <c r="C293" s="692">
        <v>4.4000000000000002E-4</v>
      </c>
      <c r="D293" s="692">
        <v>4.2749999999999998E-4</v>
      </c>
      <c r="E293" s="689">
        <v>29084</v>
      </c>
      <c r="F293" s="693">
        <v>-26548</v>
      </c>
      <c r="G293" s="693">
        <v>-26892.799999999999</v>
      </c>
      <c r="H293" s="693"/>
      <c r="I293" s="689">
        <v>7373.52</v>
      </c>
      <c r="J293" s="689">
        <v>5894.68</v>
      </c>
      <c r="K293" s="689">
        <v>0</v>
      </c>
      <c r="L293" s="693">
        <v>887</v>
      </c>
      <c r="M293" s="693"/>
      <c r="N293" s="689">
        <v>0</v>
      </c>
      <c r="O293" s="689">
        <v>0</v>
      </c>
      <c r="P293" s="689">
        <v>0</v>
      </c>
      <c r="Q293" s="693">
        <v>0</v>
      </c>
      <c r="R293" s="693"/>
      <c r="S293" s="689">
        <v>14288.12</v>
      </c>
      <c r="T293" s="694">
        <v>296</v>
      </c>
      <c r="U293" s="694">
        <v>14583.68</v>
      </c>
    </row>
    <row r="294" spans="1:21" x14ac:dyDescent="0.25">
      <c r="A294" s="690">
        <v>39900</v>
      </c>
      <c r="B294" s="691" t="s">
        <v>1063</v>
      </c>
      <c r="C294" s="692">
        <v>1.8667E-3</v>
      </c>
      <c r="D294" s="692">
        <v>1.8894000000000001E-3</v>
      </c>
      <c r="E294" s="689">
        <v>116736</v>
      </c>
      <c r="F294" s="693">
        <v>-117332</v>
      </c>
      <c r="G294" s="693">
        <v>-114093</v>
      </c>
      <c r="H294" s="693"/>
      <c r="I294" s="689">
        <v>31282</v>
      </c>
      <c r="J294" s="689">
        <v>25008</v>
      </c>
      <c r="K294" s="689">
        <v>0</v>
      </c>
      <c r="L294" s="693">
        <v>2300</v>
      </c>
      <c r="M294" s="693"/>
      <c r="N294" s="689">
        <v>0</v>
      </c>
      <c r="O294" s="689">
        <v>0</v>
      </c>
      <c r="P294" s="689">
        <v>0</v>
      </c>
      <c r="Q294" s="693">
        <v>0</v>
      </c>
      <c r="R294" s="693"/>
      <c r="S294" s="689">
        <v>60617</v>
      </c>
      <c r="T294" s="694">
        <v>767</v>
      </c>
      <c r="U294" s="694">
        <v>61384</v>
      </c>
    </row>
    <row r="295" spans="1:21" x14ac:dyDescent="0.25">
      <c r="A295" s="690">
        <v>51000</v>
      </c>
      <c r="B295" s="691" t="s">
        <v>1151</v>
      </c>
      <c r="C295" s="692">
        <v>2.6253800000000001E-2</v>
      </c>
      <c r="D295" s="692">
        <v>2.9415299999999998E-2</v>
      </c>
      <c r="E295" s="689">
        <v>2013371</v>
      </c>
      <c r="F295" s="693">
        <v>-1870576</v>
      </c>
      <c r="G295" s="693">
        <v>-1604632</v>
      </c>
      <c r="H295" s="693"/>
      <c r="I295" s="689">
        <v>439961</v>
      </c>
      <c r="J295" s="689">
        <v>351722</v>
      </c>
      <c r="K295" s="689">
        <v>0</v>
      </c>
      <c r="L295" s="693">
        <v>406492</v>
      </c>
      <c r="M295" s="693"/>
      <c r="N295" s="689">
        <v>0</v>
      </c>
      <c r="O295" s="689">
        <v>0</v>
      </c>
      <c r="P295" s="689">
        <v>0</v>
      </c>
      <c r="Q295" s="693">
        <v>0</v>
      </c>
      <c r="R295" s="693"/>
      <c r="S295" s="689">
        <v>852540</v>
      </c>
      <c r="T295" s="694">
        <v>135497</v>
      </c>
      <c r="U295" s="694">
        <v>988037</v>
      </c>
    </row>
    <row r="296" spans="1:21" x14ac:dyDescent="0.25">
      <c r="A296" s="690">
        <v>51000.2</v>
      </c>
      <c r="B296" s="691" t="s">
        <v>1152</v>
      </c>
      <c r="C296" s="692">
        <v>1.63E-5</v>
      </c>
      <c r="D296" s="692">
        <v>1.95E-5</v>
      </c>
      <c r="E296" s="689" t="e">
        <v>#N/A</v>
      </c>
      <c r="F296" s="693">
        <v>0</v>
      </c>
      <c r="G296" s="693">
        <v>-996</v>
      </c>
      <c r="H296" s="693"/>
      <c r="I296" s="689">
        <v>273</v>
      </c>
      <c r="J296" s="689">
        <v>218</v>
      </c>
      <c r="K296" s="689">
        <v>0</v>
      </c>
      <c r="L296" s="693">
        <v>697</v>
      </c>
      <c r="M296" s="693"/>
      <c r="N296" s="689">
        <v>0</v>
      </c>
      <c r="O296" s="689">
        <v>0</v>
      </c>
      <c r="P296" s="689">
        <v>0</v>
      </c>
      <c r="Q296" s="693">
        <v>0</v>
      </c>
      <c r="R296" s="693"/>
      <c r="S296" s="689">
        <v>529</v>
      </c>
      <c r="T296" s="694">
        <v>232</v>
      </c>
      <c r="U296" s="694">
        <v>762</v>
      </c>
    </row>
    <row r="297" spans="1:21" x14ac:dyDescent="0.25">
      <c r="A297" s="690">
        <v>51000.3</v>
      </c>
      <c r="B297" s="691" t="s">
        <v>1153</v>
      </c>
      <c r="C297" s="692">
        <v>6.3610000000000001E-4</v>
      </c>
      <c r="D297" s="692">
        <v>6.8720000000000001E-4</v>
      </c>
      <c r="E297" s="689" t="e">
        <v>#N/A</v>
      </c>
      <c r="F297" s="693">
        <v>0</v>
      </c>
      <c r="G297" s="693">
        <v>-38878</v>
      </c>
      <c r="H297" s="693"/>
      <c r="I297" s="689">
        <v>10660</v>
      </c>
      <c r="J297" s="689">
        <v>8522</v>
      </c>
      <c r="K297" s="689">
        <v>0</v>
      </c>
      <c r="L297" s="693">
        <v>8579</v>
      </c>
      <c r="M297" s="693"/>
      <c r="N297" s="689">
        <v>0</v>
      </c>
      <c r="O297" s="689">
        <v>0</v>
      </c>
      <c r="P297" s="689">
        <v>0</v>
      </c>
      <c r="Q297" s="693">
        <v>0</v>
      </c>
      <c r="R297" s="693"/>
      <c r="S297" s="689">
        <v>20656</v>
      </c>
      <c r="T297" s="694">
        <v>2860</v>
      </c>
      <c r="U297" s="694">
        <v>23516</v>
      </c>
    </row>
    <row r="298" spans="1:21" x14ac:dyDescent="0.25">
      <c r="A298" s="690" t="s">
        <v>1141</v>
      </c>
      <c r="B298" s="691" t="s">
        <v>1641</v>
      </c>
      <c r="C298" s="692">
        <v>2.9799999999999999E-5</v>
      </c>
      <c r="D298" s="692">
        <v>4.3000000000000002E-5</v>
      </c>
      <c r="E298" s="689">
        <f>1320*0.5</f>
        <v>660</v>
      </c>
      <c r="F298" s="693">
        <f>-2670*0.5</f>
        <v>-1335</v>
      </c>
      <c r="G298" s="693">
        <f>-1821*0.5</f>
        <v>-911</v>
      </c>
      <c r="H298" s="693"/>
      <c r="I298" s="689">
        <f>499*0.5</f>
        <v>250</v>
      </c>
      <c r="J298" s="689">
        <f>399*0.5</f>
        <v>200</v>
      </c>
      <c r="K298" s="689">
        <v>0</v>
      </c>
      <c r="L298" s="693">
        <f>227*0.5</f>
        <v>114</v>
      </c>
      <c r="M298" s="693"/>
      <c r="N298" s="689">
        <v>0</v>
      </c>
      <c r="O298" s="689">
        <v>0</v>
      </c>
      <c r="P298" s="689">
        <v>0</v>
      </c>
      <c r="Q298" s="693">
        <v>0</v>
      </c>
      <c r="R298" s="693"/>
      <c r="S298" s="689">
        <v>968</v>
      </c>
      <c r="T298" s="694">
        <v>76</v>
      </c>
      <c r="U298" s="694">
        <f>1043*0.5</f>
        <v>522</v>
      </c>
    </row>
    <row r="299" spans="1:21" x14ac:dyDescent="0.25">
      <c r="A299" s="690"/>
      <c r="B299" s="691"/>
      <c r="C299" s="692"/>
      <c r="D299" s="692"/>
      <c r="E299" s="692"/>
      <c r="G299" s="693"/>
      <c r="H299" s="693"/>
      <c r="I299" s="689"/>
      <c r="J299" s="689"/>
      <c r="K299" s="689"/>
      <c r="L299" s="693"/>
      <c r="M299" s="693"/>
      <c r="N299" s="689"/>
      <c r="O299" s="689"/>
      <c r="P299" s="689"/>
      <c r="Q299" s="693"/>
      <c r="R299" s="693"/>
      <c r="S299" s="689"/>
      <c r="T299" s="694"/>
      <c r="U299" s="694"/>
    </row>
    <row r="300" spans="1:21" x14ac:dyDescent="0.25">
      <c r="A300" s="690"/>
      <c r="B300" s="696"/>
      <c r="C300" s="697">
        <v>1</v>
      </c>
      <c r="D300" s="697">
        <v>1</v>
      </c>
      <c r="E300" s="698">
        <v>61654000</v>
      </c>
      <c r="F300" s="698">
        <v>-62099998</v>
      </c>
      <c r="G300" s="699">
        <v>-61120000</v>
      </c>
      <c r="H300" s="700"/>
      <c r="I300" s="699">
        <v>16758000</v>
      </c>
      <c r="J300" s="699">
        <v>13397000</v>
      </c>
      <c r="K300" s="699">
        <v>0</v>
      </c>
      <c r="L300" s="699">
        <v>1710444</v>
      </c>
      <c r="M300" s="700"/>
      <c r="N300" s="699">
        <v>0</v>
      </c>
      <c r="O300" s="699">
        <v>0</v>
      </c>
      <c r="P300" s="699">
        <v>0</v>
      </c>
      <c r="Q300" s="699">
        <v>1710078</v>
      </c>
      <c r="R300" s="700"/>
      <c r="S300" s="699">
        <v>32473000</v>
      </c>
      <c r="T300" s="699">
        <v>122</v>
      </c>
      <c r="U300" s="699">
        <v>32473122</v>
      </c>
    </row>
    <row r="301" spans="1:21" x14ac:dyDescent="0.25">
      <c r="A301" s="690"/>
      <c r="B301" s="691"/>
      <c r="C301" s="692"/>
      <c r="D301" s="692"/>
      <c r="E301" s="692"/>
      <c r="G301" s="693"/>
      <c r="H301" s="693"/>
      <c r="I301" s="689"/>
      <c r="J301" s="689"/>
      <c r="K301" s="689"/>
      <c r="L301" s="693"/>
      <c r="M301" s="693"/>
      <c r="N301" s="689"/>
      <c r="O301" s="689"/>
      <c r="P301" s="689"/>
      <c r="Q301" s="693"/>
      <c r="R301" s="693"/>
      <c r="S301" s="689"/>
      <c r="T301" s="694"/>
      <c r="U301" s="694"/>
    </row>
    <row r="302" spans="1:21" x14ac:dyDescent="0.25">
      <c r="A302" s="690"/>
      <c r="B302" s="691" t="s">
        <v>1527</v>
      </c>
      <c r="C302" s="695" t="s">
        <v>521</v>
      </c>
      <c r="D302" s="692"/>
      <c r="E302" s="692"/>
      <c r="G302" s="693"/>
      <c r="H302" s="693"/>
      <c r="I302" s="689"/>
      <c r="J302" s="689"/>
      <c r="K302" s="689"/>
      <c r="L302" s="693"/>
      <c r="M302" s="693"/>
      <c r="N302" s="689"/>
      <c r="O302" s="689"/>
      <c r="P302" s="689"/>
      <c r="Q302" s="693"/>
      <c r="R302" s="693"/>
      <c r="S302" s="689"/>
      <c r="T302" s="694"/>
      <c r="U302" s="694"/>
    </row>
    <row r="303" spans="1:21" x14ac:dyDescent="0.25">
      <c r="A303" s="690"/>
      <c r="B303" s="691" t="s">
        <v>911</v>
      </c>
      <c r="C303" s="690">
        <v>33501</v>
      </c>
      <c r="D303" s="692"/>
      <c r="E303" s="692"/>
      <c r="G303" s="693"/>
      <c r="H303" s="693"/>
      <c r="I303" s="689"/>
      <c r="J303" s="689"/>
      <c r="K303" s="689"/>
      <c r="L303" s="693"/>
      <c r="M303" s="693"/>
      <c r="N303" s="689"/>
      <c r="O303" s="689"/>
      <c r="P303" s="689"/>
      <c r="Q303" s="693"/>
      <c r="R303" s="693"/>
      <c r="S303" s="689"/>
      <c r="T303" s="694"/>
      <c r="U303" s="694"/>
    </row>
    <row r="304" spans="1:21" x14ac:dyDescent="0.25">
      <c r="A304" s="690"/>
      <c r="B304" s="691" t="s">
        <v>974</v>
      </c>
      <c r="C304" s="690">
        <v>36301</v>
      </c>
      <c r="D304" s="692"/>
      <c r="E304" s="692"/>
      <c r="G304" s="693"/>
      <c r="H304" s="693"/>
      <c r="I304" s="689"/>
      <c r="J304" s="689"/>
      <c r="K304" s="689"/>
      <c r="L304" s="693"/>
      <c r="M304" s="693"/>
      <c r="N304" s="689"/>
      <c r="O304" s="689"/>
      <c r="P304" s="689"/>
      <c r="Q304" s="693"/>
      <c r="R304" s="693"/>
      <c r="S304" s="689"/>
      <c r="T304" s="694"/>
      <c r="U304" s="694"/>
    </row>
    <row r="305" spans="1:21" x14ac:dyDescent="0.25">
      <c r="A305" s="690"/>
      <c r="B305" s="691" t="s">
        <v>779</v>
      </c>
      <c r="C305" s="690">
        <v>10800</v>
      </c>
      <c r="D305" s="692"/>
      <c r="E305" s="692"/>
      <c r="G305" s="693"/>
      <c r="H305" s="693"/>
      <c r="I305" s="689"/>
      <c r="J305" s="689"/>
      <c r="K305" s="689"/>
      <c r="L305" s="693"/>
      <c r="M305" s="693"/>
      <c r="N305" s="689"/>
      <c r="O305" s="689"/>
      <c r="P305" s="689"/>
      <c r="Q305" s="693"/>
      <c r="R305" s="693"/>
      <c r="S305" s="689"/>
      <c r="T305" s="694"/>
      <c r="U305" s="694"/>
    </row>
    <row r="306" spans="1:21" x14ac:dyDescent="0.25">
      <c r="A306" s="690"/>
      <c r="B306" s="691" t="s">
        <v>835</v>
      </c>
      <c r="C306" s="690">
        <v>30105</v>
      </c>
      <c r="D306" s="692"/>
      <c r="E306" s="692"/>
      <c r="G306" s="693"/>
      <c r="H306" s="693"/>
      <c r="I306" s="689"/>
      <c r="J306" s="689"/>
      <c r="K306" s="689"/>
      <c r="L306" s="693"/>
      <c r="M306" s="693"/>
      <c r="N306" s="689"/>
      <c r="O306" s="689"/>
      <c r="P306" s="689"/>
      <c r="Q306" s="693"/>
      <c r="R306" s="693"/>
      <c r="S306" s="689"/>
      <c r="T306" s="694"/>
      <c r="U306" s="694"/>
    </row>
    <row r="307" spans="1:21" x14ac:dyDescent="0.25">
      <c r="A307" s="690"/>
      <c r="B307" s="691" t="s">
        <v>831</v>
      </c>
      <c r="C307" s="690">
        <v>30100</v>
      </c>
      <c r="D307" s="692"/>
      <c r="E307" s="692"/>
      <c r="G307" s="693"/>
      <c r="H307" s="693"/>
      <c r="I307" s="689"/>
      <c r="J307" s="689"/>
      <c r="K307" s="689"/>
      <c r="L307" s="693"/>
      <c r="M307" s="693"/>
      <c r="N307" s="689"/>
      <c r="O307" s="689"/>
      <c r="P307" s="689"/>
      <c r="Q307" s="693"/>
      <c r="R307" s="693"/>
      <c r="S307" s="689"/>
      <c r="T307" s="694"/>
      <c r="U307" s="694"/>
    </row>
    <row r="308" spans="1:21" x14ac:dyDescent="0.25">
      <c r="A308" s="690"/>
      <c r="B308" s="691" t="s">
        <v>836</v>
      </c>
      <c r="C308" s="690">
        <v>30200</v>
      </c>
      <c r="D308" s="692"/>
      <c r="E308" s="692"/>
      <c r="G308" s="693"/>
      <c r="H308" s="693"/>
      <c r="I308" s="689"/>
      <c r="J308" s="689"/>
      <c r="K308" s="689"/>
      <c r="L308" s="693"/>
      <c r="M308" s="693"/>
      <c r="N308" s="689"/>
      <c r="O308" s="689"/>
      <c r="P308" s="689"/>
      <c r="Q308" s="693"/>
      <c r="R308" s="693"/>
      <c r="S308" s="689"/>
      <c r="T308" s="694"/>
      <c r="U308" s="694"/>
    </row>
    <row r="309" spans="1:21" x14ac:dyDescent="0.25">
      <c r="A309" s="690"/>
      <c r="B309" s="691" t="s">
        <v>837</v>
      </c>
      <c r="C309" s="690">
        <v>30300</v>
      </c>
      <c r="D309" s="692"/>
      <c r="E309" s="692"/>
      <c r="G309" s="693"/>
      <c r="H309" s="693"/>
      <c r="I309" s="689"/>
      <c r="J309" s="689"/>
      <c r="K309" s="689"/>
      <c r="L309" s="693"/>
      <c r="M309" s="693"/>
      <c r="N309" s="689"/>
      <c r="O309" s="689"/>
      <c r="P309" s="689"/>
      <c r="Q309" s="693"/>
      <c r="R309" s="693"/>
      <c r="S309" s="689"/>
      <c r="T309" s="694"/>
      <c r="U309" s="694"/>
    </row>
    <row r="310" spans="1:21" x14ac:dyDescent="0.25">
      <c r="A310" s="690"/>
      <c r="B310" s="691" t="s">
        <v>1536</v>
      </c>
      <c r="C310" s="690">
        <v>34901</v>
      </c>
      <c r="D310" s="692"/>
      <c r="E310" s="692"/>
      <c r="G310" s="693"/>
      <c r="H310" s="693"/>
      <c r="I310" s="689"/>
      <c r="J310" s="689"/>
      <c r="K310" s="689"/>
      <c r="L310" s="693"/>
      <c r="M310" s="693"/>
      <c r="N310" s="689"/>
      <c r="O310" s="689"/>
      <c r="P310" s="689"/>
      <c r="Q310" s="693"/>
      <c r="R310" s="693"/>
      <c r="S310" s="689"/>
      <c r="T310" s="694"/>
      <c r="U310" s="694"/>
    </row>
    <row r="311" spans="1:21" x14ac:dyDescent="0.25">
      <c r="B311" s="691" t="s">
        <v>838</v>
      </c>
      <c r="C311" s="690">
        <v>30400</v>
      </c>
    </row>
    <row r="312" spans="1:21" s="696" customFormat="1" x14ac:dyDescent="0.25">
      <c r="B312" s="691" t="s">
        <v>810</v>
      </c>
      <c r="C312" s="690">
        <v>20100</v>
      </c>
      <c r="F312" s="683"/>
    </row>
    <row r="313" spans="1:21" x14ac:dyDescent="0.25">
      <c r="B313" s="691" t="s">
        <v>993</v>
      </c>
      <c r="C313" s="690">
        <v>36901</v>
      </c>
    </row>
    <row r="314" spans="1:21" x14ac:dyDescent="0.25">
      <c r="B314" s="691" t="s">
        <v>907</v>
      </c>
      <c r="C314" s="690">
        <v>33402</v>
      </c>
    </row>
    <row r="315" spans="1:21" x14ac:dyDescent="0.25">
      <c r="B315" s="691" t="s">
        <v>840</v>
      </c>
      <c r="C315" s="690">
        <v>30500</v>
      </c>
    </row>
    <row r="316" spans="1:21" x14ac:dyDescent="0.25">
      <c r="B316" s="691" t="s">
        <v>1008</v>
      </c>
      <c r="C316" s="690">
        <v>37610</v>
      </c>
    </row>
    <row r="317" spans="1:21" x14ac:dyDescent="0.25">
      <c r="B317" s="691" t="s">
        <v>854</v>
      </c>
      <c r="C317" s="690">
        <v>31110</v>
      </c>
    </row>
    <row r="318" spans="1:21" x14ac:dyDescent="0.25">
      <c r="B318" s="691" t="s">
        <v>853</v>
      </c>
      <c r="C318" s="690">
        <v>31105</v>
      </c>
    </row>
    <row r="319" spans="1:21" x14ac:dyDescent="0.25">
      <c r="B319" s="691" t="s">
        <v>841</v>
      </c>
      <c r="C319" s="690">
        <v>30600</v>
      </c>
    </row>
    <row r="320" spans="1:21" x14ac:dyDescent="0.25">
      <c r="B320" s="691" t="s">
        <v>802</v>
      </c>
      <c r="C320" s="690">
        <v>18600</v>
      </c>
    </row>
    <row r="321" spans="2:3" x14ac:dyDescent="0.25">
      <c r="B321" s="691" t="s">
        <v>903</v>
      </c>
      <c r="C321" s="690">
        <v>33206</v>
      </c>
    </row>
    <row r="322" spans="2:3" x14ac:dyDescent="0.25">
      <c r="B322" s="691" t="s">
        <v>844</v>
      </c>
      <c r="C322" s="690">
        <v>30705</v>
      </c>
    </row>
    <row r="323" spans="2:3" x14ac:dyDescent="0.25">
      <c r="B323" s="691" t="s">
        <v>843</v>
      </c>
      <c r="C323" s="690">
        <v>30700</v>
      </c>
    </row>
    <row r="324" spans="2:3" x14ac:dyDescent="0.25">
      <c r="B324" s="691" t="s">
        <v>845</v>
      </c>
      <c r="C324" s="690">
        <v>30800</v>
      </c>
    </row>
    <row r="325" spans="2:3" x14ac:dyDescent="0.25">
      <c r="B325" s="691" t="s">
        <v>1015</v>
      </c>
      <c r="C325" s="690">
        <v>37901</v>
      </c>
    </row>
    <row r="326" spans="2:3" x14ac:dyDescent="0.25">
      <c r="B326" s="691" t="s">
        <v>847</v>
      </c>
      <c r="C326" s="690">
        <v>30905</v>
      </c>
    </row>
    <row r="327" spans="2:3" x14ac:dyDescent="0.25">
      <c r="B327" s="691" t="s">
        <v>846</v>
      </c>
      <c r="C327" s="690">
        <v>30900</v>
      </c>
    </row>
    <row r="328" spans="2:3" x14ac:dyDescent="0.25">
      <c r="B328" s="691" t="s">
        <v>929</v>
      </c>
      <c r="C328" s="690">
        <v>34505</v>
      </c>
    </row>
    <row r="329" spans="2:3" x14ac:dyDescent="0.25">
      <c r="B329" s="691" t="s">
        <v>1038</v>
      </c>
      <c r="C329" s="690">
        <v>38801</v>
      </c>
    </row>
    <row r="330" spans="2:3" x14ac:dyDescent="0.25">
      <c r="B330" s="691" t="s">
        <v>1030</v>
      </c>
      <c r="C330" s="690">
        <v>38601</v>
      </c>
    </row>
    <row r="331" spans="2:3" x14ac:dyDescent="0.25">
      <c r="B331" s="691" t="s">
        <v>849</v>
      </c>
      <c r="C331" s="690">
        <v>31005</v>
      </c>
    </row>
    <row r="332" spans="2:3" x14ac:dyDescent="0.25">
      <c r="B332" s="691" t="s">
        <v>848</v>
      </c>
      <c r="C332" s="690">
        <v>31000</v>
      </c>
    </row>
    <row r="333" spans="2:3" x14ac:dyDescent="0.25">
      <c r="B333" s="691" t="s">
        <v>850</v>
      </c>
      <c r="C333" s="690">
        <v>31100</v>
      </c>
    </row>
    <row r="334" spans="2:3" x14ac:dyDescent="0.25">
      <c r="B334" s="691" t="s">
        <v>855</v>
      </c>
      <c r="C334" s="690">
        <v>31200</v>
      </c>
    </row>
    <row r="335" spans="2:3" x14ac:dyDescent="0.25">
      <c r="B335" s="691" t="s">
        <v>857</v>
      </c>
      <c r="C335" s="690">
        <v>31300</v>
      </c>
    </row>
    <row r="336" spans="2:3" x14ac:dyDescent="0.25">
      <c r="B336" s="691" t="s">
        <v>861</v>
      </c>
      <c r="C336" s="690">
        <v>31405</v>
      </c>
    </row>
    <row r="337" spans="2:3" x14ac:dyDescent="0.25">
      <c r="B337" s="691" t="s">
        <v>860</v>
      </c>
      <c r="C337" s="690">
        <v>31400</v>
      </c>
    </row>
    <row r="338" spans="2:3" x14ac:dyDescent="0.25">
      <c r="B338" s="691" t="s">
        <v>862</v>
      </c>
      <c r="C338" s="690">
        <v>31500</v>
      </c>
    </row>
    <row r="339" spans="2:3" x14ac:dyDescent="0.25">
      <c r="B339" s="691" t="s">
        <v>982</v>
      </c>
      <c r="C339" s="690">
        <v>36505</v>
      </c>
    </row>
    <row r="340" spans="2:3" x14ac:dyDescent="0.25">
      <c r="B340" s="691" t="s">
        <v>980</v>
      </c>
      <c r="C340" s="690">
        <v>36501</v>
      </c>
    </row>
    <row r="341" spans="2:3" x14ac:dyDescent="0.25">
      <c r="B341" s="691" t="s">
        <v>858</v>
      </c>
      <c r="C341" s="690">
        <v>31301</v>
      </c>
    </row>
    <row r="342" spans="2:3" x14ac:dyDescent="0.25">
      <c r="B342" s="691" t="s">
        <v>865</v>
      </c>
      <c r="C342" s="690">
        <v>31605</v>
      </c>
    </row>
    <row r="343" spans="2:3" x14ac:dyDescent="0.25">
      <c r="B343" s="691" t="s">
        <v>863</v>
      </c>
      <c r="C343" s="690">
        <v>31600</v>
      </c>
    </row>
    <row r="344" spans="2:3" x14ac:dyDescent="0.25">
      <c r="B344" s="691" t="s">
        <v>1049</v>
      </c>
      <c r="C344" s="690">
        <v>39209</v>
      </c>
    </row>
    <row r="345" spans="2:3" x14ac:dyDescent="0.25">
      <c r="B345" s="691" t="s">
        <v>866</v>
      </c>
      <c r="C345" s="690">
        <v>31700</v>
      </c>
    </row>
    <row r="346" spans="2:3" x14ac:dyDescent="0.25">
      <c r="B346" s="691" t="s">
        <v>867</v>
      </c>
      <c r="C346" s="690">
        <v>31800</v>
      </c>
    </row>
    <row r="347" spans="2:3" x14ac:dyDescent="0.25">
      <c r="B347" s="691" t="s">
        <v>868</v>
      </c>
      <c r="C347" s="690">
        <v>31805</v>
      </c>
    </row>
    <row r="348" spans="2:3" x14ac:dyDescent="0.25">
      <c r="B348" s="691" t="s">
        <v>946</v>
      </c>
      <c r="C348" s="690">
        <v>35305</v>
      </c>
    </row>
    <row r="349" spans="2:3" x14ac:dyDescent="0.25">
      <c r="B349" s="691" t="s">
        <v>899</v>
      </c>
      <c r="C349" s="690">
        <v>33202</v>
      </c>
    </row>
    <row r="350" spans="2:3" x14ac:dyDescent="0.25">
      <c r="B350" s="691" t="s">
        <v>963</v>
      </c>
      <c r="C350" s="690">
        <v>36005</v>
      </c>
    </row>
    <row r="351" spans="2:3" x14ac:dyDescent="0.25">
      <c r="B351" s="691" t="s">
        <v>1541</v>
      </c>
      <c r="C351" s="690">
        <v>36810</v>
      </c>
    </row>
    <row r="352" spans="2:3" x14ac:dyDescent="0.25">
      <c r="B352" s="691" t="s">
        <v>967</v>
      </c>
      <c r="C352" s="690">
        <v>36009</v>
      </c>
    </row>
    <row r="353" spans="2:3" x14ac:dyDescent="0.25">
      <c r="B353" s="691" t="s">
        <v>958</v>
      </c>
      <c r="C353" s="690">
        <v>36000</v>
      </c>
    </row>
    <row r="354" spans="2:3" x14ac:dyDescent="0.25">
      <c r="B354" s="691" t="s">
        <v>871</v>
      </c>
      <c r="C354" s="690">
        <v>31900</v>
      </c>
    </row>
    <row r="355" spans="2:3" x14ac:dyDescent="0.25">
      <c r="B355" s="691" t="s">
        <v>872</v>
      </c>
      <c r="C355" s="690">
        <v>32000</v>
      </c>
    </row>
    <row r="356" spans="2:3" x14ac:dyDescent="0.25">
      <c r="B356" s="691" t="s">
        <v>948</v>
      </c>
      <c r="C356" s="690">
        <v>35401</v>
      </c>
    </row>
    <row r="357" spans="2:3" x14ac:dyDescent="0.25">
      <c r="B357" s="691" t="s">
        <v>875</v>
      </c>
      <c r="C357" s="690">
        <v>32200</v>
      </c>
    </row>
    <row r="358" spans="2:3" x14ac:dyDescent="0.25">
      <c r="B358" s="691" t="s">
        <v>1532</v>
      </c>
      <c r="C358" s="690">
        <v>32305</v>
      </c>
    </row>
    <row r="359" spans="2:3" x14ac:dyDescent="0.25">
      <c r="B359" s="691" t="s">
        <v>876</v>
      </c>
      <c r="C359" s="690">
        <v>32300</v>
      </c>
    </row>
    <row r="360" spans="2:3" x14ac:dyDescent="0.25">
      <c r="B360" s="691" t="s">
        <v>1023</v>
      </c>
      <c r="C360" s="690">
        <v>38210</v>
      </c>
    </row>
    <row r="361" spans="2:3" x14ac:dyDescent="0.25">
      <c r="B361" s="691" t="s">
        <v>832</v>
      </c>
      <c r="C361" s="690">
        <v>30102</v>
      </c>
    </row>
    <row r="362" spans="2:3" x14ac:dyDescent="0.25">
      <c r="B362" s="691" t="s">
        <v>987</v>
      </c>
      <c r="C362" s="690">
        <v>36705</v>
      </c>
    </row>
    <row r="363" spans="2:3" x14ac:dyDescent="0.25">
      <c r="B363" s="691" t="s">
        <v>996</v>
      </c>
      <c r="C363" s="690">
        <v>37005</v>
      </c>
    </row>
    <row r="364" spans="2:3" x14ac:dyDescent="0.25">
      <c r="B364" s="691" t="s">
        <v>878</v>
      </c>
      <c r="C364" s="690">
        <v>32400</v>
      </c>
    </row>
    <row r="365" spans="2:3" x14ac:dyDescent="0.25">
      <c r="B365" s="691" t="s">
        <v>959</v>
      </c>
      <c r="C365" s="690">
        <v>36001</v>
      </c>
    </row>
    <row r="366" spans="2:3" x14ac:dyDescent="0.25">
      <c r="B366" s="691" t="s">
        <v>808</v>
      </c>
      <c r="C366" s="690">
        <v>19005</v>
      </c>
    </row>
    <row r="367" spans="2:3" x14ac:dyDescent="0.25">
      <c r="B367" s="691" t="s">
        <v>961</v>
      </c>
      <c r="C367" s="690">
        <v>36003</v>
      </c>
    </row>
    <row r="368" spans="2:3" x14ac:dyDescent="0.25">
      <c r="B368" s="691" t="s">
        <v>895</v>
      </c>
      <c r="C368" s="690">
        <v>33027</v>
      </c>
    </row>
    <row r="369" spans="2:3" x14ac:dyDescent="0.25">
      <c r="B369" s="691" t="s">
        <v>1538</v>
      </c>
      <c r="C369" s="690">
        <v>36004</v>
      </c>
    </row>
    <row r="370" spans="2:3" x14ac:dyDescent="0.25">
      <c r="B370" s="691" t="s">
        <v>883</v>
      </c>
      <c r="C370" s="690">
        <v>32505</v>
      </c>
    </row>
    <row r="371" spans="2:3" x14ac:dyDescent="0.25">
      <c r="B371" s="691" t="s">
        <v>884</v>
      </c>
      <c r="C371" s="690">
        <v>32600</v>
      </c>
    </row>
    <row r="372" spans="2:3" x14ac:dyDescent="0.25">
      <c r="B372" s="691" t="s">
        <v>886</v>
      </c>
      <c r="C372" s="690">
        <v>32700</v>
      </c>
    </row>
    <row r="373" spans="2:3" x14ac:dyDescent="0.25">
      <c r="B373" s="691" t="s">
        <v>887</v>
      </c>
      <c r="C373" s="690">
        <v>32800</v>
      </c>
    </row>
    <row r="374" spans="2:3" x14ac:dyDescent="0.25">
      <c r="B374" s="691" t="s">
        <v>890</v>
      </c>
      <c r="C374" s="690">
        <v>32905</v>
      </c>
    </row>
    <row r="375" spans="2:3" x14ac:dyDescent="0.25">
      <c r="B375" s="691" t="s">
        <v>888</v>
      </c>
      <c r="C375" s="690">
        <v>32900</v>
      </c>
    </row>
    <row r="376" spans="2:3" x14ac:dyDescent="0.25">
      <c r="B376" s="691" t="s">
        <v>893</v>
      </c>
      <c r="C376" s="690">
        <v>33000</v>
      </c>
    </row>
    <row r="377" spans="2:3" x14ac:dyDescent="0.25">
      <c r="B377" s="691" t="s">
        <v>781</v>
      </c>
      <c r="C377" s="690">
        <v>10900</v>
      </c>
    </row>
    <row r="378" spans="2:3" x14ac:dyDescent="0.25">
      <c r="B378" s="691" t="s">
        <v>794</v>
      </c>
      <c r="C378" s="690">
        <v>12510</v>
      </c>
    </row>
    <row r="379" spans="2:3" x14ac:dyDescent="0.25">
      <c r="B379" s="691" t="s">
        <v>776</v>
      </c>
      <c r="C379" s="690">
        <v>10400</v>
      </c>
    </row>
    <row r="380" spans="2:3" x14ac:dyDescent="0.25">
      <c r="B380" s="691" t="s">
        <v>1528</v>
      </c>
      <c r="C380" s="690">
        <v>10700</v>
      </c>
    </row>
    <row r="381" spans="2:3" x14ac:dyDescent="0.25">
      <c r="B381" s="691" t="s">
        <v>826</v>
      </c>
      <c r="C381" s="690">
        <v>22000</v>
      </c>
    </row>
    <row r="382" spans="2:3" x14ac:dyDescent="0.25">
      <c r="B382" s="691" t="s">
        <v>809</v>
      </c>
      <c r="C382" s="690">
        <v>19100</v>
      </c>
    </row>
    <row r="383" spans="2:3" x14ac:dyDescent="0.25">
      <c r="B383" s="691" t="s">
        <v>1530</v>
      </c>
      <c r="C383" s="690">
        <v>18400</v>
      </c>
    </row>
    <row r="384" spans="2:3" x14ac:dyDescent="0.25">
      <c r="B384" s="691" t="s">
        <v>896</v>
      </c>
      <c r="C384" s="690">
        <v>33100</v>
      </c>
    </row>
    <row r="385" spans="2:3" x14ac:dyDescent="0.25">
      <c r="B385" s="691" t="s">
        <v>898</v>
      </c>
      <c r="C385" s="690">
        <v>33200</v>
      </c>
    </row>
    <row r="386" spans="2:3" x14ac:dyDescent="0.25">
      <c r="B386" s="691" t="s">
        <v>902</v>
      </c>
      <c r="C386" s="690">
        <v>33205</v>
      </c>
    </row>
    <row r="387" spans="2:3" x14ac:dyDescent="0.25">
      <c r="B387" s="691" t="s">
        <v>812</v>
      </c>
      <c r="C387" s="690">
        <v>20300</v>
      </c>
    </row>
    <row r="388" spans="2:3" x14ac:dyDescent="0.25">
      <c r="B388" s="691" t="s">
        <v>1543</v>
      </c>
      <c r="C388" s="690">
        <v>39208</v>
      </c>
    </row>
    <row r="389" spans="2:3" x14ac:dyDescent="0.25">
      <c r="B389" s="691" t="s">
        <v>874</v>
      </c>
      <c r="C389" s="690">
        <v>32100</v>
      </c>
    </row>
    <row r="390" spans="2:3" x14ac:dyDescent="0.25">
      <c r="B390" s="691" t="s">
        <v>904</v>
      </c>
      <c r="C390" s="690">
        <v>33300</v>
      </c>
    </row>
    <row r="391" spans="2:3" x14ac:dyDescent="0.25">
      <c r="B391" s="691" t="s">
        <v>905</v>
      </c>
      <c r="C391" s="690">
        <v>33305</v>
      </c>
    </row>
    <row r="392" spans="2:3" x14ac:dyDescent="0.25">
      <c r="B392" s="691" t="s">
        <v>995</v>
      </c>
      <c r="C392" s="690">
        <v>37000</v>
      </c>
    </row>
    <row r="393" spans="2:3" x14ac:dyDescent="0.25">
      <c r="B393" s="691" t="s">
        <v>813</v>
      </c>
      <c r="C393" s="690">
        <v>20400</v>
      </c>
    </row>
    <row r="394" spans="2:3" x14ac:dyDescent="0.25">
      <c r="B394" s="691" t="s">
        <v>1034</v>
      </c>
      <c r="C394" s="690">
        <v>38620</v>
      </c>
    </row>
    <row r="395" spans="2:3" x14ac:dyDescent="0.25">
      <c r="B395" s="691" t="s">
        <v>1045</v>
      </c>
      <c r="C395" s="690">
        <v>39201</v>
      </c>
    </row>
    <row r="396" spans="2:3" x14ac:dyDescent="0.25">
      <c r="B396" s="691" t="s">
        <v>786</v>
      </c>
      <c r="C396" s="690">
        <v>11300</v>
      </c>
    </row>
    <row r="397" spans="2:3" x14ac:dyDescent="0.25">
      <c r="B397" s="691" t="s">
        <v>852</v>
      </c>
      <c r="C397" s="690">
        <v>31102</v>
      </c>
    </row>
    <row r="398" spans="2:3" x14ac:dyDescent="0.25">
      <c r="B398" s="691" t="s">
        <v>851</v>
      </c>
      <c r="C398" s="690">
        <v>31101</v>
      </c>
    </row>
    <row r="399" spans="2:3" x14ac:dyDescent="0.25">
      <c r="B399" s="691" t="s">
        <v>814</v>
      </c>
      <c r="C399" s="690">
        <v>20600</v>
      </c>
    </row>
    <row r="400" spans="2:3" x14ac:dyDescent="0.25">
      <c r="B400" s="691" t="s">
        <v>885</v>
      </c>
      <c r="C400" s="690">
        <v>32605</v>
      </c>
    </row>
    <row r="401" spans="2:3" x14ac:dyDescent="0.25">
      <c r="B401" s="691" t="s">
        <v>1539</v>
      </c>
      <c r="C401" s="690">
        <v>36310</v>
      </c>
    </row>
    <row r="402" spans="2:3" x14ac:dyDescent="0.25">
      <c r="B402" s="691" t="s">
        <v>909</v>
      </c>
      <c r="C402" s="690">
        <v>33405</v>
      </c>
    </row>
    <row r="403" spans="2:3" x14ac:dyDescent="0.25">
      <c r="B403" s="691" t="s">
        <v>910</v>
      </c>
      <c r="C403" s="690">
        <v>33500</v>
      </c>
    </row>
    <row r="404" spans="2:3" x14ac:dyDescent="0.25">
      <c r="B404" s="691" t="s">
        <v>913</v>
      </c>
      <c r="C404" s="690">
        <v>33605</v>
      </c>
    </row>
    <row r="405" spans="2:3" x14ac:dyDescent="0.25">
      <c r="B405" s="691" t="s">
        <v>984</v>
      </c>
      <c r="C405" s="690">
        <v>36601</v>
      </c>
    </row>
    <row r="406" spans="2:3" x14ac:dyDescent="0.25">
      <c r="B406" s="691" t="s">
        <v>912</v>
      </c>
      <c r="C406" s="690">
        <v>33600</v>
      </c>
    </row>
    <row r="407" spans="2:3" x14ac:dyDescent="0.25">
      <c r="B407" s="691" t="s">
        <v>914</v>
      </c>
      <c r="C407" s="690">
        <v>33700</v>
      </c>
    </row>
    <row r="408" spans="2:3" x14ac:dyDescent="0.25">
      <c r="B408" s="691" t="s">
        <v>792</v>
      </c>
      <c r="C408" s="690">
        <v>12160</v>
      </c>
    </row>
    <row r="409" spans="2:3" x14ac:dyDescent="0.25">
      <c r="B409" s="691" t="s">
        <v>790</v>
      </c>
      <c r="C409" s="690">
        <v>12100</v>
      </c>
    </row>
    <row r="410" spans="2:3" x14ac:dyDescent="0.25">
      <c r="B410" s="691" t="s">
        <v>915</v>
      </c>
      <c r="C410" s="690">
        <v>33800</v>
      </c>
    </row>
    <row r="411" spans="2:3" x14ac:dyDescent="0.25">
      <c r="B411" s="691" t="s">
        <v>842</v>
      </c>
      <c r="C411" s="690">
        <v>30601</v>
      </c>
    </row>
    <row r="412" spans="2:3" x14ac:dyDescent="0.25">
      <c r="B412" s="691" t="s">
        <v>916</v>
      </c>
      <c r="C412" s="690">
        <v>33900</v>
      </c>
    </row>
    <row r="413" spans="2:3" x14ac:dyDescent="0.25">
      <c r="B413" s="691" t="s">
        <v>1026</v>
      </c>
      <c r="C413" s="690">
        <v>38402</v>
      </c>
    </row>
    <row r="414" spans="2:3" x14ac:dyDescent="0.25">
      <c r="B414" s="691" t="s">
        <v>917</v>
      </c>
      <c r="C414" s="690">
        <v>34000</v>
      </c>
    </row>
    <row r="415" spans="2:3" x14ac:dyDescent="0.25">
      <c r="B415" s="691" t="s">
        <v>918</v>
      </c>
      <c r="C415" s="695">
        <v>34100</v>
      </c>
    </row>
    <row r="416" spans="2:3" x14ac:dyDescent="0.25">
      <c r="B416" s="691" t="s">
        <v>919</v>
      </c>
      <c r="C416" s="695">
        <v>34105</v>
      </c>
    </row>
    <row r="417" spans="2:3" x14ac:dyDescent="0.25">
      <c r="B417" s="691" t="s">
        <v>921</v>
      </c>
      <c r="C417" s="690">
        <v>34205</v>
      </c>
    </row>
    <row r="418" spans="2:3" x14ac:dyDescent="0.25">
      <c r="B418" s="691" t="s">
        <v>920</v>
      </c>
      <c r="C418" s="695">
        <v>34200</v>
      </c>
    </row>
    <row r="419" spans="2:3" x14ac:dyDescent="0.25">
      <c r="B419" s="691" t="s">
        <v>1051</v>
      </c>
      <c r="C419" s="690">
        <v>39301</v>
      </c>
    </row>
    <row r="420" spans="2:3" x14ac:dyDescent="0.25">
      <c r="B420" s="691" t="s">
        <v>924</v>
      </c>
      <c r="C420" s="690">
        <v>34300</v>
      </c>
    </row>
    <row r="421" spans="2:3" x14ac:dyDescent="0.25">
      <c r="B421" s="691" t="s">
        <v>925</v>
      </c>
      <c r="C421" s="690">
        <v>34400</v>
      </c>
    </row>
    <row r="422" spans="2:3" x14ac:dyDescent="0.25">
      <c r="B422" s="691" t="s">
        <v>926</v>
      </c>
      <c r="C422" s="690">
        <v>34405</v>
      </c>
    </row>
    <row r="423" spans="2:3" x14ac:dyDescent="0.25">
      <c r="B423" s="691" t="s">
        <v>793</v>
      </c>
      <c r="C423" s="690">
        <v>12220</v>
      </c>
    </row>
    <row r="424" spans="2:3" x14ac:dyDescent="0.25">
      <c r="B424" s="691" t="s">
        <v>900</v>
      </c>
      <c r="C424" s="690">
        <v>33203</v>
      </c>
    </row>
    <row r="425" spans="2:3" x14ac:dyDescent="0.25">
      <c r="B425" s="691" t="s">
        <v>1053</v>
      </c>
      <c r="C425" s="690">
        <v>39401</v>
      </c>
    </row>
    <row r="426" spans="2:3" x14ac:dyDescent="0.25">
      <c r="B426" s="691" t="s">
        <v>927</v>
      </c>
      <c r="C426" s="690">
        <v>34500</v>
      </c>
    </row>
    <row r="427" spans="2:3" x14ac:dyDescent="0.25">
      <c r="B427" s="691" t="s">
        <v>930</v>
      </c>
      <c r="C427" s="690">
        <v>34600</v>
      </c>
    </row>
    <row r="428" spans="2:3" x14ac:dyDescent="0.25">
      <c r="B428" s="691" t="s">
        <v>869</v>
      </c>
      <c r="C428" s="690">
        <v>31810</v>
      </c>
    </row>
    <row r="429" spans="2:3" x14ac:dyDescent="0.25">
      <c r="B429" s="691" t="s">
        <v>1152</v>
      </c>
      <c r="C429" s="690">
        <v>51000.2</v>
      </c>
    </row>
    <row r="430" spans="2:3" x14ac:dyDescent="0.25">
      <c r="B430" s="691" t="s">
        <v>1153</v>
      </c>
      <c r="C430" s="690">
        <v>51000.3</v>
      </c>
    </row>
    <row r="431" spans="2:3" x14ac:dyDescent="0.25">
      <c r="B431" s="691" t="s">
        <v>1151</v>
      </c>
      <c r="C431" s="690">
        <v>51000</v>
      </c>
    </row>
    <row r="432" spans="2:3" x14ac:dyDescent="0.25">
      <c r="B432" s="691" t="s">
        <v>932</v>
      </c>
      <c r="C432" s="690">
        <v>34700</v>
      </c>
    </row>
    <row r="433" spans="2:3" x14ac:dyDescent="0.25">
      <c r="B433" s="691" t="s">
        <v>933</v>
      </c>
      <c r="C433" s="690">
        <v>34800</v>
      </c>
    </row>
    <row r="434" spans="2:3" x14ac:dyDescent="0.25">
      <c r="B434" s="691" t="s">
        <v>783</v>
      </c>
      <c r="C434" s="690">
        <v>10930</v>
      </c>
    </row>
    <row r="435" spans="2:3" x14ac:dyDescent="0.25">
      <c r="B435" s="691" t="s">
        <v>795</v>
      </c>
      <c r="C435" s="690">
        <v>12600</v>
      </c>
    </row>
    <row r="436" spans="2:3" x14ac:dyDescent="0.25">
      <c r="B436" s="691" t="s">
        <v>1117</v>
      </c>
      <c r="C436" s="690">
        <v>33207</v>
      </c>
    </row>
    <row r="437" spans="2:3" x14ac:dyDescent="0.25">
      <c r="B437" s="691" t="s">
        <v>1534</v>
      </c>
      <c r="C437" s="690">
        <v>32901</v>
      </c>
    </row>
    <row r="438" spans="2:3" x14ac:dyDescent="0.25">
      <c r="B438" s="691" t="s">
        <v>1535</v>
      </c>
      <c r="C438" s="690">
        <v>34900</v>
      </c>
    </row>
    <row r="439" spans="2:3" x14ac:dyDescent="0.25">
      <c r="B439" s="691" t="s">
        <v>1020</v>
      </c>
      <c r="C439" s="690">
        <v>38105</v>
      </c>
    </row>
    <row r="440" spans="2:3" x14ac:dyDescent="0.25">
      <c r="B440" s="691" t="s">
        <v>939</v>
      </c>
      <c r="C440" s="690">
        <v>35000</v>
      </c>
    </row>
    <row r="441" spans="2:3" x14ac:dyDescent="0.25">
      <c r="B441" s="691" t="s">
        <v>897</v>
      </c>
      <c r="C441" s="690">
        <v>33105</v>
      </c>
    </row>
    <row r="442" spans="2:3" x14ac:dyDescent="0.25">
      <c r="B442" s="691" t="s">
        <v>941</v>
      </c>
      <c r="C442" s="690">
        <v>35100</v>
      </c>
    </row>
    <row r="443" spans="2:3" x14ac:dyDescent="0.25">
      <c r="B443" s="691" t="s">
        <v>942</v>
      </c>
      <c r="C443" s="690">
        <v>35105</v>
      </c>
    </row>
    <row r="444" spans="2:3" x14ac:dyDescent="0.25">
      <c r="B444" s="691" t="s">
        <v>944</v>
      </c>
      <c r="C444" s="690">
        <v>35200</v>
      </c>
    </row>
    <row r="445" spans="2:3" x14ac:dyDescent="0.25">
      <c r="B445" s="691" t="s">
        <v>859</v>
      </c>
      <c r="C445" s="690">
        <v>31320</v>
      </c>
    </row>
    <row r="446" spans="2:3" x14ac:dyDescent="0.25">
      <c r="B446" s="691" t="s">
        <v>960</v>
      </c>
      <c r="C446" s="690">
        <v>36002</v>
      </c>
    </row>
    <row r="447" spans="2:3" x14ac:dyDescent="0.25">
      <c r="B447" s="691" t="s">
        <v>969</v>
      </c>
      <c r="C447" s="690">
        <v>36102</v>
      </c>
    </row>
    <row r="448" spans="2:3" x14ac:dyDescent="0.25">
      <c r="B448" s="691" t="s">
        <v>1118</v>
      </c>
      <c r="C448" s="690">
        <v>33208</v>
      </c>
    </row>
    <row r="449" spans="2:3" x14ac:dyDescent="0.25">
      <c r="B449" s="691" t="s">
        <v>796</v>
      </c>
      <c r="C449" s="690">
        <v>12700</v>
      </c>
    </row>
    <row r="450" spans="2:3" x14ac:dyDescent="0.25">
      <c r="B450" s="691" t="s">
        <v>964</v>
      </c>
      <c r="C450" s="690">
        <v>36006</v>
      </c>
    </row>
    <row r="451" spans="2:3" x14ac:dyDescent="0.25">
      <c r="B451" s="691" t="s">
        <v>1537</v>
      </c>
      <c r="C451" s="690">
        <v>35300</v>
      </c>
    </row>
    <row r="452" spans="2:3" x14ac:dyDescent="0.25">
      <c r="B452" s="691" t="s">
        <v>950</v>
      </c>
      <c r="C452" s="690">
        <v>35405</v>
      </c>
    </row>
    <row r="453" spans="2:3" x14ac:dyDescent="0.25">
      <c r="B453" s="691" t="s">
        <v>947</v>
      </c>
      <c r="C453" s="690">
        <v>35400</v>
      </c>
    </row>
    <row r="454" spans="2:3" x14ac:dyDescent="0.25">
      <c r="B454" s="691" t="s">
        <v>891</v>
      </c>
      <c r="C454" s="690">
        <v>32910</v>
      </c>
    </row>
    <row r="455" spans="2:3" x14ac:dyDescent="0.25">
      <c r="B455" s="691" t="s">
        <v>951</v>
      </c>
      <c r="C455" s="690">
        <v>35500</v>
      </c>
    </row>
    <row r="456" spans="2:3" x14ac:dyDescent="0.25">
      <c r="B456" s="691" t="s">
        <v>791</v>
      </c>
      <c r="C456" s="690">
        <v>12150</v>
      </c>
    </row>
    <row r="457" spans="2:3" x14ac:dyDescent="0.25">
      <c r="B457" s="691" t="s">
        <v>952</v>
      </c>
      <c r="C457" s="690">
        <v>35600</v>
      </c>
    </row>
    <row r="458" spans="2:3" x14ac:dyDescent="0.25">
      <c r="B458" s="691" t="s">
        <v>953</v>
      </c>
      <c r="C458" s="690">
        <v>35700</v>
      </c>
    </row>
    <row r="459" spans="2:3" x14ac:dyDescent="0.25">
      <c r="B459" s="691" t="s">
        <v>955</v>
      </c>
      <c r="C459" s="690">
        <v>35805</v>
      </c>
    </row>
    <row r="460" spans="2:3" x14ac:dyDescent="0.25">
      <c r="B460" s="691" t="s">
        <v>954</v>
      </c>
      <c r="C460" s="690">
        <v>35800</v>
      </c>
    </row>
    <row r="461" spans="2:3" x14ac:dyDescent="0.25">
      <c r="B461" s="691" t="s">
        <v>970</v>
      </c>
      <c r="C461" s="690">
        <v>36105</v>
      </c>
    </row>
    <row r="462" spans="2:3" x14ac:dyDescent="0.25">
      <c r="B462" s="691" t="s">
        <v>956</v>
      </c>
      <c r="C462" s="690">
        <v>35900</v>
      </c>
    </row>
    <row r="463" spans="2:3" x14ac:dyDescent="0.25">
      <c r="B463" s="691" t="s">
        <v>957</v>
      </c>
      <c r="C463" s="690">
        <v>35905</v>
      </c>
    </row>
    <row r="464" spans="2:3" x14ac:dyDescent="0.25">
      <c r="B464" s="691" t="s">
        <v>1031</v>
      </c>
      <c r="C464" s="690">
        <v>38602</v>
      </c>
    </row>
    <row r="465" spans="2:3" x14ac:dyDescent="0.25">
      <c r="B465" s="691" t="s">
        <v>937</v>
      </c>
      <c r="C465" s="690">
        <v>34905</v>
      </c>
    </row>
    <row r="466" spans="2:3" x14ac:dyDescent="0.25">
      <c r="B466" s="691" t="s">
        <v>968</v>
      </c>
      <c r="C466" s="690">
        <v>36100</v>
      </c>
    </row>
    <row r="467" spans="2:3" x14ac:dyDescent="0.25">
      <c r="B467" s="691" t="s">
        <v>972</v>
      </c>
      <c r="C467" s="690">
        <v>36205</v>
      </c>
    </row>
    <row r="468" spans="2:3" x14ac:dyDescent="0.25">
      <c r="B468" s="691" t="s">
        <v>971</v>
      </c>
      <c r="C468" s="690">
        <v>36200</v>
      </c>
    </row>
    <row r="469" spans="2:3" x14ac:dyDescent="0.25">
      <c r="B469" s="691" t="s">
        <v>973</v>
      </c>
      <c r="C469" s="690">
        <v>36300</v>
      </c>
    </row>
    <row r="470" spans="2:3" x14ac:dyDescent="0.25">
      <c r="B470" s="691" t="s">
        <v>938</v>
      </c>
      <c r="C470" s="690">
        <v>34910</v>
      </c>
    </row>
    <row r="471" spans="2:3" x14ac:dyDescent="0.25">
      <c r="B471" s="691" t="s">
        <v>1033</v>
      </c>
      <c r="C471" s="690">
        <v>38610</v>
      </c>
    </row>
    <row r="472" spans="2:3" x14ac:dyDescent="0.25">
      <c r="B472" s="691" t="s">
        <v>928</v>
      </c>
      <c r="C472" s="690">
        <v>34501</v>
      </c>
    </row>
    <row r="473" spans="2:3" x14ac:dyDescent="0.25">
      <c r="B473" s="691" t="s">
        <v>1036</v>
      </c>
      <c r="C473" s="690">
        <v>38701</v>
      </c>
    </row>
    <row r="474" spans="2:3" x14ac:dyDescent="0.25">
      <c r="B474" s="691" t="s">
        <v>806</v>
      </c>
      <c r="C474" s="690">
        <v>18740</v>
      </c>
    </row>
    <row r="475" spans="2:3" x14ac:dyDescent="0.25">
      <c r="B475" s="691" t="s">
        <v>816</v>
      </c>
      <c r="C475" s="690">
        <v>20800</v>
      </c>
    </row>
    <row r="476" spans="2:3" x14ac:dyDescent="0.25">
      <c r="B476" s="691" t="s">
        <v>805</v>
      </c>
      <c r="C476" s="690">
        <v>18690</v>
      </c>
    </row>
    <row r="477" spans="2:3" x14ac:dyDescent="0.25">
      <c r="B477" s="691" t="s">
        <v>785</v>
      </c>
      <c r="C477" s="690">
        <v>10950</v>
      </c>
    </row>
    <row r="478" spans="2:3" x14ac:dyDescent="0.25">
      <c r="B478" s="691" t="s">
        <v>811</v>
      </c>
      <c r="C478" s="690">
        <v>20200</v>
      </c>
    </row>
    <row r="479" spans="2:3" x14ac:dyDescent="0.25">
      <c r="B479" s="691" t="s">
        <v>807</v>
      </c>
      <c r="C479" s="690">
        <v>18780</v>
      </c>
    </row>
    <row r="480" spans="2:3" x14ac:dyDescent="0.25">
      <c r="B480" s="691" t="s">
        <v>819</v>
      </c>
      <c r="C480" s="690">
        <v>21300</v>
      </c>
    </row>
    <row r="481" spans="2:3" x14ac:dyDescent="0.25">
      <c r="B481" s="691" t="s">
        <v>1150</v>
      </c>
      <c r="C481" s="690">
        <v>37001</v>
      </c>
    </row>
    <row r="482" spans="2:3" x14ac:dyDescent="0.25">
      <c r="B482" s="691" t="s">
        <v>894</v>
      </c>
      <c r="C482" s="690">
        <v>33001</v>
      </c>
    </row>
    <row r="483" spans="2:3" x14ac:dyDescent="0.25">
      <c r="B483" s="691" t="s">
        <v>1540</v>
      </c>
      <c r="C483" s="690">
        <v>36405</v>
      </c>
    </row>
    <row r="484" spans="2:3" x14ac:dyDescent="0.25">
      <c r="B484" s="691" t="s">
        <v>977</v>
      </c>
      <c r="C484" s="690">
        <v>36400</v>
      </c>
    </row>
    <row r="485" spans="2:3" x14ac:dyDescent="0.25">
      <c r="B485" s="691" t="s">
        <v>815</v>
      </c>
      <c r="C485" s="690">
        <v>20700</v>
      </c>
    </row>
    <row r="486" spans="2:3" x14ac:dyDescent="0.25">
      <c r="B486" s="691" t="s">
        <v>787</v>
      </c>
      <c r="C486" s="690">
        <v>11310</v>
      </c>
    </row>
    <row r="487" spans="2:3" x14ac:dyDescent="0.25">
      <c r="B487" s="691" t="s">
        <v>943</v>
      </c>
      <c r="C487" s="690">
        <v>35106</v>
      </c>
    </row>
    <row r="488" spans="2:3" x14ac:dyDescent="0.25">
      <c r="B488" s="691" t="s">
        <v>1533</v>
      </c>
      <c r="C488" s="690">
        <v>32500</v>
      </c>
    </row>
    <row r="489" spans="2:3" x14ac:dyDescent="0.25">
      <c r="B489" s="691" t="s">
        <v>979</v>
      </c>
      <c r="C489" s="690">
        <v>36500</v>
      </c>
    </row>
    <row r="490" spans="2:3" x14ac:dyDescent="0.25">
      <c r="B490" s="691" t="s">
        <v>870</v>
      </c>
      <c r="C490" s="690">
        <v>31820</v>
      </c>
    </row>
    <row r="491" spans="2:3" x14ac:dyDescent="0.25">
      <c r="B491" s="691" t="s">
        <v>775</v>
      </c>
      <c r="C491" s="690">
        <v>10200</v>
      </c>
    </row>
    <row r="492" spans="2:3" x14ac:dyDescent="0.25">
      <c r="B492" s="691" t="s">
        <v>983</v>
      </c>
      <c r="C492" s="690">
        <v>36600</v>
      </c>
    </row>
    <row r="493" spans="2:3" x14ac:dyDescent="0.25">
      <c r="B493" s="691" t="s">
        <v>780</v>
      </c>
      <c r="C493" s="690">
        <v>10850</v>
      </c>
    </row>
    <row r="494" spans="2:3" x14ac:dyDescent="0.25">
      <c r="B494" s="691" t="s">
        <v>782</v>
      </c>
      <c r="C494" s="690">
        <v>10910</v>
      </c>
    </row>
    <row r="495" spans="2:3" x14ac:dyDescent="0.25">
      <c r="B495" s="691" t="s">
        <v>784</v>
      </c>
      <c r="C495" s="690">
        <v>10940</v>
      </c>
    </row>
    <row r="496" spans="2:3" x14ac:dyDescent="0.25">
      <c r="B496" s="691" t="s">
        <v>985</v>
      </c>
      <c r="C496" s="690">
        <v>36700</v>
      </c>
    </row>
    <row r="497" spans="2:3" x14ac:dyDescent="0.25">
      <c r="B497" s="691" t="s">
        <v>990</v>
      </c>
      <c r="C497" s="690">
        <v>36802</v>
      </c>
    </row>
    <row r="498" spans="2:3" x14ac:dyDescent="0.25">
      <c r="B498" s="691" t="s">
        <v>988</v>
      </c>
      <c r="C498" s="690">
        <v>36800</v>
      </c>
    </row>
    <row r="499" spans="2:3" x14ac:dyDescent="0.25">
      <c r="B499" s="691" t="s">
        <v>989</v>
      </c>
      <c r="C499" s="690">
        <v>36801</v>
      </c>
    </row>
    <row r="500" spans="2:3" x14ac:dyDescent="0.25">
      <c r="B500" s="691" t="s">
        <v>994</v>
      </c>
      <c r="C500" s="690">
        <v>36905</v>
      </c>
    </row>
    <row r="501" spans="2:3" x14ac:dyDescent="0.25">
      <c r="B501" s="691" t="s">
        <v>992</v>
      </c>
      <c r="C501" s="690">
        <v>36900</v>
      </c>
    </row>
    <row r="502" spans="2:3" x14ac:dyDescent="0.25">
      <c r="B502" s="691" t="s">
        <v>997</v>
      </c>
      <c r="C502" s="690">
        <v>37100</v>
      </c>
    </row>
    <row r="503" spans="2:3" x14ac:dyDescent="0.25">
      <c r="B503" s="691" t="s">
        <v>998</v>
      </c>
      <c r="C503" s="690">
        <v>37200</v>
      </c>
    </row>
    <row r="504" spans="2:3" x14ac:dyDescent="0.25">
      <c r="B504" s="691" t="s">
        <v>999</v>
      </c>
      <c r="C504" s="690">
        <v>37300</v>
      </c>
    </row>
    <row r="505" spans="2:3" x14ac:dyDescent="0.25">
      <c r="B505" s="691" t="s">
        <v>1001</v>
      </c>
      <c r="C505" s="690">
        <v>37305</v>
      </c>
    </row>
    <row r="506" spans="2:3" x14ac:dyDescent="0.25">
      <c r="B506" s="691" t="s">
        <v>966</v>
      </c>
      <c r="C506" s="690">
        <v>36008</v>
      </c>
    </row>
    <row r="507" spans="2:3" x14ac:dyDescent="0.25">
      <c r="B507" s="691" t="s">
        <v>1059</v>
      </c>
      <c r="C507" s="690">
        <v>39703</v>
      </c>
    </row>
    <row r="508" spans="2:3" x14ac:dyDescent="0.25">
      <c r="B508" s="691" t="s">
        <v>1119</v>
      </c>
      <c r="C508" s="690">
        <v>33209</v>
      </c>
    </row>
    <row r="509" spans="2:3" x14ac:dyDescent="0.25">
      <c r="B509" s="691" t="s">
        <v>1003</v>
      </c>
      <c r="C509" s="690">
        <v>37405</v>
      </c>
    </row>
    <row r="510" spans="2:3" x14ac:dyDescent="0.25">
      <c r="B510" s="691" t="s">
        <v>1002</v>
      </c>
      <c r="C510" s="690">
        <v>37400</v>
      </c>
    </row>
    <row r="511" spans="2:3" x14ac:dyDescent="0.25">
      <c r="B511" s="691" t="s">
        <v>1004</v>
      </c>
      <c r="C511" s="690">
        <v>37500</v>
      </c>
    </row>
    <row r="512" spans="2:3" x14ac:dyDescent="0.25">
      <c r="B512" s="691" t="s">
        <v>1007</v>
      </c>
      <c r="C512" s="690">
        <v>37605</v>
      </c>
    </row>
    <row r="513" spans="2:3" x14ac:dyDescent="0.25">
      <c r="B513" s="691" t="s">
        <v>1005</v>
      </c>
      <c r="C513" s="690">
        <v>37600</v>
      </c>
    </row>
    <row r="514" spans="2:3" x14ac:dyDescent="0.25">
      <c r="B514" s="691" t="s">
        <v>797</v>
      </c>
      <c r="C514" s="690">
        <v>13500</v>
      </c>
    </row>
    <row r="515" spans="2:3" x14ac:dyDescent="0.25">
      <c r="B515" s="691" t="s">
        <v>1009</v>
      </c>
      <c r="C515" s="690">
        <v>37700</v>
      </c>
    </row>
    <row r="516" spans="2:3" x14ac:dyDescent="0.25">
      <c r="B516" s="691" t="s">
        <v>1010</v>
      </c>
      <c r="C516" s="690">
        <v>37705</v>
      </c>
    </row>
    <row r="517" spans="2:3" x14ac:dyDescent="0.25">
      <c r="B517" s="691" t="s">
        <v>833</v>
      </c>
      <c r="C517" s="690">
        <v>30103</v>
      </c>
    </row>
    <row r="518" spans="2:3" x14ac:dyDescent="0.25">
      <c r="B518" s="691" t="s">
        <v>922</v>
      </c>
      <c r="C518" s="690">
        <v>34220</v>
      </c>
    </row>
    <row r="519" spans="2:3" x14ac:dyDescent="0.25">
      <c r="B519" s="691" t="s">
        <v>931</v>
      </c>
      <c r="C519" s="690">
        <v>34605</v>
      </c>
    </row>
    <row r="520" spans="2:3" x14ac:dyDescent="0.25">
      <c r="B520" s="691" t="s">
        <v>1013</v>
      </c>
      <c r="C520" s="690">
        <v>37805</v>
      </c>
    </row>
    <row r="521" spans="2:3" x14ac:dyDescent="0.25">
      <c r="B521" s="691" t="s">
        <v>1011</v>
      </c>
      <c r="C521" s="690">
        <v>37800</v>
      </c>
    </row>
    <row r="522" spans="2:3" x14ac:dyDescent="0.25">
      <c r="B522" s="691" t="s">
        <v>1016</v>
      </c>
      <c r="C522" s="690">
        <v>37905</v>
      </c>
    </row>
    <row r="523" spans="2:3" x14ac:dyDescent="0.25">
      <c r="B523" s="691" t="s">
        <v>1014</v>
      </c>
      <c r="C523" s="690">
        <v>37900</v>
      </c>
    </row>
    <row r="524" spans="2:3" x14ac:dyDescent="0.25">
      <c r="B524" s="691" t="s">
        <v>1018</v>
      </c>
      <c r="C524" s="690">
        <v>38005</v>
      </c>
    </row>
    <row r="525" spans="2:3" x14ac:dyDescent="0.25">
      <c r="B525" s="691" t="s">
        <v>1017</v>
      </c>
      <c r="C525" s="690">
        <v>38000</v>
      </c>
    </row>
    <row r="526" spans="2:3" x14ac:dyDescent="0.25">
      <c r="B526" s="691" t="s">
        <v>1000</v>
      </c>
      <c r="C526" s="690">
        <v>37301</v>
      </c>
    </row>
    <row r="527" spans="2:3" x14ac:dyDescent="0.25">
      <c r="B527" s="691" t="s">
        <v>1019</v>
      </c>
      <c r="C527" s="690">
        <v>38100</v>
      </c>
    </row>
    <row r="528" spans="2:3" x14ac:dyDescent="0.25">
      <c r="B528" s="691" t="s">
        <v>1022</v>
      </c>
      <c r="C528" s="690">
        <v>38205</v>
      </c>
    </row>
    <row r="529" spans="2:3" x14ac:dyDescent="0.25">
      <c r="B529" s="691" t="s">
        <v>1021</v>
      </c>
      <c r="C529" s="690">
        <v>38200</v>
      </c>
    </row>
    <row r="530" spans="2:3" x14ac:dyDescent="0.25">
      <c r="B530" s="691" t="s">
        <v>976</v>
      </c>
      <c r="C530" s="690">
        <v>36305</v>
      </c>
    </row>
    <row r="531" spans="2:3" x14ac:dyDescent="0.25">
      <c r="B531" s="691" t="s">
        <v>1024</v>
      </c>
      <c r="C531" s="690">
        <v>38300</v>
      </c>
    </row>
    <row r="532" spans="2:3" x14ac:dyDescent="0.25">
      <c r="B532" s="691" t="s">
        <v>798</v>
      </c>
      <c r="C532" s="690">
        <v>13700</v>
      </c>
    </row>
    <row r="533" spans="2:3" x14ac:dyDescent="0.25">
      <c r="B533" s="691" t="s">
        <v>881</v>
      </c>
      <c r="C533" s="690">
        <v>32420</v>
      </c>
    </row>
    <row r="534" spans="2:3" x14ac:dyDescent="0.25">
      <c r="B534" s="691" t="s">
        <v>965</v>
      </c>
      <c r="C534" s="690">
        <v>36007</v>
      </c>
    </row>
    <row r="535" spans="2:3" x14ac:dyDescent="0.25">
      <c r="B535" s="691" t="s">
        <v>839</v>
      </c>
      <c r="C535" s="690">
        <v>30405</v>
      </c>
    </row>
    <row r="536" spans="2:3" x14ac:dyDescent="0.25">
      <c r="B536" s="691" t="s">
        <v>1012</v>
      </c>
      <c r="C536" s="690">
        <v>37801</v>
      </c>
    </row>
    <row r="537" spans="2:3" x14ac:dyDescent="0.25">
      <c r="B537" s="691" t="s">
        <v>879</v>
      </c>
      <c r="C537" s="690">
        <v>32405</v>
      </c>
    </row>
    <row r="538" spans="2:3" x14ac:dyDescent="0.25">
      <c r="B538" s="691" t="s">
        <v>1046</v>
      </c>
      <c r="C538" s="690">
        <v>39204</v>
      </c>
    </row>
    <row r="539" spans="2:3" x14ac:dyDescent="0.25">
      <c r="B539" s="691" t="s">
        <v>940</v>
      </c>
      <c r="C539" s="690">
        <v>35005</v>
      </c>
    </row>
    <row r="540" spans="2:3" x14ac:dyDescent="0.25">
      <c r="B540" s="691" t="s">
        <v>1027</v>
      </c>
      <c r="C540" s="690">
        <v>38405</v>
      </c>
    </row>
    <row r="541" spans="2:3" x14ac:dyDescent="0.25">
      <c r="B541" s="691" t="s">
        <v>1025</v>
      </c>
      <c r="C541" s="690">
        <v>38400</v>
      </c>
    </row>
    <row r="542" spans="2:3" x14ac:dyDescent="0.25">
      <c r="B542" s="691" t="s">
        <v>975</v>
      </c>
      <c r="C542" s="690">
        <v>36302</v>
      </c>
    </row>
    <row r="543" spans="2:3" x14ac:dyDescent="0.25">
      <c r="B543" s="691" t="s">
        <v>777</v>
      </c>
      <c r="C543" s="690">
        <v>10500</v>
      </c>
    </row>
    <row r="544" spans="2:3" x14ac:dyDescent="0.25">
      <c r="B544" s="691" t="s">
        <v>789</v>
      </c>
      <c r="C544" s="690">
        <v>11900</v>
      </c>
    </row>
    <row r="545" spans="2:3" x14ac:dyDescent="0.25">
      <c r="B545" s="691" t="s">
        <v>1529</v>
      </c>
      <c r="C545" s="690">
        <v>12200</v>
      </c>
    </row>
    <row r="546" spans="2:3" x14ac:dyDescent="0.25">
      <c r="B546" s="691" t="s">
        <v>1147</v>
      </c>
      <c r="C546" s="690">
        <v>14300.2</v>
      </c>
    </row>
    <row r="547" spans="2:3" x14ac:dyDescent="0.25">
      <c r="B547" s="691" t="s">
        <v>1146</v>
      </c>
      <c r="C547" s="690">
        <v>14300</v>
      </c>
    </row>
    <row r="548" spans="2:3" x14ac:dyDescent="0.25">
      <c r="B548" s="691" t="s">
        <v>1028</v>
      </c>
      <c r="C548" s="690">
        <v>38500</v>
      </c>
    </row>
    <row r="549" spans="2:3" x14ac:dyDescent="0.25">
      <c r="B549" s="691" t="s">
        <v>936</v>
      </c>
      <c r="C549" s="690">
        <v>34903</v>
      </c>
    </row>
    <row r="550" spans="2:3" x14ac:dyDescent="0.25">
      <c r="B550" s="691" t="s">
        <v>1032</v>
      </c>
      <c r="C550" s="690">
        <v>38605</v>
      </c>
    </row>
    <row r="551" spans="2:3" x14ac:dyDescent="0.25">
      <c r="B551" s="691" t="s">
        <v>1029</v>
      </c>
      <c r="C551" s="690">
        <v>38600</v>
      </c>
    </row>
    <row r="552" spans="2:3" x14ac:dyDescent="0.25">
      <c r="B552" s="691" t="s">
        <v>1035</v>
      </c>
      <c r="C552" s="690">
        <v>38700</v>
      </c>
    </row>
    <row r="553" spans="2:3" x14ac:dyDescent="0.25">
      <c r="B553" s="691" t="s">
        <v>834</v>
      </c>
      <c r="C553" s="690">
        <v>30104</v>
      </c>
    </row>
    <row r="554" spans="2:3" x14ac:dyDescent="0.25">
      <c r="B554" s="691" t="s">
        <v>892</v>
      </c>
      <c r="C554" s="690">
        <v>32920</v>
      </c>
    </row>
    <row r="555" spans="2:3" x14ac:dyDescent="0.25">
      <c r="B555" s="691" t="s">
        <v>1037</v>
      </c>
      <c r="C555" s="690">
        <v>38800</v>
      </c>
    </row>
    <row r="556" spans="2:3" x14ac:dyDescent="0.25">
      <c r="B556" s="691" t="s">
        <v>873</v>
      </c>
      <c r="C556" s="690">
        <v>32005</v>
      </c>
    </row>
    <row r="557" spans="2:3" x14ac:dyDescent="0.25">
      <c r="B557" s="691" t="s">
        <v>1055</v>
      </c>
      <c r="C557" s="690">
        <v>39501</v>
      </c>
    </row>
    <row r="558" spans="2:3" x14ac:dyDescent="0.25">
      <c r="B558" s="691" t="s">
        <v>1039</v>
      </c>
      <c r="C558" s="690">
        <v>38900</v>
      </c>
    </row>
    <row r="559" spans="2:3" x14ac:dyDescent="0.25">
      <c r="B559" s="691" t="s">
        <v>818</v>
      </c>
      <c r="C559" s="690">
        <v>21200</v>
      </c>
    </row>
    <row r="560" spans="2:3" x14ac:dyDescent="0.25">
      <c r="B560" s="691" t="s">
        <v>822</v>
      </c>
      <c r="C560" s="690">
        <v>21550</v>
      </c>
    </row>
    <row r="561" spans="2:3" x14ac:dyDescent="0.25">
      <c r="B561" s="691" t="s">
        <v>1531</v>
      </c>
      <c r="C561" s="690">
        <v>21520</v>
      </c>
    </row>
    <row r="562" spans="2:3" x14ac:dyDescent="0.25">
      <c r="B562" s="691" t="s">
        <v>1149</v>
      </c>
      <c r="C562" s="690">
        <v>21525.200000000001</v>
      </c>
    </row>
    <row r="563" spans="2:3" x14ac:dyDescent="0.25">
      <c r="B563" s="691" t="s">
        <v>1148</v>
      </c>
      <c r="C563" s="690">
        <v>21525</v>
      </c>
    </row>
    <row r="564" spans="2:3" x14ac:dyDescent="0.25">
      <c r="B564" s="691" t="s">
        <v>1040</v>
      </c>
      <c r="C564" s="690">
        <v>39000</v>
      </c>
    </row>
    <row r="565" spans="2:3" x14ac:dyDescent="0.25">
      <c r="B565" s="691" t="s">
        <v>827</v>
      </c>
      <c r="C565" s="690">
        <v>23000</v>
      </c>
    </row>
    <row r="566" spans="2:3" x14ac:dyDescent="0.25">
      <c r="B566" s="691" t="s">
        <v>828</v>
      </c>
      <c r="C566" s="690">
        <v>23100</v>
      </c>
    </row>
    <row r="567" spans="2:3" x14ac:dyDescent="0.25">
      <c r="B567" s="691" t="s">
        <v>817</v>
      </c>
      <c r="C567" s="690">
        <v>20900</v>
      </c>
    </row>
    <row r="568" spans="2:3" x14ac:dyDescent="0.25">
      <c r="B568" s="691" t="s">
        <v>829</v>
      </c>
      <c r="C568" s="690">
        <v>23200</v>
      </c>
    </row>
    <row r="569" spans="2:3" x14ac:dyDescent="0.25">
      <c r="B569" s="691" t="s">
        <v>823</v>
      </c>
      <c r="C569" s="690">
        <v>21570</v>
      </c>
    </row>
    <row r="570" spans="2:3" x14ac:dyDescent="0.25">
      <c r="B570" s="691" t="s">
        <v>1006</v>
      </c>
      <c r="C570" s="690">
        <v>37601</v>
      </c>
    </row>
    <row r="571" spans="2:3" x14ac:dyDescent="0.25">
      <c r="B571" s="691" t="s">
        <v>1042</v>
      </c>
      <c r="C571" s="690">
        <v>39101</v>
      </c>
    </row>
    <row r="572" spans="2:3" x14ac:dyDescent="0.25">
      <c r="B572" s="691" t="s">
        <v>1041</v>
      </c>
      <c r="C572" s="690">
        <v>39100</v>
      </c>
    </row>
    <row r="573" spans="2:3" x14ac:dyDescent="0.25">
      <c r="B573" s="691" t="s">
        <v>1043</v>
      </c>
      <c r="C573" s="690">
        <v>39105</v>
      </c>
    </row>
    <row r="574" spans="2:3" x14ac:dyDescent="0.25">
      <c r="B574" s="691" t="s">
        <v>901</v>
      </c>
      <c r="C574" s="690">
        <v>33204</v>
      </c>
    </row>
    <row r="575" spans="2:3" x14ac:dyDescent="0.25">
      <c r="B575" s="691" t="s">
        <v>1542</v>
      </c>
      <c r="C575" s="690">
        <v>39200</v>
      </c>
    </row>
    <row r="576" spans="2:3" x14ac:dyDescent="0.25">
      <c r="B576" s="691" t="s">
        <v>1047</v>
      </c>
      <c r="C576" s="690">
        <v>39205</v>
      </c>
    </row>
    <row r="577" spans="2:3" x14ac:dyDescent="0.25">
      <c r="B577" s="691" t="s">
        <v>1050</v>
      </c>
      <c r="C577" s="690">
        <v>39300</v>
      </c>
    </row>
    <row r="578" spans="2:3" x14ac:dyDescent="0.25">
      <c r="B578" s="691" t="s">
        <v>1052</v>
      </c>
      <c r="C578" s="690">
        <v>39400</v>
      </c>
    </row>
    <row r="579" spans="2:3" x14ac:dyDescent="0.25">
      <c r="B579" s="691" t="s">
        <v>1054</v>
      </c>
      <c r="C579" s="690">
        <v>39500</v>
      </c>
    </row>
    <row r="580" spans="2:3" x14ac:dyDescent="0.25">
      <c r="B580" s="691" t="s">
        <v>1057</v>
      </c>
      <c r="C580" s="690">
        <v>39605</v>
      </c>
    </row>
    <row r="581" spans="2:3" x14ac:dyDescent="0.25">
      <c r="B581" s="691" t="s">
        <v>1056</v>
      </c>
      <c r="C581" s="690">
        <v>39600</v>
      </c>
    </row>
    <row r="582" spans="2:3" x14ac:dyDescent="0.25">
      <c r="B582" s="691" t="s">
        <v>923</v>
      </c>
      <c r="C582" s="690">
        <v>34230</v>
      </c>
    </row>
    <row r="583" spans="2:3" x14ac:dyDescent="0.25">
      <c r="B583" s="691" t="s">
        <v>824</v>
      </c>
      <c r="C583" s="690">
        <v>21800</v>
      </c>
    </row>
    <row r="584" spans="2:3" x14ac:dyDescent="0.25">
      <c r="B584" s="691" t="s">
        <v>856</v>
      </c>
      <c r="C584" s="690">
        <v>31205</v>
      </c>
    </row>
    <row r="585" spans="2:3" x14ac:dyDescent="0.25">
      <c r="B585" s="691" t="s">
        <v>880</v>
      </c>
      <c r="C585" s="690">
        <v>32410</v>
      </c>
    </row>
    <row r="586" spans="2:3" x14ac:dyDescent="0.25">
      <c r="B586" s="691" t="s">
        <v>788</v>
      </c>
      <c r="C586" s="690">
        <v>11600</v>
      </c>
    </row>
    <row r="587" spans="2:3" x14ac:dyDescent="0.25">
      <c r="B587" s="691" t="s">
        <v>1060</v>
      </c>
      <c r="C587" s="690">
        <v>39705</v>
      </c>
    </row>
    <row r="588" spans="2:3" x14ac:dyDescent="0.25">
      <c r="B588" s="691" t="s">
        <v>1058</v>
      </c>
      <c r="C588" s="690">
        <v>39700</v>
      </c>
    </row>
    <row r="589" spans="2:3" x14ac:dyDescent="0.25">
      <c r="B589" s="691" t="s">
        <v>981</v>
      </c>
      <c r="C589" s="690">
        <v>36502</v>
      </c>
    </row>
    <row r="590" spans="2:3" x14ac:dyDescent="0.25">
      <c r="B590" s="691" t="s">
        <v>1062</v>
      </c>
      <c r="C590" s="690">
        <v>39805</v>
      </c>
    </row>
    <row r="591" spans="2:3" x14ac:dyDescent="0.25">
      <c r="B591" s="691" t="s">
        <v>1061</v>
      </c>
      <c r="C591" s="690">
        <v>39800</v>
      </c>
    </row>
    <row r="592" spans="2:3" x14ac:dyDescent="0.25">
      <c r="B592" s="691" t="s">
        <v>825</v>
      </c>
      <c r="C592" s="690">
        <v>21900</v>
      </c>
    </row>
    <row r="593" spans="2:3" x14ac:dyDescent="0.25">
      <c r="B593" s="691" t="s">
        <v>906</v>
      </c>
      <c r="C593" s="690">
        <v>33400</v>
      </c>
    </row>
    <row r="594" spans="2:3" x14ac:dyDescent="0.25">
      <c r="B594" s="691" t="s">
        <v>1063</v>
      </c>
      <c r="C594" s="690">
        <v>39900</v>
      </c>
    </row>
    <row r="595" spans="2:3" x14ac:dyDescent="0.25">
      <c r="B595" s="691" t="s">
        <v>830</v>
      </c>
      <c r="C595" s="690">
        <v>30000</v>
      </c>
    </row>
    <row r="596" spans="2:3" x14ac:dyDescent="0.25">
      <c r="B596" s="691" t="s">
        <v>986</v>
      </c>
      <c r="C596" s="690">
        <v>36701</v>
      </c>
    </row>
    <row r="597" spans="2:3" x14ac:dyDescent="0.25">
      <c r="B597" s="681" t="s">
        <v>1635</v>
      </c>
      <c r="C597" s="690" t="s">
        <v>1508</v>
      </c>
    </row>
  </sheetData>
  <sheetProtection algorithmName="SHA-512" hashValue="94VXzNqxbI6pyA+JTu4ZAKckuwYnLKhvs7Z0lZFcBR/CeKj1zmZ6Mq+F6orsmztr/dkFID/YBgnwLUXvXNsizA==" saltValue="K1OZO9UcIGJGEulS5Vyy7Q==" spinCount="100000" sheet="1" objects="1" scenarios="1"/>
  <pageMargins left="0.25" right="0.25" top="0.75" bottom="0.75" header="0.3" footer="0.3"/>
  <pageSetup paperSize="5" scale="50" fitToHeight="0" orientation="landscape" r:id="rId1"/>
  <headerFooter>
    <oddHeader>&amp;C&amp;"-,Bold"&amp;28Appendix B: Allocation of Pension Expense</oddHeader>
    <oddFooter>&amp;R&amp;G</oddFooter>
  </headerFooter>
  <legacyDrawingHF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IG469"/>
  <sheetViews>
    <sheetView zoomScaleNormal="100" workbookViewId="0">
      <pane xSplit="4" ySplit="5" topLeftCell="E74" activePane="bottomRight" state="frozen"/>
      <selection activeCell="J91" sqref="J91"/>
      <selection pane="topRight" activeCell="J91" sqref="J91"/>
      <selection pane="bottomLeft" activeCell="J91" sqref="J91"/>
      <selection pane="bottomRight" activeCell="C1" sqref="C1"/>
    </sheetView>
  </sheetViews>
  <sheetFormatPr defaultRowHeight="12.75" x14ac:dyDescent="0.2"/>
  <cols>
    <col min="1" max="1" width="2.28515625" customWidth="1"/>
    <col min="2" max="2" width="2.85546875" customWidth="1"/>
    <col min="3" max="3" width="31" customWidth="1"/>
    <col min="4" max="4" width="25.5703125" customWidth="1"/>
    <col min="5" max="6" width="11.7109375" style="1" customWidth="1"/>
    <col min="7" max="10" width="11.7109375" style="5" customWidth="1"/>
    <col min="11" max="12" width="11.7109375" style="157" customWidth="1"/>
    <col min="13" max="16" width="11.7109375" style="5" customWidth="1"/>
    <col min="17" max="21" width="11.7109375" customWidth="1"/>
    <col min="22" max="23" width="11.7109375" style="5" customWidth="1"/>
    <col min="24" max="24" width="11.7109375" customWidth="1"/>
    <col min="25" max="26" width="12.5703125" customWidth="1"/>
    <col min="27" max="28" width="11.7109375" style="5" customWidth="1"/>
    <col min="29" max="29" width="5.7109375" style="139" customWidth="1"/>
    <col min="30" max="30" width="12.28515625" style="36" customWidth="1"/>
    <col min="31" max="31" width="1.7109375" customWidth="1"/>
    <col min="32" max="32" width="5.7109375" style="139" customWidth="1"/>
    <col min="33" max="33" width="12.28515625" style="36" customWidth="1"/>
    <col min="34" max="34" width="5.7109375" style="139" customWidth="1"/>
    <col min="35" max="35" width="11.42578125" customWidth="1"/>
    <col min="36" max="36" width="5.7109375" style="139" customWidth="1"/>
    <col min="37" max="37" width="11.7109375" customWidth="1"/>
    <col min="38" max="39" width="13.7109375" customWidth="1"/>
    <col min="40" max="41" width="13.7109375" style="78" customWidth="1"/>
    <col min="42" max="45" width="13.7109375" customWidth="1"/>
    <col min="46" max="46" width="11.42578125" bestFit="1" customWidth="1"/>
    <col min="47" max="47" width="11.28515625" bestFit="1" customWidth="1"/>
  </cols>
  <sheetData>
    <row r="1" spans="1:52" ht="17.100000000000001" customHeight="1" x14ac:dyDescent="0.2">
      <c r="C1" s="857" t="s">
        <v>1671</v>
      </c>
      <c r="D1" s="236"/>
      <c r="E1" s="901" t="s">
        <v>607</v>
      </c>
      <c r="F1" s="902"/>
      <c r="G1" s="903"/>
      <c r="H1" s="903"/>
      <c r="I1" s="903"/>
      <c r="J1" s="903"/>
      <c r="K1" s="903"/>
      <c r="L1" s="904"/>
      <c r="M1" s="201"/>
      <c r="N1" s="174"/>
      <c r="O1" s="852" t="s">
        <v>607</v>
      </c>
      <c r="P1" s="201"/>
      <c r="Q1" s="175"/>
      <c r="R1" s="120"/>
      <c r="S1" s="120"/>
      <c r="T1" s="120"/>
      <c r="U1" s="876" t="s">
        <v>665</v>
      </c>
      <c r="V1" s="877"/>
      <c r="W1" s="905" t="s">
        <v>667</v>
      </c>
      <c r="X1" s="906"/>
      <c r="Y1" s="898" t="s">
        <v>1666</v>
      </c>
      <c r="Z1" s="899"/>
      <c r="AA1" s="853" t="s">
        <v>317</v>
      </c>
      <c r="AB1" s="289"/>
      <c r="AC1" s="882" t="s">
        <v>218</v>
      </c>
      <c r="AD1" s="883"/>
      <c r="AE1" s="883"/>
      <c r="AF1" s="883"/>
      <c r="AG1" s="884"/>
      <c r="AH1" s="888" t="s">
        <v>1668</v>
      </c>
      <c r="AI1" s="889"/>
      <c r="AJ1" s="889"/>
      <c r="AK1" s="890"/>
      <c r="AL1" s="854" t="s">
        <v>664</v>
      </c>
      <c r="AM1" s="217"/>
      <c r="AN1" s="185"/>
      <c r="AO1" s="186"/>
    </row>
    <row r="2" spans="1:52" ht="54.95" customHeight="1" thickBot="1" x14ac:dyDescent="0.25">
      <c r="C2" s="855" t="s">
        <v>1667</v>
      </c>
      <c r="D2" s="856">
        <v>2018</v>
      </c>
      <c r="E2" s="168"/>
      <c r="F2" s="169"/>
      <c r="G2" s="170"/>
      <c r="H2" s="170"/>
      <c r="I2" s="170"/>
      <c r="J2" s="170"/>
      <c r="K2" s="171"/>
      <c r="L2" s="171"/>
      <c r="M2" s="173"/>
      <c r="N2" s="172"/>
      <c r="O2" s="218"/>
      <c r="P2" s="112"/>
      <c r="Q2" s="113"/>
      <c r="R2" s="113"/>
      <c r="S2" s="113"/>
      <c r="T2" s="113"/>
      <c r="U2" s="878"/>
      <c r="V2" s="879"/>
      <c r="W2" s="907"/>
      <c r="X2" s="908"/>
      <c r="Y2" s="896" t="s">
        <v>1669</v>
      </c>
      <c r="Z2" s="897"/>
      <c r="AA2" s="872" t="s">
        <v>511</v>
      </c>
      <c r="AB2" s="873"/>
      <c r="AC2" s="885" t="s">
        <v>1645</v>
      </c>
      <c r="AD2" s="886"/>
      <c r="AE2" s="886"/>
      <c r="AF2" s="886"/>
      <c r="AG2" s="887"/>
      <c r="AH2" s="891"/>
      <c r="AI2" s="892"/>
      <c r="AJ2" s="892"/>
      <c r="AK2" s="893"/>
      <c r="AL2" s="874" t="s">
        <v>153</v>
      </c>
      <c r="AM2" s="875"/>
      <c r="AN2" s="187"/>
      <c r="AO2" s="188"/>
    </row>
    <row r="3" spans="1:52" ht="17.25" customHeight="1" x14ac:dyDescent="0.2">
      <c r="C3" s="47"/>
      <c r="D3" s="47"/>
      <c r="E3" s="922" t="s">
        <v>368</v>
      </c>
      <c r="F3" s="923"/>
      <c r="G3" s="923"/>
      <c r="H3" s="923"/>
      <c r="I3" s="923"/>
      <c r="J3" s="923"/>
      <c r="K3" s="923"/>
      <c r="L3" s="923"/>
      <c r="M3" s="923"/>
      <c r="N3" s="924"/>
      <c r="O3" s="909" t="s">
        <v>451</v>
      </c>
      <c r="P3" s="910"/>
      <c r="Q3" s="910"/>
      <c r="R3" s="910"/>
      <c r="S3" s="910"/>
      <c r="T3" s="911"/>
      <c r="U3" s="286"/>
      <c r="V3" s="339"/>
      <c r="W3" s="894" t="s">
        <v>452</v>
      </c>
      <c r="X3" s="895"/>
      <c r="Y3" s="942" t="s">
        <v>1661</v>
      </c>
      <c r="Z3" s="943"/>
      <c r="AA3" s="413"/>
      <c r="AB3" s="414"/>
      <c r="AC3" s="153"/>
      <c r="AD3" s="151"/>
      <c r="AE3" s="116"/>
      <c r="AF3" s="152"/>
      <c r="AG3" s="147"/>
      <c r="AH3" s="935" t="s">
        <v>14</v>
      </c>
      <c r="AI3" s="894"/>
      <c r="AJ3" s="894"/>
      <c r="AK3" s="936"/>
      <c r="AL3" s="937" t="s">
        <v>68</v>
      </c>
      <c r="AM3" s="938"/>
      <c r="AN3" s="182"/>
      <c r="AO3" s="182"/>
      <c r="AP3" s="933" t="s">
        <v>458</v>
      </c>
      <c r="AQ3" s="927"/>
      <c r="AR3" s="926" t="s">
        <v>458</v>
      </c>
      <c r="AS3" s="927"/>
    </row>
    <row r="4" spans="1:52" x14ac:dyDescent="0.2">
      <c r="C4" s="2"/>
      <c r="D4" s="2"/>
      <c r="E4" s="920" t="s">
        <v>586</v>
      </c>
      <c r="F4" s="921"/>
      <c r="G4" s="916" t="s">
        <v>113</v>
      </c>
      <c r="H4" s="917"/>
      <c r="I4" s="918" t="s">
        <v>1647</v>
      </c>
      <c r="J4" s="919"/>
      <c r="K4" s="880" t="s">
        <v>402</v>
      </c>
      <c r="L4" s="915"/>
      <c r="M4" s="880" t="s">
        <v>587</v>
      </c>
      <c r="N4" s="913"/>
      <c r="O4" s="912" t="s">
        <v>406</v>
      </c>
      <c r="P4" s="913"/>
      <c r="Q4" s="914" t="s">
        <v>1672</v>
      </c>
      <c r="R4" s="915"/>
      <c r="S4" s="880" t="s">
        <v>1670</v>
      </c>
      <c r="T4" s="881"/>
      <c r="U4" s="930" t="s">
        <v>35</v>
      </c>
      <c r="V4" s="946"/>
      <c r="W4" s="931" t="s">
        <v>36</v>
      </c>
      <c r="X4" s="941"/>
      <c r="Y4" s="944" t="s">
        <v>1662</v>
      </c>
      <c r="Z4" s="945"/>
      <c r="AA4" s="415"/>
      <c r="AB4" s="416"/>
      <c r="AC4" s="930" t="s">
        <v>456</v>
      </c>
      <c r="AD4" s="931"/>
      <c r="AE4" s="931"/>
      <c r="AF4" s="931"/>
      <c r="AG4" s="932"/>
      <c r="AH4" s="930" t="s">
        <v>15</v>
      </c>
      <c r="AI4" s="931"/>
      <c r="AJ4" s="931"/>
      <c r="AK4" s="932"/>
      <c r="AL4" s="939"/>
      <c r="AM4" s="940"/>
      <c r="AN4" s="928" t="s">
        <v>652</v>
      </c>
      <c r="AO4" s="928"/>
      <c r="AP4" s="934" t="s">
        <v>459</v>
      </c>
      <c r="AQ4" s="929"/>
      <c r="AR4" s="928" t="s">
        <v>726</v>
      </c>
      <c r="AS4" s="929"/>
    </row>
    <row r="5" spans="1:52" ht="13.5" thickBot="1" x14ac:dyDescent="0.25">
      <c r="A5" s="7"/>
      <c r="B5" s="7"/>
      <c r="C5" s="3" t="s">
        <v>349</v>
      </c>
      <c r="D5" s="43"/>
      <c r="E5" s="14" t="s">
        <v>453</v>
      </c>
      <c r="F5" s="15" t="s">
        <v>454</v>
      </c>
      <c r="G5" s="798" t="s">
        <v>453</v>
      </c>
      <c r="H5" s="16" t="s">
        <v>454</v>
      </c>
      <c r="I5" s="798" t="s">
        <v>34</v>
      </c>
      <c r="J5" s="824" t="s">
        <v>454</v>
      </c>
      <c r="K5" s="155" t="s">
        <v>34</v>
      </c>
      <c r="L5" s="799" t="s">
        <v>454</v>
      </c>
      <c r="M5" s="155" t="s">
        <v>34</v>
      </c>
      <c r="N5" s="155" t="s">
        <v>454</v>
      </c>
      <c r="O5" s="337" t="s">
        <v>453</v>
      </c>
      <c r="P5" s="16" t="s">
        <v>454</v>
      </c>
      <c r="Q5" s="825" t="s">
        <v>453</v>
      </c>
      <c r="R5" s="824" t="s">
        <v>454</v>
      </c>
      <c r="S5" s="17" t="s">
        <v>453</v>
      </c>
      <c r="T5" s="338" t="s">
        <v>454</v>
      </c>
      <c r="U5" s="340" t="s">
        <v>453</v>
      </c>
      <c r="V5" s="341" t="s">
        <v>454</v>
      </c>
      <c r="W5" s="122" t="s">
        <v>453</v>
      </c>
      <c r="X5" s="25" t="s">
        <v>454</v>
      </c>
      <c r="Y5" s="291" t="s">
        <v>453</v>
      </c>
      <c r="Z5" s="122" t="s">
        <v>454</v>
      </c>
      <c r="AA5" s="430" t="s">
        <v>453</v>
      </c>
      <c r="AB5" s="288" t="s">
        <v>454</v>
      </c>
      <c r="AC5" s="132" t="s">
        <v>455</v>
      </c>
      <c r="AD5" s="145" t="s">
        <v>453</v>
      </c>
      <c r="AE5" s="25"/>
      <c r="AF5" s="133" t="s">
        <v>455</v>
      </c>
      <c r="AG5" s="148" t="s">
        <v>454</v>
      </c>
      <c r="AH5" s="132" t="s">
        <v>455</v>
      </c>
      <c r="AI5" s="25" t="s">
        <v>453</v>
      </c>
      <c r="AJ5" s="133" t="s">
        <v>455</v>
      </c>
      <c r="AK5" s="117" t="s">
        <v>454</v>
      </c>
      <c r="AL5" s="115" t="s">
        <v>453</v>
      </c>
      <c r="AM5" s="13" t="s">
        <v>454</v>
      </c>
      <c r="AN5" s="183" t="s">
        <v>453</v>
      </c>
      <c r="AO5" s="183" t="s">
        <v>454</v>
      </c>
      <c r="AP5" s="196" t="s">
        <v>453</v>
      </c>
      <c r="AQ5" s="197" t="s">
        <v>454</v>
      </c>
      <c r="AR5" s="198" t="s">
        <v>453</v>
      </c>
      <c r="AS5" s="197" t="s">
        <v>454</v>
      </c>
    </row>
    <row r="6" spans="1:52" ht="18" customHeight="1" x14ac:dyDescent="0.2">
      <c r="A6" s="26" t="s">
        <v>350</v>
      </c>
      <c r="B6" s="27"/>
      <c r="C6" s="28"/>
      <c r="D6" s="369"/>
      <c r="E6" s="18"/>
      <c r="F6" s="19"/>
      <c r="G6" s="800"/>
      <c r="H6" s="149"/>
      <c r="I6" s="800"/>
      <c r="J6" s="801"/>
      <c r="K6" s="149"/>
      <c r="L6" s="801"/>
      <c r="M6" s="149"/>
      <c r="N6" s="254"/>
      <c r="O6" s="149"/>
      <c r="P6" s="149"/>
      <c r="Q6" s="800"/>
      <c r="R6" s="801"/>
      <c r="S6" s="149"/>
      <c r="T6" s="254"/>
      <c r="U6" s="44"/>
      <c r="V6" s="44"/>
      <c r="W6" s="253"/>
      <c r="X6" s="254"/>
      <c r="Y6" s="253"/>
      <c r="Z6" s="149"/>
      <c r="AA6" s="253"/>
      <c r="AB6" s="254"/>
      <c r="AC6" s="255"/>
      <c r="AD6" s="149"/>
      <c r="AE6" s="149"/>
      <c r="AF6" s="255"/>
      <c r="AG6" s="149"/>
      <c r="AH6" s="290"/>
      <c r="AI6" s="149"/>
      <c r="AJ6" s="255"/>
      <c r="AK6" s="254"/>
      <c r="AL6" s="45"/>
      <c r="AM6" s="45"/>
      <c r="AN6" s="258"/>
      <c r="AO6" s="259"/>
      <c r="AP6" s="260"/>
      <c r="AQ6" s="259"/>
      <c r="AR6" s="260"/>
      <c r="AS6" s="259"/>
      <c r="AT6" s="36"/>
      <c r="AU6" s="36"/>
      <c r="AV6" s="36"/>
      <c r="AW6" s="36"/>
      <c r="AX6" s="36"/>
      <c r="AY6" s="36"/>
      <c r="AZ6" s="36"/>
    </row>
    <row r="7" spans="1:52" ht="12.75" customHeight="1" x14ac:dyDescent="0.2">
      <c r="A7" s="41"/>
      <c r="B7" s="41" t="s">
        <v>188</v>
      </c>
      <c r="C7" s="83"/>
      <c r="D7" s="83"/>
      <c r="E7" s="136"/>
      <c r="F7" s="119"/>
      <c r="G7" s="769"/>
      <c r="H7" s="45"/>
      <c r="I7" s="769"/>
      <c r="J7" s="770"/>
      <c r="K7" s="45"/>
      <c r="L7" s="770"/>
      <c r="M7" s="45"/>
      <c r="N7" s="134"/>
      <c r="O7" s="45"/>
      <c r="P7" s="45"/>
      <c r="Q7" s="769"/>
      <c r="R7" s="770"/>
      <c r="S7" s="45"/>
      <c r="T7" s="134"/>
      <c r="U7" s="44"/>
      <c r="V7" s="44"/>
      <c r="W7" s="265"/>
      <c r="X7" s="135"/>
      <c r="Y7" s="292"/>
      <c r="Z7" s="293"/>
      <c r="AA7" s="261"/>
      <c r="AB7" s="134"/>
      <c r="AC7" s="257"/>
      <c r="AD7" s="45"/>
      <c r="AE7" s="45"/>
      <c r="AF7" s="257"/>
      <c r="AG7" s="45"/>
      <c r="AH7" s="256"/>
      <c r="AI7" s="45"/>
      <c r="AJ7" s="257"/>
      <c r="AK7" s="134"/>
      <c r="AL7" s="211"/>
      <c r="AM7" s="211"/>
      <c r="AN7" s="262"/>
      <c r="AO7" s="263"/>
      <c r="AP7" s="184"/>
      <c r="AQ7" s="263"/>
      <c r="AR7" s="184"/>
      <c r="AS7" s="263"/>
      <c r="AT7" s="36"/>
      <c r="AU7" s="36"/>
      <c r="AV7" s="36"/>
      <c r="AW7" s="36"/>
      <c r="AX7" s="36"/>
      <c r="AY7" s="36"/>
      <c r="AZ7" s="36"/>
    </row>
    <row r="8" spans="1:52" x14ac:dyDescent="0.2">
      <c r="B8" t="s">
        <v>351</v>
      </c>
      <c r="C8" s="303" t="s">
        <v>400</v>
      </c>
      <c r="D8" s="303"/>
      <c r="E8" s="202">
        <v>90569</v>
      </c>
      <c r="F8" s="234"/>
      <c r="G8" s="802"/>
      <c r="H8" s="211"/>
      <c r="I8" s="802"/>
      <c r="J8" s="803"/>
      <c r="K8" s="211"/>
      <c r="L8" s="803"/>
      <c r="M8" s="211"/>
      <c r="N8" s="212"/>
      <c r="O8" s="211"/>
      <c r="P8" s="211"/>
      <c r="Q8" s="804">
        <v>1015</v>
      </c>
      <c r="R8" s="805"/>
      <c r="S8" s="213"/>
      <c r="T8" s="214"/>
      <c r="U8" s="184">
        <f t="shared" ref="U8:U84" si="0">O8+Q8+S8</f>
        <v>1015</v>
      </c>
      <c r="V8" s="184">
        <f t="shared" ref="V8:V84" si="1">P8+R8+T8</f>
        <v>0</v>
      </c>
      <c r="W8" s="262">
        <f>E8+G8+I8+K8+M8+U8</f>
        <v>91584</v>
      </c>
      <c r="X8" s="263">
        <f>F8+H8+J8+L8+N8+V8</f>
        <v>0</v>
      </c>
      <c r="Y8" s="292"/>
      <c r="Z8" s="293"/>
      <c r="AA8" s="261"/>
      <c r="AB8" s="134"/>
      <c r="AC8" s="257"/>
      <c r="AD8" s="45"/>
      <c r="AE8" s="45"/>
      <c r="AF8" s="257"/>
      <c r="AG8" s="45"/>
      <c r="AH8" s="256"/>
      <c r="AI8" s="45"/>
      <c r="AJ8" s="257"/>
      <c r="AK8" s="134"/>
      <c r="AL8" s="211"/>
      <c r="AM8" s="211"/>
      <c r="AN8" s="262">
        <f t="shared" ref="AN8:AN22" si="2">W8+Y8+AA8+AD8+AI8+AL8</f>
        <v>91584</v>
      </c>
      <c r="AO8" s="263">
        <f t="shared" ref="AO8:AO22" si="3">X8+Z8+AB8+AG8+AK8+AM8</f>
        <v>0</v>
      </c>
      <c r="AP8" s="184"/>
      <c r="AQ8" s="263"/>
      <c r="AR8" s="184">
        <f>IF(AN8-AO8&lt;0, " ",AN8-AO8)</f>
        <v>91584</v>
      </c>
      <c r="AS8" s="263" t="str">
        <f t="shared" ref="AS8:AS22" si="4">IF(AN8-AO8&gt;0, " ",AO8-AN8)</f>
        <v xml:space="preserve"> </v>
      </c>
      <c r="AT8" s="36"/>
      <c r="AU8" s="36"/>
      <c r="AV8" s="36"/>
      <c r="AW8" s="36"/>
      <c r="AX8" s="36"/>
      <c r="AY8" s="36"/>
      <c r="AZ8" s="36"/>
    </row>
    <row r="9" spans="1:52" s="11" customFormat="1" x14ac:dyDescent="0.2">
      <c r="C9" s="311" t="s">
        <v>353</v>
      </c>
      <c r="D9" s="311"/>
      <c r="E9" s="204"/>
      <c r="F9" s="235"/>
      <c r="G9" s="804"/>
      <c r="H9" s="213"/>
      <c r="I9" s="804"/>
      <c r="J9" s="805"/>
      <c r="K9" s="213"/>
      <c r="L9" s="805"/>
      <c r="M9" s="213"/>
      <c r="N9" s="214"/>
      <c r="O9" s="213"/>
      <c r="P9" s="213"/>
      <c r="Q9" s="804"/>
      <c r="R9" s="805"/>
      <c r="S9" s="213"/>
      <c r="T9" s="214"/>
      <c r="U9" s="184">
        <f t="shared" si="0"/>
        <v>0</v>
      </c>
      <c r="V9" s="184">
        <f t="shared" si="1"/>
        <v>0</v>
      </c>
      <c r="W9" s="262">
        <f t="shared" ref="W9:W85" si="5">E9+G9+I9+K9+M9+U9</f>
        <v>0</v>
      </c>
      <c r="X9" s="263">
        <f t="shared" ref="X9:X85" si="6">F9+H9+J9+L9+N9+V9</f>
        <v>0</v>
      </c>
      <c r="Y9" s="294"/>
      <c r="Z9" s="295"/>
      <c r="AA9" s="265"/>
      <c r="AB9" s="135"/>
      <c r="AC9" s="266"/>
      <c r="AD9" s="44"/>
      <c r="AE9" s="44"/>
      <c r="AF9" s="266"/>
      <c r="AG9" s="44"/>
      <c r="AH9" s="267"/>
      <c r="AI9" s="44"/>
      <c r="AJ9" s="266"/>
      <c r="AK9" s="135"/>
      <c r="AL9" s="213"/>
      <c r="AM9" s="213"/>
      <c r="AN9" s="262">
        <f t="shared" si="2"/>
        <v>0</v>
      </c>
      <c r="AO9" s="263">
        <f t="shared" si="3"/>
        <v>0</v>
      </c>
      <c r="AP9" s="184"/>
      <c r="AQ9" s="263"/>
      <c r="AR9" s="184">
        <f t="shared" ref="AR9:AR10" si="7">IF(AN9-AO9&lt;0, " ",AN9-AO9)</f>
        <v>0</v>
      </c>
      <c r="AS9" s="263">
        <f t="shared" si="4"/>
        <v>0</v>
      </c>
      <c r="AT9" s="78"/>
      <c r="AU9" s="78"/>
      <c r="AV9" s="78"/>
      <c r="AW9" s="78"/>
      <c r="AX9" s="78"/>
      <c r="AY9" s="78"/>
      <c r="AZ9" s="78"/>
    </row>
    <row r="10" spans="1:52" s="740" customFormat="1" x14ac:dyDescent="0.2">
      <c r="C10" s="445" t="s">
        <v>1663</v>
      </c>
      <c r="D10" s="311"/>
      <c r="E10" s="204"/>
      <c r="F10" s="235"/>
      <c r="G10" s="804"/>
      <c r="H10" s="213"/>
      <c r="I10" s="804"/>
      <c r="J10" s="805"/>
      <c r="K10" s="213"/>
      <c r="L10" s="805"/>
      <c r="M10" s="213"/>
      <c r="N10" s="214"/>
      <c r="O10" s="213"/>
      <c r="P10" s="213"/>
      <c r="Q10" s="804"/>
      <c r="R10" s="805"/>
      <c r="S10" s="213"/>
      <c r="T10" s="214"/>
      <c r="U10" s="184"/>
      <c r="V10" s="184"/>
      <c r="W10" s="262"/>
      <c r="X10" s="263"/>
      <c r="Y10" s="294"/>
      <c r="Z10" s="295"/>
      <c r="AA10" s="265"/>
      <c r="AB10" s="135"/>
      <c r="AC10" s="266" t="s">
        <v>1634</v>
      </c>
      <c r="AD10" s="44">
        <f>'L. GASB 75 DIPNC'!C93</f>
        <v>0</v>
      </c>
      <c r="AE10" s="44"/>
      <c r="AF10" s="266"/>
      <c r="AG10" s="44"/>
      <c r="AH10" s="267"/>
      <c r="AI10" s="44"/>
      <c r="AJ10" s="266"/>
      <c r="AK10" s="135"/>
      <c r="AL10" s="213"/>
      <c r="AM10" s="213"/>
      <c r="AN10" s="262">
        <f t="shared" si="2"/>
        <v>0</v>
      </c>
      <c r="AO10" s="263"/>
      <c r="AP10" s="184"/>
      <c r="AQ10" s="263"/>
      <c r="AR10" s="184">
        <f t="shared" si="7"/>
        <v>0</v>
      </c>
      <c r="AS10" s="263"/>
      <c r="AT10" s="78"/>
      <c r="AU10" s="78"/>
      <c r="AV10" s="78"/>
      <c r="AW10" s="78"/>
      <c r="AX10" s="78"/>
      <c r="AY10" s="78"/>
      <c r="AZ10" s="78"/>
    </row>
    <row r="11" spans="1:52" s="11" customFormat="1" x14ac:dyDescent="0.2">
      <c r="C11" s="303" t="s">
        <v>104</v>
      </c>
      <c r="D11" s="303"/>
      <c r="E11" s="204"/>
      <c r="F11" s="235"/>
      <c r="G11" s="804"/>
      <c r="H11" s="213"/>
      <c r="I11" s="804"/>
      <c r="J11" s="805"/>
      <c r="K11" s="213"/>
      <c r="L11" s="805"/>
      <c r="M11" s="213"/>
      <c r="N11" s="214"/>
      <c r="O11" s="213"/>
      <c r="P11" s="213"/>
      <c r="Q11" s="804"/>
      <c r="R11" s="805"/>
      <c r="S11" s="213"/>
      <c r="T11" s="214"/>
      <c r="U11" s="184">
        <f t="shared" si="0"/>
        <v>0</v>
      </c>
      <c r="V11" s="184">
        <f t="shared" si="1"/>
        <v>0</v>
      </c>
      <c r="W11" s="262">
        <f t="shared" si="5"/>
        <v>0</v>
      </c>
      <c r="X11" s="263">
        <f t="shared" si="6"/>
        <v>0</v>
      </c>
      <c r="Y11" s="294"/>
      <c r="Z11" s="295"/>
      <c r="AA11" s="265"/>
      <c r="AB11" s="135"/>
      <c r="AC11" s="266" t="str">
        <f>'G.  Other Asset Entries'!B90</f>
        <v>G.1</v>
      </c>
      <c r="AD11" s="44">
        <f>'G.  Other Asset Entries'!L90</f>
        <v>0</v>
      </c>
      <c r="AE11" s="44"/>
      <c r="AF11" s="266"/>
      <c r="AG11" s="44"/>
      <c r="AH11" s="267"/>
      <c r="AI11" s="44"/>
      <c r="AJ11" s="266"/>
      <c r="AK11" s="135"/>
      <c r="AL11" s="213"/>
      <c r="AM11" s="213"/>
      <c r="AN11" s="262">
        <f t="shared" si="2"/>
        <v>0</v>
      </c>
      <c r="AO11" s="263">
        <f t="shared" si="3"/>
        <v>0</v>
      </c>
      <c r="AP11" s="184"/>
      <c r="AQ11" s="263"/>
      <c r="AR11" s="184">
        <f>IF(AN11-AO11&lt;0, " ",AN11-AO11)</f>
        <v>0</v>
      </c>
      <c r="AS11" s="263">
        <f t="shared" si="4"/>
        <v>0</v>
      </c>
      <c r="AT11" s="78"/>
      <c r="AU11" s="78"/>
      <c r="AV11" s="78"/>
      <c r="AW11" s="78"/>
      <c r="AX11" s="78"/>
      <c r="AY11" s="78"/>
      <c r="AZ11" s="78"/>
    </row>
    <row r="12" spans="1:52" x14ac:dyDescent="0.2">
      <c r="A12" s="11"/>
      <c r="B12" s="11"/>
      <c r="C12" s="328" t="s">
        <v>354</v>
      </c>
      <c r="D12" s="328"/>
      <c r="E12" s="206"/>
      <c r="F12" s="233"/>
      <c r="G12" s="806">
        <v>9000</v>
      </c>
      <c r="H12" s="215"/>
      <c r="I12" s="806"/>
      <c r="J12" s="807"/>
      <c r="K12" s="215"/>
      <c r="L12" s="807"/>
      <c r="M12" s="215"/>
      <c r="N12" s="216"/>
      <c r="O12" s="215"/>
      <c r="P12" s="215"/>
      <c r="Q12" s="806"/>
      <c r="R12" s="807"/>
      <c r="S12" s="215"/>
      <c r="T12" s="216"/>
      <c r="U12" s="184">
        <f t="shared" si="0"/>
        <v>0</v>
      </c>
      <c r="V12" s="184">
        <f t="shared" si="1"/>
        <v>0</v>
      </c>
      <c r="W12" s="262">
        <f t="shared" si="5"/>
        <v>9000</v>
      </c>
      <c r="X12" s="263">
        <f t="shared" si="6"/>
        <v>0</v>
      </c>
      <c r="Y12" s="296"/>
      <c r="Z12" s="297"/>
      <c r="AA12" s="268"/>
      <c r="AB12" s="178"/>
      <c r="AC12" s="269"/>
      <c r="AD12" s="177"/>
      <c r="AE12" s="177"/>
      <c r="AF12" s="269"/>
      <c r="AG12" s="177"/>
      <c r="AH12" s="270"/>
      <c r="AI12" s="177"/>
      <c r="AJ12" s="269" t="str">
        <f>'I. Eliminations-Consolidations'!A213</f>
        <v>I.2</v>
      </c>
      <c r="AK12" s="178">
        <f>'I. Eliminations-Consolidations'!L215</f>
        <v>9000</v>
      </c>
      <c r="AL12" s="215"/>
      <c r="AM12" s="215"/>
      <c r="AN12" s="262">
        <f t="shared" si="2"/>
        <v>9000</v>
      </c>
      <c r="AO12" s="263">
        <f t="shared" si="3"/>
        <v>9000</v>
      </c>
      <c r="AP12" s="184"/>
      <c r="AQ12" s="263"/>
      <c r="AR12" s="184" t="str">
        <f>IF(AN12+AN13+AN14-AO12-AO13-AO14&lt;=0, " ",AN12+AN13+AN14-AO12-AO13-AO14)</f>
        <v xml:space="preserve"> </v>
      </c>
      <c r="AS12" s="263" t="str">
        <f>IF(AN12+AN13+AN14-AO12-AO13-AO14&gt;=0, " ",AO12+AO13+AO14-AN12-AN13-AN14)</f>
        <v xml:space="preserve"> </v>
      </c>
      <c r="AT12" s="36"/>
      <c r="AU12" s="36"/>
      <c r="AV12" s="36"/>
      <c r="AW12" s="36"/>
      <c r="AX12" s="36"/>
      <c r="AY12" s="36"/>
      <c r="AZ12" s="36"/>
    </row>
    <row r="13" spans="1:52" x14ac:dyDescent="0.2">
      <c r="A13" s="11"/>
      <c r="B13" s="11"/>
      <c r="C13" s="328"/>
      <c r="D13" s="328"/>
      <c r="E13" s="206"/>
      <c r="F13" s="207"/>
      <c r="G13" s="806"/>
      <c r="H13" s="215"/>
      <c r="I13" s="806"/>
      <c r="J13" s="807"/>
      <c r="K13" s="215"/>
      <c r="L13" s="807"/>
      <c r="M13" s="215"/>
      <c r="N13" s="216"/>
      <c r="O13" s="215"/>
      <c r="P13" s="215"/>
      <c r="Q13" s="806"/>
      <c r="R13" s="807"/>
      <c r="S13" s="215"/>
      <c r="T13" s="216"/>
      <c r="U13" s="184">
        <f t="shared" si="0"/>
        <v>0</v>
      </c>
      <c r="V13" s="184">
        <f t="shared" si="1"/>
        <v>0</v>
      </c>
      <c r="W13" s="262">
        <f t="shared" si="5"/>
        <v>0</v>
      </c>
      <c r="X13" s="263">
        <f t="shared" si="6"/>
        <v>0</v>
      </c>
      <c r="Y13" s="296"/>
      <c r="Z13" s="297"/>
      <c r="AA13" s="268"/>
      <c r="AB13" s="178"/>
      <c r="AC13" s="269"/>
      <c r="AD13" s="177"/>
      <c r="AE13" s="177"/>
      <c r="AF13" s="269"/>
      <c r="AG13" s="177"/>
      <c r="AH13" s="270"/>
      <c r="AI13" s="177"/>
      <c r="AJ13" s="269" t="str">
        <f>'I. Eliminations-Consolidations'!A218</f>
        <v>I.3</v>
      </c>
      <c r="AK13" s="178">
        <f>'I. Eliminations-Consolidations'!L222</f>
        <v>0</v>
      </c>
      <c r="AL13" s="215"/>
      <c r="AM13" s="215"/>
      <c r="AN13" s="262">
        <f t="shared" si="2"/>
        <v>0</v>
      </c>
      <c r="AO13" s="263">
        <f t="shared" si="3"/>
        <v>0</v>
      </c>
      <c r="AP13" s="184"/>
      <c r="AQ13" s="263"/>
      <c r="AR13" s="184"/>
      <c r="AS13" s="263"/>
      <c r="AT13" s="36"/>
      <c r="AU13" s="36"/>
      <c r="AV13" s="36"/>
      <c r="AW13" s="36"/>
      <c r="AX13" s="36"/>
      <c r="AY13" s="36"/>
      <c r="AZ13" s="36"/>
    </row>
    <row r="14" spans="1:52" x14ac:dyDescent="0.2">
      <c r="A14" s="11"/>
      <c r="B14" s="11"/>
      <c r="C14" s="328"/>
      <c r="D14" s="328"/>
      <c r="E14" s="206"/>
      <c r="F14" s="207"/>
      <c r="G14" s="806"/>
      <c r="H14" s="215"/>
      <c r="I14" s="806"/>
      <c r="J14" s="807"/>
      <c r="K14" s="215"/>
      <c r="L14" s="807"/>
      <c r="M14" s="215"/>
      <c r="N14" s="216"/>
      <c r="O14" s="215"/>
      <c r="P14" s="215"/>
      <c r="Q14" s="806"/>
      <c r="R14" s="807"/>
      <c r="S14" s="215"/>
      <c r="T14" s="216"/>
      <c r="U14" s="184">
        <f t="shared" si="0"/>
        <v>0</v>
      </c>
      <c r="V14" s="184">
        <f t="shared" si="1"/>
        <v>0</v>
      </c>
      <c r="W14" s="262">
        <f t="shared" si="5"/>
        <v>0</v>
      </c>
      <c r="X14" s="263">
        <f t="shared" si="6"/>
        <v>0</v>
      </c>
      <c r="Y14" s="296"/>
      <c r="Z14" s="297"/>
      <c r="AA14" s="268"/>
      <c r="AB14" s="178"/>
      <c r="AC14" s="269"/>
      <c r="AD14" s="177"/>
      <c r="AE14" s="177"/>
      <c r="AF14" s="269"/>
      <c r="AG14" s="177"/>
      <c r="AH14" s="270"/>
      <c r="AI14" s="177"/>
      <c r="AJ14" s="269" t="str">
        <f>'I. Eliminations-Consolidations'!A224</f>
        <v>I.4</v>
      </c>
      <c r="AK14" s="178">
        <f>'I. Eliminations-Consolidations'!L225</f>
        <v>0</v>
      </c>
      <c r="AL14" s="215"/>
      <c r="AM14" s="215"/>
      <c r="AN14" s="262">
        <f t="shared" si="2"/>
        <v>0</v>
      </c>
      <c r="AO14" s="263">
        <f t="shared" si="3"/>
        <v>0</v>
      </c>
      <c r="AP14" s="184"/>
      <c r="AQ14" s="263"/>
      <c r="AR14" s="184"/>
      <c r="AS14" s="263"/>
      <c r="AT14" s="36"/>
      <c r="AU14" s="36"/>
      <c r="AV14" s="36"/>
      <c r="AW14" s="36"/>
      <c r="AX14" s="36"/>
      <c r="AY14" s="36"/>
      <c r="AZ14" s="36"/>
    </row>
    <row r="15" spans="1:52" s="11" customFormat="1" x14ac:dyDescent="0.2">
      <c r="C15" s="311" t="s">
        <v>430</v>
      </c>
      <c r="D15" s="311"/>
      <c r="E15" s="204"/>
      <c r="F15" s="205"/>
      <c r="G15" s="804"/>
      <c r="H15" s="213"/>
      <c r="I15" s="804"/>
      <c r="J15" s="805"/>
      <c r="K15" s="213"/>
      <c r="L15" s="805"/>
      <c r="M15" s="213"/>
      <c r="N15" s="214"/>
      <c r="O15" s="213"/>
      <c r="P15" s="213"/>
      <c r="Q15" s="804"/>
      <c r="R15" s="805"/>
      <c r="S15" s="213"/>
      <c r="T15" s="214"/>
      <c r="U15" s="184">
        <f t="shared" si="0"/>
        <v>0</v>
      </c>
      <c r="V15" s="184">
        <f t="shared" si="1"/>
        <v>0</v>
      </c>
      <c r="W15" s="262">
        <f t="shared" si="5"/>
        <v>0</v>
      </c>
      <c r="X15" s="263">
        <f t="shared" si="6"/>
        <v>0</v>
      </c>
      <c r="Y15" s="294"/>
      <c r="Z15" s="295"/>
      <c r="AA15" s="265"/>
      <c r="AB15" s="135"/>
      <c r="AC15" s="266"/>
      <c r="AD15" s="44"/>
      <c r="AE15" s="44"/>
      <c r="AF15" s="266"/>
      <c r="AG15" s="44"/>
      <c r="AH15" s="267" t="str">
        <f>'I. Eliminations-Consolidations'!A224</f>
        <v>I.4</v>
      </c>
      <c r="AI15" s="44">
        <f>'I. Eliminations-Consolidations'!J224</f>
        <v>0</v>
      </c>
      <c r="AJ15" s="266"/>
      <c r="AK15" s="135"/>
      <c r="AL15" s="213"/>
      <c r="AM15" s="213"/>
      <c r="AN15" s="262">
        <f t="shared" si="2"/>
        <v>0</v>
      </c>
      <c r="AO15" s="263">
        <f t="shared" si="3"/>
        <v>0</v>
      </c>
      <c r="AP15" s="184"/>
      <c r="AQ15" s="263"/>
      <c r="AR15" s="184">
        <f>IF(AN15-AO15&lt;0, " ",AN15-AO15)</f>
        <v>0</v>
      </c>
      <c r="AS15" s="263">
        <f t="shared" si="4"/>
        <v>0</v>
      </c>
      <c r="AT15" s="78"/>
      <c r="AU15" s="78"/>
      <c r="AV15" s="78"/>
      <c r="AW15" s="78"/>
      <c r="AX15" s="78"/>
      <c r="AY15" s="78"/>
      <c r="AZ15" s="78"/>
    </row>
    <row r="16" spans="1:52" s="11" customFormat="1" x14ac:dyDescent="0.2">
      <c r="C16" s="311" t="s">
        <v>355</v>
      </c>
      <c r="D16" s="311"/>
      <c r="E16" s="204">
        <v>5747</v>
      </c>
      <c r="F16" s="205"/>
      <c r="G16" s="804">
        <v>84724</v>
      </c>
      <c r="H16" s="213"/>
      <c r="I16" s="804"/>
      <c r="J16" s="805"/>
      <c r="K16" s="213"/>
      <c r="L16" s="805"/>
      <c r="M16" s="213"/>
      <c r="N16" s="214"/>
      <c r="O16" s="213">
        <v>3696</v>
      </c>
      <c r="P16" s="213"/>
      <c r="Q16" s="804"/>
      <c r="R16" s="805"/>
      <c r="S16" s="213"/>
      <c r="T16" s="214"/>
      <c r="U16" s="184">
        <f t="shared" si="0"/>
        <v>3696</v>
      </c>
      <c r="V16" s="184">
        <f t="shared" si="1"/>
        <v>0</v>
      </c>
      <c r="W16" s="262">
        <f t="shared" si="5"/>
        <v>94167</v>
      </c>
      <c r="X16" s="263">
        <f t="shared" si="6"/>
        <v>0</v>
      </c>
      <c r="Y16" s="294"/>
      <c r="Z16" s="295"/>
      <c r="AA16" s="265"/>
      <c r="AB16" s="135"/>
      <c r="AC16" s="266"/>
      <c r="AD16" s="44"/>
      <c r="AE16" s="44"/>
      <c r="AF16" s="266"/>
      <c r="AG16" s="44"/>
      <c r="AH16" s="267"/>
      <c r="AI16" s="44"/>
      <c r="AJ16" s="266"/>
      <c r="AK16" s="135"/>
      <c r="AL16" s="213"/>
      <c r="AM16" s="213"/>
      <c r="AN16" s="262">
        <f t="shared" si="2"/>
        <v>94167</v>
      </c>
      <c r="AO16" s="263">
        <f t="shared" si="3"/>
        <v>0</v>
      </c>
      <c r="AP16" s="184"/>
      <c r="AQ16" s="263"/>
      <c r="AR16" s="184">
        <f>IF(AN16-AO16&lt;0, " ",AN16-AO16)</f>
        <v>94167</v>
      </c>
      <c r="AS16" s="263" t="str">
        <f t="shared" si="4"/>
        <v xml:space="preserve"> </v>
      </c>
      <c r="AT16" s="78"/>
      <c r="AU16" s="78"/>
      <c r="AV16" s="78"/>
      <c r="AW16" s="78"/>
      <c r="AX16" s="78"/>
      <c r="AY16" s="78"/>
      <c r="AZ16" s="78"/>
    </row>
    <row r="17" spans="1:241" x14ac:dyDescent="0.2">
      <c r="C17" s="328" t="s">
        <v>643</v>
      </c>
      <c r="D17" s="328"/>
      <c r="E17" s="206"/>
      <c r="F17" s="207"/>
      <c r="G17" s="806"/>
      <c r="H17" s="215"/>
      <c r="I17" s="806"/>
      <c r="J17" s="807"/>
      <c r="K17" s="215"/>
      <c r="L17" s="807"/>
      <c r="M17" s="215"/>
      <c r="N17" s="216"/>
      <c r="O17" s="215"/>
      <c r="P17" s="215"/>
      <c r="Q17" s="806"/>
      <c r="R17" s="807"/>
      <c r="S17" s="215"/>
      <c r="T17" s="216"/>
      <c r="U17" s="184">
        <f t="shared" si="0"/>
        <v>0</v>
      </c>
      <c r="V17" s="184">
        <f t="shared" si="1"/>
        <v>0</v>
      </c>
      <c r="W17" s="262">
        <f t="shared" si="5"/>
        <v>0</v>
      </c>
      <c r="X17" s="263">
        <f t="shared" si="6"/>
        <v>0</v>
      </c>
      <c r="Y17" s="296"/>
      <c r="Z17" s="297"/>
      <c r="AA17" s="268"/>
      <c r="AB17" s="178"/>
      <c r="AC17" s="269"/>
      <c r="AD17" s="177"/>
      <c r="AE17" s="177"/>
      <c r="AF17" s="269"/>
      <c r="AG17" s="177"/>
      <c r="AH17" s="270"/>
      <c r="AI17" s="177"/>
      <c r="AJ17" s="269" t="str">
        <f>'I. Eliminations-Consolidations'!$A$218</f>
        <v>I.3</v>
      </c>
      <c r="AK17" s="178">
        <f>'I. Eliminations-Consolidations'!L221</f>
        <v>0</v>
      </c>
      <c r="AL17" s="215"/>
      <c r="AM17" s="215"/>
      <c r="AN17" s="262">
        <f t="shared" si="2"/>
        <v>0</v>
      </c>
      <c r="AO17" s="263">
        <f t="shared" si="3"/>
        <v>0</v>
      </c>
      <c r="AP17" s="184"/>
      <c r="AQ17" s="263"/>
      <c r="AR17" s="184">
        <f>IF(AN17+AN18-AO17-AO18&lt;0, " ",AN17+AN18-AO17-AO18)</f>
        <v>0</v>
      </c>
      <c r="AS17" s="263">
        <f>IF(AN17+AN18-AO17-AO18&gt;0, " ",AO17+AO18-AN17-AN18)</f>
        <v>0</v>
      </c>
      <c r="AT17" s="36"/>
      <c r="AU17" s="36"/>
      <c r="AV17" s="36"/>
      <c r="AW17" s="36"/>
      <c r="AX17" s="36"/>
      <c r="AY17" s="36"/>
      <c r="AZ17" s="36"/>
    </row>
    <row r="18" spans="1:241" x14ac:dyDescent="0.2">
      <c r="C18" s="328"/>
      <c r="D18" s="328"/>
      <c r="E18" s="206"/>
      <c r="F18" s="207"/>
      <c r="G18" s="806"/>
      <c r="H18" s="215"/>
      <c r="I18" s="806"/>
      <c r="J18" s="807"/>
      <c r="K18" s="215"/>
      <c r="L18" s="807"/>
      <c r="M18" s="215"/>
      <c r="N18" s="216"/>
      <c r="O18" s="215"/>
      <c r="P18" s="215"/>
      <c r="Q18" s="806"/>
      <c r="R18" s="807"/>
      <c r="S18" s="215"/>
      <c r="T18" s="216"/>
      <c r="U18" s="184">
        <f>O18+Q18+S18</f>
        <v>0</v>
      </c>
      <c r="V18" s="184">
        <f>P18+R18+T18</f>
        <v>0</v>
      </c>
      <c r="W18" s="262">
        <f>E18+G18+I18+K18+M18+U18</f>
        <v>0</v>
      </c>
      <c r="X18" s="263">
        <f>F18+H18+J18+L18+N18+V18</f>
        <v>0</v>
      </c>
      <c r="Y18" s="296"/>
      <c r="Z18" s="297"/>
      <c r="AA18" s="268"/>
      <c r="AB18" s="178"/>
      <c r="AC18" s="269"/>
      <c r="AD18" s="177"/>
      <c r="AE18" s="177"/>
      <c r="AF18" s="269"/>
      <c r="AG18" s="177"/>
      <c r="AH18" s="270"/>
      <c r="AI18" s="177"/>
      <c r="AJ18" s="269" t="str">
        <f>'I. Eliminations-Consolidations'!A213</f>
        <v>I.2</v>
      </c>
      <c r="AK18" s="178">
        <f>'I. Eliminations-Consolidations'!L216</f>
        <v>0</v>
      </c>
      <c r="AL18" s="215"/>
      <c r="AM18" s="215"/>
      <c r="AN18" s="262">
        <f t="shared" si="2"/>
        <v>0</v>
      </c>
      <c r="AO18" s="263">
        <f t="shared" si="3"/>
        <v>0</v>
      </c>
      <c r="AP18" s="184"/>
      <c r="AQ18" s="263"/>
      <c r="AR18" s="184"/>
      <c r="AS18" s="263"/>
      <c r="AT18" s="36"/>
      <c r="AU18" s="36"/>
      <c r="AV18" s="36"/>
      <c r="AW18" s="36"/>
      <c r="AX18" s="36"/>
      <c r="AY18" s="36"/>
      <c r="AZ18" s="36"/>
    </row>
    <row r="19" spans="1:241" x14ac:dyDescent="0.2">
      <c r="C19" s="311" t="s">
        <v>693</v>
      </c>
      <c r="D19" s="311"/>
      <c r="E19" s="204"/>
      <c r="F19" s="205"/>
      <c r="G19" s="804"/>
      <c r="H19" s="213"/>
      <c r="I19" s="804"/>
      <c r="J19" s="805"/>
      <c r="K19" s="213"/>
      <c r="L19" s="805"/>
      <c r="M19" s="213"/>
      <c r="N19" s="214"/>
      <c r="O19" s="213"/>
      <c r="P19" s="213"/>
      <c r="Q19" s="804"/>
      <c r="R19" s="805"/>
      <c r="S19" s="213"/>
      <c r="T19" s="214"/>
      <c r="U19" s="184">
        <f t="shared" si="0"/>
        <v>0</v>
      </c>
      <c r="V19" s="184">
        <f t="shared" si="1"/>
        <v>0</v>
      </c>
      <c r="W19" s="262">
        <f t="shared" si="5"/>
        <v>0</v>
      </c>
      <c r="X19" s="263">
        <f t="shared" si="6"/>
        <v>0</v>
      </c>
      <c r="Y19" s="294"/>
      <c r="Z19" s="295"/>
      <c r="AA19" s="265"/>
      <c r="AB19" s="135"/>
      <c r="AC19" s="266"/>
      <c r="AD19" s="44"/>
      <c r="AE19" s="44"/>
      <c r="AF19" s="266"/>
      <c r="AG19" s="44"/>
      <c r="AH19" s="267" t="str">
        <f>'I. Eliminations-Consolidations'!$A$218</f>
        <v>I.3</v>
      </c>
      <c r="AI19" s="44">
        <f>'I. Eliminations-Consolidations'!J220</f>
        <v>0</v>
      </c>
      <c r="AJ19" s="266"/>
      <c r="AK19" s="135"/>
      <c r="AL19" s="213"/>
      <c r="AM19" s="213"/>
      <c r="AN19" s="262">
        <f t="shared" si="2"/>
        <v>0</v>
      </c>
      <c r="AO19" s="263">
        <f t="shared" si="3"/>
        <v>0</v>
      </c>
      <c r="AP19" s="184"/>
      <c r="AQ19" s="263"/>
      <c r="AR19" s="184">
        <f>IF(AN19-AO19&lt;0, " ",AN19-AO19)</f>
        <v>0</v>
      </c>
      <c r="AS19" s="263">
        <f t="shared" si="4"/>
        <v>0</v>
      </c>
      <c r="AT19" s="36"/>
      <c r="AU19" s="36"/>
      <c r="AV19" s="36"/>
      <c r="AW19" s="36"/>
      <c r="AX19" s="36"/>
      <c r="AY19" s="36"/>
      <c r="AZ19" s="36"/>
    </row>
    <row r="20" spans="1:241" s="11" customFormat="1" x14ac:dyDescent="0.2">
      <c r="C20" s="311" t="s">
        <v>356</v>
      </c>
      <c r="D20" s="311"/>
      <c r="E20" s="204">
        <v>500</v>
      </c>
      <c r="F20" s="235"/>
      <c r="G20" s="804"/>
      <c r="H20" s="213"/>
      <c r="I20" s="804"/>
      <c r="J20" s="805"/>
      <c r="K20" s="213"/>
      <c r="L20" s="805"/>
      <c r="M20" s="213"/>
      <c r="N20" s="214"/>
      <c r="O20" s="213"/>
      <c r="P20" s="213"/>
      <c r="Q20" s="804"/>
      <c r="R20" s="805"/>
      <c r="S20" s="213"/>
      <c r="T20" s="214"/>
      <c r="U20" s="184">
        <f t="shared" si="0"/>
        <v>0</v>
      </c>
      <c r="V20" s="184">
        <f t="shared" si="1"/>
        <v>0</v>
      </c>
      <c r="W20" s="262">
        <f t="shared" si="5"/>
        <v>500</v>
      </c>
      <c r="X20" s="263">
        <f t="shared" si="6"/>
        <v>0</v>
      </c>
      <c r="Y20" s="294"/>
      <c r="Z20" s="295"/>
      <c r="AA20" s="265"/>
      <c r="AB20" s="135"/>
      <c r="AC20" s="271"/>
      <c r="AD20" s="44"/>
      <c r="AE20" s="44"/>
      <c r="AF20" s="266"/>
      <c r="AG20" s="44"/>
      <c r="AH20" s="267"/>
      <c r="AI20" s="44"/>
      <c r="AJ20" s="266"/>
      <c r="AK20" s="135"/>
      <c r="AL20" s="213"/>
      <c r="AM20" s="213"/>
      <c r="AN20" s="262">
        <f t="shared" si="2"/>
        <v>500</v>
      </c>
      <c r="AO20" s="263">
        <f t="shared" si="3"/>
        <v>0</v>
      </c>
      <c r="AP20" s="184"/>
      <c r="AQ20" s="263"/>
      <c r="AR20" s="184">
        <f>IF(AN20-AO20&lt;0, " ",AN20-AO20)</f>
        <v>500</v>
      </c>
      <c r="AS20" s="263" t="str">
        <f t="shared" si="4"/>
        <v xml:space="preserve"> </v>
      </c>
      <c r="AT20" s="78"/>
      <c r="AU20" s="78"/>
      <c r="AV20" s="78"/>
      <c r="AW20" s="78"/>
      <c r="AX20" s="78"/>
      <c r="AY20" s="78"/>
      <c r="AZ20" s="78"/>
    </row>
    <row r="21" spans="1:241" x14ac:dyDescent="0.2">
      <c r="C21" s="303" t="s">
        <v>357</v>
      </c>
      <c r="D21" s="303"/>
      <c r="E21" s="202">
        <v>8000</v>
      </c>
      <c r="F21" s="234"/>
      <c r="G21" s="802"/>
      <c r="H21" s="211"/>
      <c r="I21" s="802"/>
      <c r="J21" s="803"/>
      <c r="K21" s="211"/>
      <c r="L21" s="803"/>
      <c r="M21" s="211"/>
      <c r="N21" s="212"/>
      <c r="O21" s="211"/>
      <c r="P21" s="211"/>
      <c r="Q21" s="802"/>
      <c r="R21" s="803"/>
      <c r="S21" s="211"/>
      <c r="T21" s="212"/>
      <c r="U21" s="184">
        <f t="shared" si="0"/>
        <v>0</v>
      </c>
      <c r="V21" s="184">
        <f t="shared" si="1"/>
        <v>0</v>
      </c>
      <c r="W21" s="262">
        <f t="shared" si="5"/>
        <v>8000</v>
      </c>
      <c r="X21" s="263">
        <f t="shared" si="6"/>
        <v>0</v>
      </c>
      <c r="Y21" s="292"/>
      <c r="Z21" s="293"/>
      <c r="AA21" s="261"/>
      <c r="AB21" s="134"/>
      <c r="AC21" s="272"/>
      <c r="AD21" s="45"/>
      <c r="AE21" s="45"/>
      <c r="AF21" s="257"/>
      <c r="AG21" s="45"/>
      <c r="AH21" s="267"/>
      <c r="AI21" s="45"/>
      <c r="AJ21" s="257"/>
      <c r="AK21" s="134"/>
      <c r="AL21" s="211"/>
      <c r="AM21" s="211"/>
      <c r="AN21" s="262">
        <f t="shared" si="2"/>
        <v>8000</v>
      </c>
      <c r="AO21" s="263">
        <f t="shared" si="3"/>
        <v>0</v>
      </c>
      <c r="AP21" s="184"/>
      <c r="AQ21" s="263"/>
      <c r="AR21" s="184">
        <f>IF(AN21-AO21&lt;0, " ",AN21-AO21)</f>
        <v>8000</v>
      </c>
      <c r="AS21" s="263" t="str">
        <f t="shared" si="4"/>
        <v xml:space="preserve"> </v>
      </c>
      <c r="AT21" s="36"/>
      <c r="AU21" s="36"/>
      <c r="AV21" s="36"/>
      <c r="AW21" s="36"/>
      <c r="AX21" s="36"/>
      <c r="AY21" s="36"/>
      <c r="AZ21" s="36"/>
    </row>
    <row r="22" spans="1:241" x14ac:dyDescent="0.2">
      <c r="A22" s="11"/>
      <c r="B22" s="11"/>
      <c r="C22" s="311" t="s">
        <v>411</v>
      </c>
      <c r="D22" s="311"/>
      <c r="E22" s="204"/>
      <c r="F22" s="205"/>
      <c r="G22" s="804"/>
      <c r="H22" s="213"/>
      <c r="I22" s="804"/>
      <c r="J22" s="805"/>
      <c r="K22" s="213"/>
      <c r="L22" s="805"/>
      <c r="M22" s="213"/>
      <c r="N22" s="214"/>
      <c r="O22" s="213"/>
      <c r="P22" s="213"/>
      <c r="Q22" s="804"/>
      <c r="R22" s="805"/>
      <c r="S22" s="213"/>
      <c r="T22" s="214"/>
      <c r="U22" s="184">
        <f t="shared" si="0"/>
        <v>0</v>
      </c>
      <c r="V22" s="184">
        <f t="shared" si="1"/>
        <v>0</v>
      </c>
      <c r="W22" s="262">
        <f t="shared" si="5"/>
        <v>0</v>
      </c>
      <c r="X22" s="263">
        <f t="shared" si="6"/>
        <v>0</v>
      </c>
      <c r="Y22" s="294"/>
      <c r="Z22" s="295"/>
      <c r="AA22" s="265"/>
      <c r="AB22" s="135"/>
      <c r="AC22" s="266"/>
      <c r="AD22" s="44"/>
      <c r="AE22" s="44"/>
      <c r="AF22" s="266"/>
      <c r="AG22" s="44"/>
      <c r="AH22" s="267"/>
      <c r="AI22" s="44"/>
      <c r="AJ22" s="266"/>
      <c r="AK22" s="135"/>
      <c r="AL22" s="213"/>
      <c r="AM22" s="213"/>
      <c r="AN22" s="262">
        <f t="shared" si="2"/>
        <v>0</v>
      </c>
      <c r="AO22" s="263">
        <f t="shared" si="3"/>
        <v>0</v>
      </c>
      <c r="AP22" s="184"/>
      <c r="AQ22" s="263"/>
      <c r="AR22" s="184">
        <f>IF(AN22-AO22&lt;0, " ",AN22-AO22)</f>
        <v>0</v>
      </c>
      <c r="AS22" s="263">
        <f t="shared" si="4"/>
        <v>0</v>
      </c>
      <c r="AT22" s="36"/>
      <c r="AU22" s="36"/>
      <c r="AV22" s="36"/>
      <c r="AW22" s="36"/>
      <c r="AX22" s="36"/>
      <c r="AY22" s="36"/>
      <c r="AZ22" s="36"/>
    </row>
    <row r="23" spans="1:241" s="454" customFormat="1" x14ac:dyDescent="0.2">
      <c r="A23" s="458"/>
      <c r="B23" s="458"/>
      <c r="C23" s="311" t="s">
        <v>1079</v>
      </c>
      <c r="D23" s="311"/>
      <c r="E23" s="204"/>
      <c r="F23" s="205"/>
      <c r="G23" s="804"/>
      <c r="H23" s="213"/>
      <c r="I23" s="804"/>
      <c r="J23" s="805"/>
      <c r="K23" s="213"/>
      <c r="L23" s="805"/>
      <c r="M23" s="213"/>
      <c r="N23" s="214"/>
      <c r="O23" s="213"/>
      <c r="P23" s="213"/>
      <c r="Q23" s="804"/>
      <c r="R23" s="805"/>
      <c r="S23" s="213"/>
      <c r="T23" s="214"/>
      <c r="U23" s="184">
        <f>O23+Q23+S23</f>
        <v>0</v>
      </c>
      <c r="V23" s="184">
        <f>P23+R23+T23</f>
        <v>0</v>
      </c>
      <c r="W23" s="262">
        <f>E23+G23+I23+K23+M23+U23</f>
        <v>0</v>
      </c>
      <c r="X23" s="263">
        <f>F23+H23+J23+L23+N23+V23</f>
        <v>0</v>
      </c>
      <c r="Y23" s="294"/>
      <c r="Z23" s="295"/>
      <c r="AA23" s="265"/>
      <c r="AB23" s="135"/>
      <c r="AC23" s="266" t="s">
        <v>1080</v>
      </c>
      <c r="AD23" s="849">
        <v>0</v>
      </c>
      <c r="AE23" s="44"/>
      <c r="AF23" s="266"/>
      <c r="AG23" s="44"/>
      <c r="AH23" s="267"/>
      <c r="AI23" s="44"/>
      <c r="AJ23" s="266"/>
      <c r="AK23" s="135"/>
      <c r="AL23" s="213"/>
      <c r="AM23" s="213"/>
      <c r="AN23" s="262">
        <f>W23+Y23+AA23+AD23+AI23+AL23</f>
        <v>0</v>
      </c>
      <c r="AO23" s="263">
        <f>X23+Z23+AB23+AG23+AK23+AM23</f>
        <v>0</v>
      </c>
      <c r="AP23" s="184"/>
      <c r="AQ23" s="263"/>
      <c r="AR23" s="184">
        <f>IF(AN23-AO23&lt;0, " ",AN23-AO23)</f>
        <v>0</v>
      </c>
      <c r="AS23" s="263">
        <f>IF(AN23-AO23&gt;0, " ",AO23-AN23)</f>
        <v>0</v>
      </c>
      <c r="AT23" s="36"/>
      <c r="AU23" s="36"/>
      <c r="AV23" s="36"/>
      <c r="AW23" s="36"/>
      <c r="AX23" s="36"/>
      <c r="AY23" s="36"/>
      <c r="AZ23" s="36"/>
    </row>
    <row r="24" spans="1:241" x14ac:dyDescent="0.2">
      <c r="A24" s="11"/>
      <c r="B24" s="11"/>
      <c r="C24" s="311"/>
      <c r="D24" s="311"/>
      <c r="E24" s="204"/>
      <c r="F24" s="205"/>
      <c r="G24" s="804"/>
      <c r="H24" s="213"/>
      <c r="I24" s="804"/>
      <c r="J24" s="805"/>
      <c r="K24" s="213"/>
      <c r="L24" s="805"/>
      <c r="M24" s="213"/>
      <c r="N24" s="214"/>
      <c r="O24" s="213"/>
      <c r="P24" s="213"/>
      <c r="Q24" s="804"/>
      <c r="R24" s="805"/>
      <c r="S24" s="213"/>
      <c r="T24" s="214"/>
      <c r="U24" s="184"/>
      <c r="V24" s="184"/>
      <c r="W24" s="262"/>
      <c r="X24" s="263"/>
      <c r="Y24" s="294"/>
      <c r="Z24" s="295"/>
      <c r="AA24" s="265"/>
      <c r="AB24" s="135"/>
      <c r="AC24" s="266"/>
      <c r="AD24" s="44"/>
      <c r="AE24" s="44"/>
      <c r="AF24" s="266"/>
      <c r="AG24" s="44"/>
      <c r="AH24" s="267"/>
      <c r="AI24" s="44"/>
      <c r="AJ24" s="266"/>
      <c r="AK24" s="135"/>
      <c r="AL24" s="213"/>
      <c r="AM24" s="213"/>
      <c r="AN24" s="262"/>
      <c r="AO24" s="263"/>
      <c r="AP24" s="184"/>
      <c r="AQ24" s="263"/>
      <c r="AR24" s="184"/>
      <c r="AS24" s="263"/>
      <c r="AT24" s="36"/>
      <c r="AU24" s="36"/>
      <c r="AV24" s="36"/>
      <c r="AW24" s="36"/>
      <c r="AX24" s="36"/>
      <c r="AY24" s="36"/>
      <c r="AZ24" s="36"/>
    </row>
    <row r="25" spans="1:241" x14ac:dyDescent="0.2">
      <c r="A25" s="11"/>
      <c r="B25" s="30"/>
      <c r="C25" s="328" t="s">
        <v>518</v>
      </c>
      <c r="D25" s="328"/>
      <c r="E25" s="206"/>
      <c r="F25" s="207"/>
      <c r="G25" s="806"/>
      <c r="H25" s="215"/>
      <c r="I25" s="806"/>
      <c r="J25" s="807"/>
      <c r="K25" s="215"/>
      <c r="L25" s="807"/>
      <c r="M25" s="215"/>
      <c r="N25" s="216"/>
      <c r="O25" s="215"/>
      <c r="P25" s="215"/>
      <c r="Q25" s="806"/>
      <c r="R25" s="807"/>
      <c r="S25" s="215"/>
      <c r="T25" s="216"/>
      <c r="U25" s="184">
        <f t="shared" si="0"/>
        <v>0</v>
      </c>
      <c r="V25" s="184">
        <f t="shared" si="1"/>
        <v>0</v>
      </c>
      <c r="W25" s="262">
        <f t="shared" si="5"/>
        <v>0</v>
      </c>
      <c r="X25" s="263">
        <f t="shared" si="6"/>
        <v>0</v>
      </c>
      <c r="Y25" s="296">
        <f>'Beginning Capital Assets &amp; LTD'!I55</f>
        <v>0</v>
      </c>
      <c r="Z25" s="297"/>
      <c r="AA25" s="268"/>
      <c r="AB25" s="178"/>
      <c r="AC25" s="269" t="str">
        <f>'C. Capital Outlay &amp; Donations'!D100</f>
        <v>C.1</v>
      </c>
      <c r="AD25" s="177">
        <f>'C. Capital Outlay &amp; Donations'!K100</f>
        <v>9000</v>
      </c>
      <c r="AE25" s="177"/>
      <c r="AF25" s="269" t="str">
        <f>'D.  Capital Asset Disposal'!D189</f>
        <v>D.1</v>
      </c>
      <c r="AG25" s="177">
        <f>'D.  Capital Asset Disposal'!O217</f>
        <v>0</v>
      </c>
      <c r="AH25" s="270"/>
      <c r="AI25" s="177"/>
      <c r="AJ25" s="269"/>
      <c r="AK25" s="178"/>
      <c r="AL25" s="215"/>
      <c r="AM25" s="215"/>
      <c r="AN25" s="262">
        <f t="shared" ref="AN25:AN32" si="8">W25+Y25+AA25+AD25+AI25+AL25</f>
        <v>9000</v>
      </c>
      <c r="AO25" s="263">
        <f t="shared" ref="AO25:AO32" si="9">X25+Z25+AB25+AG25+AK25+AM25</f>
        <v>0</v>
      </c>
      <c r="AP25" s="184"/>
      <c r="AQ25" s="263"/>
      <c r="AR25" s="184">
        <f>IF(AN25+AN26+AN27-AO25-AO26-AO27&lt;=0, " ",AN25+AN26+AN27-AO25-AO26-AO27)</f>
        <v>9000</v>
      </c>
      <c r="AS25" s="263" t="str">
        <f>IF(AN25+AN26+AN27-AO25-AO26-AO27&gt;=0, " ",AO25+AO26+AO27-AN25-AN26-AN27)</f>
        <v xml:space="preserve"> </v>
      </c>
      <c r="AT25" s="78"/>
      <c r="AU25" s="78"/>
      <c r="AV25" s="78"/>
      <c r="AW25" s="78"/>
      <c r="AX25" s="78"/>
      <c r="AY25" s="78"/>
      <c r="AZ25" s="78"/>
      <c r="BA25" s="11"/>
      <c r="BB25" s="11"/>
      <c r="BC25" s="11"/>
      <c r="BD25" s="11"/>
      <c r="BE25" s="11"/>
      <c r="BF25" s="11"/>
      <c r="BG25" s="11"/>
      <c r="BH25" s="11"/>
      <c r="BI25" s="11"/>
      <c r="BJ25" s="11"/>
      <c r="BK25" s="11"/>
      <c r="BL25" s="11"/>
      <c r="BM25" s="11"/>
      <c r="BN25" s="11"/>
      <c r="BO25" s="11"/>
      <c r="BP25" s="11"/>
      <c r="BQ25" s="11"/>
      <c r="BR25" s="11"/>
      <c r="BS25" s="11"/>
      <c r="BT25" s="11"/>
      <c r="BU25" s="11"/>
      <c r="BV25" s="11"/>
      <c r="BW25" s="11"/>
      <c r="BX25" s="11"/>
      <c r="BY25" s="11"/>
      <c r="BZ25" s="11"/>
      <c r="CA25" s="11"/>
      <c r="CB25" s="11"/>
      <c r="CC25" s="11"/>
      <c r="CD25" s="11"/>
      <c r="CE25" s="11"/>
      <c r="CF25" s="11"/>
      <c r="CG25" s="11"/>
      <c r="CH25" s="11"/>
      <c r="CI25" s="11"/>
      <c r="CJ25" s="11"/>
      <c r="CK25" s="11"/>
      <c r="CL25" s="11"/>
      <c r="CM25" s="11"/>
      <c r="CN25" s="11"/>
      <c r="CO25" s="11"/>
      <c r="CP25" s="11"/>
      <c r="CQ25" s="11"/>
      <c r="CR25" s="11"/>
      <c r="CS25" s="11"/>
      <c r="CT25" s="11"/>
      <c r="CU25" s="11"/>
      <c r="CV25" s="11"/>
      <c r="CW25" s="11"/>
      <c r="CX25" s="11"/>
      <c r="CY25" s="11"/>
      <c r="CZ25" s="11"/>
      <c r="DA25" s="11"/>
      <c r="DB25" s="11"/>
      <c r="DC25" s="11"/>
      <c r="DD25" s="11"/>
      <c r="DE25" s="11"/>
      <c r="DF25" s="11"/>
      <c r="DG25" s="11"/>
      <c r="DH25" s="11"/>
      <c r="DI25" s="11"/>
      <c r="DJ25" s="11"/>
      <c r="DK25" s="11"/>
      <c r="DL25" s="11"/>
      <c r="DM25" s="11"/>
      <c r="DN25" s="11"/>
      <c r="DO25" s="11"/>
      <c r="DP25" s="11"/>
      <c r="DQ25" s="11"/>
      <c r="DR25" s="11"/>
      <c r="DS25" s="11"/>
      <c r="DT25" s="11"/>
      <c r="DU25" s="11"/>
      <c r="DV25" s="11"/>
      <c r="DW25" s="11"/>
      <c r="DX25" s="11"/>
      <c r="DY25" s="11"/>
      <c r="DZ25" s="11"/>
      <c r="EA25" s="11"/>
      <c r="EB25" s="11"/>
      <c r="EC25" s="11"/>
      <c r="ED25" s="11"/>
      <c r="EE25" s="11"/>
      <c r="EF25" s="11"/>
      <c r="EG25" s="11"/>
      <c r="EH25" s="11"/>
      <c r="EI25" s="11"/>
      <c r="EJ25" s="11"/>
      <c r="EK25" s="11"/>
      <c r="EL25" s="11"/>
      <c r="EM25" s="11"/>
      <c r="EN25" s="11"/>
      <c r="EO25" s="11"/>
      <c r="EP25" s="11"/>
      <c r="EQ25" s="11"/>
      <c r="ER25" s="11"/>
      <c r="ES25" s="11"/>
      <c r="ET25" s="11"/>
      <c r="EU25" s="11"/>
      <c r="EV25" s="11"/>
      <c r="EW25" s="11"/>
      <c r="EX25" s="11"/>
      <c r="EY25" s="11"/>
      <c r="EZ25" s="11"/>
      <c r="FA25" s="11"/>
      <c r="FB25" s="11"/>
      <c r="FC25" s="11"/>
      <c r="FD25" s="11"/>
      <c r="FE25" s="11"/>
      <c r="FF25" s="11"/>
      <c r="FG25" s="11"/>
      <c r="FH25" s="11"/>
      <c r="FI25" s="11"/>
      <c r="FJ25" s="11"/>
      <c r="FK25" s="11"/>
      <c r="FL25" s="11"/>
      <c r="FM25" s="11"/>
      <c r="FN25" s="11"/>
      <c r="FO25" s="11"/>
      <c r="FP25" s="11"/>
      <c r="FQ25" s="11"/>
      <c r="FR25" s="11"/>
      <c r="FS25" s="11"/>
      <c r="FT25" s="11"/>
      <c r="FU25" s="11"/>
      <c r="FV25" s="11"/>
      <c r="FW25" s="11"/>
      <c r="FX25" s="11"/>
      <c r="FY25" s="11"/>
      <c r="FZ25" s="11"/>
      <c r="GA25" s="11"/>
      <c r="GB25" s="11"/>
      <c r="GC25" s="11"/>
      <c r="GD25" s="11"/>
      <c r="GE25" s="11"/>
      <c r="GF25" s="11"/>
      <c r="GG25" s="11"/>
      <c r="GH25" s="11"/>
      <c r="GI25" s="11"/>
      <c r="GJ25" s="11"/>
      <c r="GK25" s="11"/>
      <c r="GL25" s="11"/>
      <c r="GM25" s="11"/>
      <c r="GN25" s="11"/>
      <c r="GO25" s="11"/>
      <c r="GP25" s="11"/>
      <c r="GQ25" s="11"/>
      <c r="GR25" s="11"/>
      <c r="GS25" s="11"/>
      <c r="GT25" s="11"/>
      <c r="GU25" s="11"/>
      <c r="GV25" s="11"/>
      <c r="GW25" s="11"/>
      <c r="GX25" s="11"/>
      <c r="GY25" s="11"/>
      <c r="GZ25" s="11"/>
      <c r="HA25" s="11"/>
      <c r="HB25" s="11"/>
      <c r="HC25" s="11"/>
      <c r="HD25" s="11"/>
      <c r="HE25" s="11"/>
      <c r="HF25" s="11"/>
      <c r="HG25" s="11"/>
      <c r="HH25" s="11"/>
      <c r="HI25" s="11"/>
      <c r="HJ25" s="11"/>
      <c r="HK25" s="11"/>
      <c r="HL25" s="11"/>
      <c r="HM25" s="11"/>
      <c r="HN25" s="11"/>
      <c r="HO25" s="11"/>
      <c r="HP25" s="11"/>
      <c r="HQ25" s="11"/>
      <c r="HR25" s="11"/>
      <c r="HS25" s="11"/>
      <c r="HT25" s="11"/>
      <c r="HU25" s="11"/>
      <c r="HV25" s="11"/>
      <c r="HW25" s="11"/>
      <c r="HX25" s="11"/>
      <c r="HY25" s="11"/>
      <c r="HZ25" s="11"/>
      <c r="IA25" s="11"/>
      <c r="IB25" s="11"/>
      <c r="IC25" s="11"/>
      <c r="ID25" s="11"/>
      <c r="IE25" s="11"/>
      <c r="IF25" s="11"/>
      <c r="IG25" s="11"/>
    </row>
    <row r="26" spans="1:241" x14ac:dyDescent="0.2">
      <c r="A26" s="11"/>
      <c r="B26" s="30"/>
      <c r="C26" s="328"/>
      <c r="D26" s="328"/>
      <c r="E26" s="206"/>
      <c r="F26" s="207"/>
      <c r="G26" s="806"/>
      <c r="H26" s="215"/>
      <c r="I26" s="806"/>
      <c r="J26" s="807"/>
      <c r="K26" s="215"/>
      <c r="L26" s="807"/>
      <c r="M26" s="215"/>
      <c r="N26" s="216"/>
      <c r="O26" s="215"/>
      <c r="P26" s="215"/>
      <c r="Q26" s="806"/>
      <c r="R26" s="807"/>
      <c r="S26" s="215"/>
      <c r="T26" s="216"/>
      <c r="U26" s="184">
        <f t="shared" si="0"/>
        <v>0</v>
      </c>
      <c r="V26" s="184">
        <f t="shared" si="1"/>
        <v>0</v>
      </c>
      <c r="W26" s="262">
        <f t="shared" si="5"/>
        <v>0</v>
      </c>
      <c r="X26" s="263">
        <f t="shared" si="6"/>
        <v>0</v>
      </c>
      <c r="Y26" s="296"/>
      <c r="Z26" s="297"/>
      <c r="AA26" s="268"/>
      <c r="AB26" s="178"/>
      <c r="AC26" s="269" t="str">
        <f>'D.  Capital Asset Disposal'!D189</f>
        <v>D.1</v>
      </c>
      <c r="AD26" s="177">
        <f>'D.  Capital Asset Disposal'!M217</f>
        <v>0</v>
      </c>
      <c r="AE26" s="177"/>
      <c r="AF26" s="273"/>
      <c r="AG26" s="179"/>
      <c r="AH26" s="270"/>
      <c r="AI26" s="177"/>
      <c r="AJ26" s="269"/>
      <c r="AK26" s="178"/>
      <c r="AL26" s="215"/>
      <c r="AM26" s="215"/>
      <c r="AN26" s="262">
        <f t="shared" si="8"/>
        <v>0</v>
      </c>
      <c r="AO26" s="263">
        <f t="shared" si="9"/>
        <v>0</v>
      </c>
      <c r="AP26" s="184"/>
      <c r="AQ26" s="263"/>
      <c r="AR26" s="184"/>
      <c r="AS26" s="263"/>
      <c r="AT26" s="78"/>
      <c r="AU26" s="78"/>
      <c r="AV26" s="78"/>
      <c r="AW26" s="78"/>
      <c r="AX26" s="78"/>
      <c r="AY26" s="78"/>
      <c r="AZ26" s="78"/>
      <c r="BA26" s="11"/>
      <c r="BB26" s="11"/>
      <c r="BC26" s="11"/>
      <c r="BD26" s="11"/>
      <c r="BE26" s="11"/>
      <c r="BF26" s="11"/>
      <c r="BG26" s="11"/>
      <c r="BH26" s="11"/>
      <c r="BI26" s="11"/>
      <c r="BJ26" s="11"/>
      <c r="BK26" s="11"/>
      <c r="BL26" s="11"/>
      <c r="BM26" s="11"/>
      <c r="BN26" s="11"/>
      <c r="BO26" s="11"/>
      <c r="BP26" s="11"/>
      <c r="BQ26" s="11"/>
      <c r="BR26" s="11"/>
      <c r="BS26" s="11"/>
      <c r="BT26" s="11"/>
      <c r="BU26" s="11"/>
      <c r="BV26" s="11"/>
      <c r="BW26" s="11"/>
      <c r="BX26" s="11"/>
      <c r="BY26" s="11"/>
      <c r="BZ26" s="11"/>
      <c r="CA26" s="11"/>
      <c r="CB26" s="11"/>
      <c r="CC26" s="11"/>
      <c r="CD26" s="11"/>
      <c r="CE26" s="11"/>
      <c r="CF26" s="11"/>
      <c r="CG26" s="11"/>
      <c r="CH26" s="11"/>
      <c r="CI26" s="11"/>
      <c r="CJ26" s="11"/>
      <c r="CK26" s="11"/>
      <c r="CL26" s="11"/>
      <c r="CM26" s="11"/>
      <c r="CN26" s="11"/>
      <c r="CO26" s="11"/>
      <c r="CP26" s="11"/>
      <c r="CQ26" s="11"/>
      <c r="CR26" s="11"/>
      <c r="CS26" s="11"/>
      <c r="CT26" s="11"/>
      <c r="CU26" s="11"/>
      <c r="CV26" s="11"/>
      <c r="CW26" s="11"/>
      <c r="CX26" s="11"/>
      <c r="CY26" s="11"/>
      <c r="CZ26" s="11"/>
      <c r="DA26" s="11"/>
      <c r="DB26" s="11"/>
      <c r="DC26" s="11"/>
      <c r="DD26" s="11"/>
      <c r="DE26" s="11"/>
      <c r="DF26" s="11"/>
      <c r="DG26" s="11"/>
      <c r="DH26" s="11"/>
      <c r="DI26" s="11"/>
      <c r="DJ26" s="11"/>
      <c r="DK26" s="11"/>
      <c r="DL26" s="11"/>
      <c r="DM26" s="11"/>
      <c r="DN26" s="11"/>
      <c r="DO26" s="11"/>
      <c r="DP26" s="11"/>
      <c r="DQ26" s="11"/>
      <c r="DR26" s="11"/>
      <c r="DS26" s="11"/>
      <c r="DT26" s="11"/>
      <c r="DU26" s="11"/>
      <c r="DV26" s="11"/>
      <c r="DW26" s="11"/>
      <c r="DX26" s="11"/>
      <c r="DY26" s="11"/>
      <c r="DZ26" s="11"/>
      <c r="EA26" s="11"/>
      <c r="EB26" s="11"/>
      <c r="EC26" s="11"/>
      <c r="ED26" s="11"/>
      <c r="EE26" s="11"/>
      <c r="EF26" s="11"/>
      <c r="EG26" s="11"/>
      <c r="EH26" s="11"/>
      <c r="EI26" s="11"/>
      <c r="EJ26" s="11"/>
      <c r="EK26" s="11"/>
      <c r="EL26" s="11"/>
      <c r="EM26" s="11"/>
      <c r="EN26" s="11"/>
      <c r="EO26" s="11"/>
      <c r="EP26" s="11"/>
      <c r="EQ26" s="11"/>
      <c r="ER26" s="11"/>
      <c r="ES26" s="11"/>
      <c r="ET26" s="11"/>
      <c r="EU26" s="11"/>
      <c r="EV26" s="11"/>
      <c r="EW26" s="11"/>
      <c r="EX26" s="11"/>
      <c r="EY26" s="11"/>
      <c r="EZ26" s="11"/>
      <c r="FA26" s="11"/>
      <c r="FB26" s="11"/>
      <c r="FC26" s="11"/>
      <c r="FD26" s="11"/>
      <c r="FE26" s="11"/>
      <c r="FF26" s="11"/>
      <c r="FG26" s="11"/>
      <c r="FH26" s="11"/>
      <c r="FI26" s="11"/>
      <c r="FJ26" s="11"/>
      <c r="FK26" s="11"/>
      <c r="FL26" s="11"/>
      <c r="FM26" s="11"/>
      <c r="FN26" s="11"/>
      <c r="FO26" s="11"/>
      <c r="FP26" s="11"/>
      <c r="FQ26" s="11"/>
      <c r="FR26" s="11"/>
      <c r="FS26" s="11"/>
      <c r="FT26" s="11"/>
      <c r="FU26" s="11"/>
      <c r="FV26" s="11"/>
      <c r="FW26" s="11"/>
      <c r="FX26" s="11"/>
      <c r="FY26" s="11"/>
      <c r="FZ26" s="11"/>
      <c r="GA26" s="11"/>
      <c r="GB26" s="11"/>
      <c r="GC26" s="11"/>
      <c r="GD26" s="11"/>
      <c r="GE26" s="11"/>
      <c r="GF26" s="11"/>
      <c r="GG26" s="11"/>
      <c r="GH26" s="11"/>
      <c r="GI26" s="11"/>
      <c r="GJ26" s="11"/>
      <c r="GK26" s="11"/>
      <c r="GL26" s="11"/>
      <c r="GM26" s="11"/>
      <c r="GN26" s="11"/>
      <c r="GO26" s="11"/>
      <c r="GP26" s="11"/>
      <c r="GQ26" s="11"/>
      <c r="GR26" s="11"/>
      <c r="GS26" s="11"/>
      <c r="GT26" s="11"/>
      <c r="GU26" s="11"/>
      <c r="GV26" s="11"/>
      <c r="GW26" s="11"/>
      <c r="GX26" s="11"/>
      <c r="GY26" s="11"/>
      <c r="GZ26" s="11"/>
      <c r="HA26" s="11"/>
      <c r="HB26" s="11"/>
      <c r="HC26" s="11"/>
      <c r="HD26" s="11"/>
      <c r="HE26" s="11"/>
      <c r="HF26" s="11"/>
      <c r="HG26" s="11"/>
      <c r="HH26" s="11"/>
      <c r="HI26" s="11"/>
      <c r="HJ26" s="11"/>
      <c r="HK26" s="11"/>
      <c r="HL26" s="11"/>
      <c r="HM26" s="11"/>
      <c r="HN26" s="11"/>
      <c r="HO26" s="11"/>
      <c r="HP26" s="11"/>
      <c r="HQ26" s="11"/>
      <c r="HR26" s="11"/>
      <c r="HS26" s="11"/>
      <c r="HT26" s="11"/>
      <c r="HU26" s="11"/>
      <c r="HV26" s="11"/>
      <c r="HW26" s="11"/>
      <c r="HX26" s="11"/>
      <c r="HY26" s="11"/>
      <c r="HZ26" s="11"/>
      <c r="IA26" s="11"/>
      <c r="IB26" s="11"/>
      <c r="IC26" s="11"/>
      <c r="ID26" s="11"/>
      <c r="IE26" s="11"/>
      <c r="IF26" s="11"/>
      <c r="IG26" s="11"/>
    </row>
    <row r="27" spans="1:241" x14ac:dyDescent="0.2">
      <c r="A27" s="11"/>
      <c r="B27" s="30"/>
      <c r="C27" s="328"/>
      <c r="D27" s="328"/>
      <c r="E27" s="206"/>
      <c r="F27" s="207"/>
      <c r="G27" s="806"/>
      <c r="H27" s="215"/>
      <c r="I27" s="806"/>
      <c r="J27" s="807"/>
      <c r="K27" s="215"/>
      <c r="L27" s="807"/>
      <c r="M27" s="215"/>
      <c r="N27" s="216"/>
      <c r="O27" s="215"/>
      <c r="P27" s="215"/>
      <c r="Q27" s="806"/>
      <c r="R27" s="807"/>
      <c r="S27" s="215"/>
      <c r="T27" s="216"/>
      <c r="U27" s="184">
        <f t="shared" si="0"/>
        <v>0</v>
      </c>
      <c r="V27" s="184">
        <f t="shared" si="1"/>
        <v>0</v>
      </c>
      <c r="W27" s="262">
        <f t="shared" si="5"/>
        <v>0</v>
      </c>
      <c r="X27" s="263">
        <f t="shared" si="6"/>
        <v>0</v>
      </c>
      <c r="Y27" s="296"/>
      <c r="Z27" s="297"/>
      <c r="AA27" s="268"/>
      <c r="AB27" s="178"/>
      <c r="AC27" s="269" t="str">
        <f>'C. Capital Outlay &amp; Donations'!$D$154</f>
        <v>C.3</v>
      </c>
      <c r="AD27" s="177">
        <f>'C. Capital Outlay &amp; Donations'!K154</f>
        <v>0</v>
      </c>
      <c r="AE27" s="177"/>
      <c r="AF27" s="273"/>
      <c r="AG27" s="179"/>
      <c r="AH27" s="270"/>
      <c r="AI27" s="177"/>
      <c r="AJ27" s="269"/>
      <c r="AK27" s="178"/>
      <c r="AL27" s="215"/>
      <c r="AM27" s="215"/>
      <c r="AN27" s="262">
        <f t="shared" si="8"/>
        <v>0</v>
      </c>
      <c r="AO27" s="263">
        <f t="shared" si="9"/>
        <v>0</v>
      </c>
      <c r="AP27" s="184"/>
      <c r="AQ27" s="263"/>
      <c r="AR27" s="184"/>
      <c r="AS27" s="263"/>
      <c r="AT27" s="78"/>
      <c r="AU27" s="78"/>
      <c r="AV27" s="78"/>
      <c r="AW27" s="78"/>
      <c r="AX27" s="78"/>
      <c r="AY27" s="78"/>
      <c r="AZ27" s="78"/>
      <c r="BA27" s="11"/>
      <c r="BB27" s="11"/>
      <c r="BC27" s="11"/>
      <c r="BD27" s="11"/>
      <c r="BE27" s="11"/>
      <c r="BF27" s="11"/>
      <c r="BG27" s="11"/>
      <c r="BH27" s="11"/>
      <c r="BI27" s="11"/>
      <c r="BJ27" s="11"/>
      <c r="BK27" s="11"/>
      <c r="BL27" s="11"/>
      <c r="BM27" s="11"/>
      <c r="BN27" s="11"/>
      <c r="BO27" s="11"/>
      <c r="BP27" s="11"/>
      <c r="BQ27" s="11"/>
      <c r="BR27" s="11"/>
      <c r="BS27" s="11"/>
      <c r="BT27" s="11"/>
      <c r="BU27" s="11"/>
      <c r="BV27" s="11"/>
      <c r="BW27" s="11"/>
      <c r="BX27" s="11"/>
      <c r="BY27" s="11"/>
      <c r="BZ27" s="11"/>
      <c r="CA27" s="11"/>
      <c r="CB27" s="11"/>
      <c r="CC27" s="11"/>
      <c r="CD27" s="11"/>
      <c r="CE27" s="11"/>
      <c r="CF27" s="11"/>
      <c r="CG27" s="11"/>
      <c r="CH27" s="11"/>
      <c r="CI27" s="11"/>
      <c r="CJ27" s="11"/>
      <c r="CK27" s="11"/>
      <c r="CL27" s="11"/>
      <c r="CM27" s="11"/>
      <c r="CN27" s="11"/>
      <c r="CO27" s="11"/>
      <c r="CP27" s="11"/>
      <c r="CQ27" s="11"/>
      <c r="CR27" s="11"/>
      <c r="CS27" s="11"/>
      <c r="CT27" s="11"/>
      <c r="CU27" s="11"/>
      <c r="CV27" s="11"/>
      <c r="CW27" s="11"/>
      <c r="CX27" s="11"/>
      <c r="CY27" s="11"/>
      <c r="CZ27" s="11"/>
      <c r="DA27" s="11"/>
      <c r="DB27" s="11"/>
      <c r="DC27" s="11"/>
      <c r="DD27" s="11"/>
      <c r="DE27" s="11"/>
      <c r="DF27" s="11"/>
      <c r="DG27" s="11"/>
      <c r="DH27" s="11"/>
      <c r="DI27" s="11"/>
      <c r="DJ27" s="11"/>
      <c r="DK27" s="11"/>
      <c r="DL27" s="11"/>
      <c r="DM27" s="11"/>
      <c r="DN27" s="11"/>
      <c r="DO27" s="11"/>
      <c r="DP27" s="11"/>
      <c r="DQ27" s="11"/>
      <c r="DR27" s="11"/>
      <c r="DS27" s="11"/>
      <c r="DT27" s="11"/>
      <c r="DU27" s="11"/>
      <c r="DV27" s="11"/>
      <c r="DW27" s="11"/>
      <c r="DX27" s="11"/>
      <c r="DY27" s="11"/>
      <c r="DZ27" s="11"/>
      <c r="EA27" s="11"/>
      <c r="EB27" s="11"/>
      <c r="EC27" s="11"/>
      <c r="ED27" s="11"/>
      <c r="EE27" s="11"/>
      <c r="EF27" s="11"/>
      <c r="EG27" s="11"/>
      <c r="EH27" s="11"/>
      <c r="EI27" s="11"/>
      <c r="EJ27" s="11"/>
      <c r="EK27" s="11"/>
      <c r="EL27" s="11"/>
      <c r="EM27" s="11"/>
      <c r="EN27" s="11"/>
      <c r="EO27" s="11"/>
      <c r="EP27" s="11"/>
      <c r="EQ27" s="11"/>
      <c r="ER27" s="11"/>
      <c r="ES27" s="11"/>
      <c r="ET27" s="11"/>
      <c r="EU27" s="11"/>
      <c r="EV27" s="11"/>
      <c r="EW27" s="11"/>
      <c r="EX27" s="11"/>
      <c r="EY27" s="11"/>
      <c r="EZ27" s="11"/>
      <c r="FA27" s="11"/>
      <c r="FB27" s="11"/>
      <c r="FC27" s="11"/>
      <c r="FD27" s="11"/>
      <c r="FE27" s="11"/>
      <c r="FF27" s="11"/>
      <c r="FG27" s="11"/>
      <c r="FH27" s="11"/>
      <c r="FI27" s="11"/>
      <c r="FJ27" s="11"/>
      <c r="FK27" s="11"/>
      <c r="FL27" s="11"/>
      <c r="FM27" s="11"/>
      <c r="FN27" s="11"/>
      <c r="FO27" s="11"/>
      <c r="FP27" s="11"/>
      <c r="FQ27" s="11"/>
      <c r="FR27" s="11"/>
      <c r="FS27" s="11"/>
      <c r="FT27" s="11"/>
      <c r="FU27" s="11"/>
      <c r="FV27" s="11"/>
      <c r="FW27" s="11"/>
      <c r="FX27" s="11"/>
      <c r="FY27" s="11"/>
      <c r="FZ27" s="11"/>
      <c r="GA27" s="11"/>
      <c r="GB27" s="11"/>
      <c r="GC27" s="11"/>
      <c r="GD27" s="11"/>
      <c r="GE27" s="11"/>
      <c r="GF27" s="11"/>
      <c r="GG27" s="11"/>
      <c r="GH27" s="11"/>
      <c r="GI27" s="11"/>
      <c r="GJ27" s="11"/>
      <c r="GK27" s="11"/>
      <c r="GL27" s="11"/>
      <c r="GM27" s="11"/>
      <c r="GN27" s="11"/>
      <c r="GO27" s="11"/>
      <c r="GP27" s="11"/>
      <c r="GQ27" s="11"/>
      <c r="GR27" s="11"/>
      <c r="GS27" s="11"/>
      <c r="GT27" s="11"/>
      <c r="GU27" s="11"/>
      <c r="GV27" s="11"/>
      <c r="GW27" s="11"/>
      <c r="GX27" s="11"/>
      <c r="GY27" s="11"/>
      <c r="GZ27" s="11"/>
      <c r="HA27" s="11"/>
      <c r="HB27" s="11"/>
      <c r="HC27" s="11"/>
      <c r="HD27" s="11"/>
      <c r="HE27" s="11"/>
      <c r="HF27" s="11"/>
      <c r="HG27" s="11"/>
      <c r="HH27" s="11"/>
      <c r="HI27" s="11"/>
      <c r="HJ27" s="11"/>
      <c r="HK27" s="11"/>
      <c r="HL27" s="11"/>
      <c r="HM27" s="11"/>
      <c r="HN27" s="11"/>
      <c r="HO27" s="11"/>
      <c r="HP27" s="11"/>
      <c r="HQ27" s="11"/>
      <c r="HR27" s="11"/>
      <c r="HS27" s="11"/>
      <c r="HT27" s="11"/>
      <c r="HU27" s="11"/>
      <c r="HV27" s="11"/>
      <c r="HW27" s="11"/>
      <c r="HX27" s="11"/>
      <c r="HY27" s="11"/>
      <c r="HZ27" s="11"/>
      <c r="IA27" s="11"/>
      <c r="IB27" s="11"/>
      <c r="IC27" s="11"/>
      <c r="ID27" s="11"/>
      <c r="IE27" s="11"/>
      <c r="IF27" s="11"/>
      <c r="IG27" s="11"/>
    </row>
    <row r="28" spans="1:241" x14ac:dyDescent="0.2">
      <c r="A28" s="11"/>
      <c r="B28" s="30"/>
      <c r="C28" s="311" t="s">
        <v>523</v>
      </c>
      <c r="D28" s="311"/>
      <c r="E28" s="204"/>
      <c r="F28" s="205"/>
      <c r="G28" s="804"/>
      <c r="H28" s="213"/>
      <c r="I28" s="804"/>
      <c r="J28" s="805"/>
      <c r="K28" s="213"/>
      <c r="L28" s="805"/>
      <c r="M28" s="213"/>
      <c r="N28" s="214"/>
      <c r="O28" s="213"/>
      <c r="P28" s="213"/>
      <c r="Q28" s="804"/>
      <c r="R28" s="805"/>
      <c r="S28" s="213"/>
      <c r="T28" s="214"/>
      <c r="U28" s="184">
        <f t="shared" si="0"/>
        <v>0</v>
      </c>
      <c r="V28" s="184">
        <f t="shared" si="1"/>
        <v>0</v>
      </c>
      <c r="W28" s="262">
        <f t="shared" si="5"/>
        <v>0</v>
      </c>
      <c r="X28" s="263">
        <f t="shared" si="6"/>
        <v>0</v>
      </c>
      <c r="Y28" s="294">
        <f>'Beginning Capital Assets &amp; LTD'!I56</f>
        <v>0</v>
      </c>
      <c r="Z28" s="295"/>
      <c r="AA28" s="265"/>
      <c r="AB28" s="135"/>
      <c r="AC28" s="266" t="str">
        <f>'C. Capital Outlay &amp; Donations'!D100</f>
        <v>C.1</v>
      </c>
      <c r="AD28" s="44">
        <f>'C. Capital Outlay &amp; Donations'!K101</f>
        <v>0</v>
      </c>
      <c r="AE28" s="44"/>
      <c r="AF28" s="266"/>
      <c r="AG28" s="44"/>
      <c r="AH28" s="267"/>
      <c r="AI28" s="44"/>
      <c r="AJ28" s="266"/>
      <c r="AK28" s="135"/>
      <c r="AL28" s="213"/>
      <c r="AM28" s="213"/>
      <c r="AN28" s="262">
        <f t="shared" si="8"/>
        <v>0</v>
      </c>
      <c r="AO28" s="263">
        <f t="shared" si="9"/>
        <v>0</v>
      </c>
      <c r="AP28" s="184"/>
      <c r="AQ28" s="263"/>
      <c r="AR28" s="184">
        <f>IF(AN28-AO28&lt;0, " ",AN28-AO28)</f>
        <v>0</v>
      </c>
      <c r="AS28" s="263">
        <f>IF(AN28-AO28&gt;0, " ",AO28-AN28)</f>
        <v>0</v>
      </c>
      <c r="AT28" s="78"/>
      <c r="AU28" s="78"/>
      <c r="AV28" s="78"/>
      <c r="AW28" s="78"/>
      <c r="AX28" s="78"/>
      <c r="AY28" s="78"/>
      <c r="AZ28" s="78"/>
      <c r="BA28" s="11"/>
      <c r="BB28" s="11"/>
      <c r="BC28" s="11"/>
      <c r="BD28" s="11"/>
      <c r="BE28" s="11"/>
      <c r="BF28" s="11"/>
      <c r="BG28" s="11"/>
      <c r="BH28" s="11"/>
      <c r="BI28" s="11"/>
      <c r="BJ28" s="11"/>
      <c r="BK28" s="11"/>
      <c r="BL28" s="11"/>
      <c r="BM28" s="11"/>
      <c r="BN28" s="11"/>
      <c r="BO28" s="11"/>
      <c r="BP28" s="11"/>
      <c r="BQ28" s="11"/>
      <c r="BR28" s="11"/>
      <c r="BS28" s="11"/>
      <c r="BT28" s="11"/>
      <c r="BU28" s="11"/>
      <c r="BV28" s="11"/>
      <c r="BW28" s="11"/>
      <c r="BX28" s="11"/>
      <c r="BY28" s="11"/>
      <c r="BZ28" s="11"/>
      <c r="CA28" s="11"/>
      <c r="CB28" s="11"/>
      <c r="CC28" s="11"/>
      <c r="CD28" s="11"/>
      <c r="CE28" s="11"/>
      <c r="CF28" s="11"/>
      <c r="CG28" s="11"/>
      <c r="CH28" s="11"/>
      <c r="CI28" s="11"/>
      <c r="CJ28" s="11"/>
      <c r="CK28" s="11"/>
      <c r="CL28" s="11"/>
      <c r="CM28" s="11"/>
      <c r="CN28" s="11"/>
      <c r="CO28" s="11"/>
      <c r="CP28" s="11"/>
      <c r="CQ28" s="11"/>
      <c r="CR28" s="11"/>
      <c r="CS28" s="11"/>
      <c r="CT28" s="11"/>
      <c r="CU28" s="11"/>
      <c r="CV28" s="11"/>
      <c r="CW28" s="11"/>
      <c r="CX28" s="11"/>
      <c r="CY28" s="11"/>
      <c r="CZ28" s="11"/>
      <c r="DA28" s="11"/>
      <c r="DB28" s="11"/>
      <c r="DC28" s="11"/>
      <c r="DD28" s="11"/>
      <c r="DE28" s="11"/>
      <c r="DF28" s="11"/>
      <c r="DG28" s="11"/>
      <c r="DH28" s="11"/>
      <c r="DI28" s="11"/>
      <c r="DJ28" s="11"/>
      <c r="DK28" s="11"/>
      <c r="DL28" s="11"/>
      <c r="DM28" s="11"/>
      <c r="DN28" s="11"/>
      <c r="DO28" s="11"/>
      <c r="DP28" s="11"/>
      <c r="DQ28" s="11"/>
      <c r="DR28" s="11"/>
      <c r="DS28" s="11"/>
      <c r="DT28" s="11"/>
      <c r="DU28" s="11"/>
      <c r="DV28" s="11"/>
      <c r="DW28" s="11"/>
      <c r="DX28" s="11"/>
      <c r="DY28" s="11"/>
      <c r="DZ28" s="11"/>
      <c r="EA28" s="11"/>
      <c r="EB28" s="11"/>
      <c r="EC28" s="11"/>
      <c r="ED28" s="11"/>
      <c r="EE28" s="11"/>
      <c r="EF28" s="11"/>
      <c r="EG28" s="11"/>
      <c r="EH28" s="11"/>
      <c r="EI28" s="11"/>
      <c r="EJ28" s="11"/>
      <c r="EK28" s="11"/>
      <c r="EL28" s="11"/>
      <c r="EM28" s="11"/>
      <c r="EN28" s="11"/>
      <c r="EO28" s="11"/>
      <c r="EP28" s="11"/>
      <c r="EQ28" s="11"/>
      <c r="ER28" s="11"/>
      <c r="ES28" s="11"/>
      <c r="ET28" s="11"/>
      <c r="EU28" s="11"/>
      <c r="EV28" s="11"/>
      <c r="EW28" s="11"/>
      <c r="EX28" s="11"/>
      <c r="EY28" s="11"/>
      <c r="EZ28" s="11"/>
      <c r="FA28" s="11"/>
      <c r="FB28" s="11"/>
      <c r="FC28" s="11"/>
      <c r="FD28" s="11"/>
      <c r="FE28" s="11"/>
      <c r="FF28" s="11"/>
      <c r="FG28" s="11"/>
      <c r="FH28" s="11"/>
      <c r="FI28" s="11"/>
      <c r="FJ28" s="11"/>
      <c r="FK28" s="11"/>
      <c r="FL28" s="11"/>
      <c r="FM28" s="11"/>
      <c r="FN28" s="11"/>
      <c r="FO28" s="11"/>
      <c r="FP28" s="11"/>
      <c r="FQ28" s="11"/>
      <c r="FR28" s="11"/>
      <c r="FS28" s="11"/>
      <c r="FT28" s="11"/>
      <c r="FU28" s="11"/>
      <c r="FV28" s="11"/>
      <c r="FW28" s="11"/>
      <c r="FX28" s="11"/>
      <c r="FY28" s="11"/>
      <c r="FZ28" s="11"/>
      <c r="GA28" s="11"/>
      <c r="GB28" s="11"/>
      <c r="GC28" s="11"/>
      <c r="GD28" s="11"/>
      <c r="GE28" s="11"/>
      <c r="GF28" s="11"/>
      <c r="GG28" s="11"/>
      <c r="GH28" s="11"/>
      <c r="GI28" s="11"/>
      <c r="GJ28" s="11"/>
      <c r="GK28" s="11"/>
      <c r="GL28" s="11"/>
      <c r="GM28" s="11"/>
      <c r="GN28" s="11"/>
      <c r="GO28" s="11"/>
      <c r="GP28" s="11"/>
      <c r="GQ28" s="11"/>
      <c r="GR28" s="11"/>
      <c r="GS28" s="11"/>
      <c r="GT28" s="11"/>
      <c r="GU28" s="11"/>
      <c r="GV28" s="11"/>
      <c r="GW28" s="11"/>
      <c r="GX28" s="11"/>
      <c r="GY28" s="11"/>
      <c r="GZ28" s="11"/>
      <c r="HA28" s="11"/>
      <c r="HB28" s="11"/>
      <c r="HC28" s="11"/>
      <c r="HD28" s="11"/>
      <c r="HE28" s="11"/>
      <c r="HF28" s="11"/>
      <c r="HG28" s="11"/>
      <c r="HH28" s="11"/>
      <c r="HI28" s="11"/>
      <c r="HJ28" s="11"/>
      <c r="HK28" s="11"/>
      <c r="HL28" s="11"/>
      <c r="HM28" s="11"/>
      <c r="HN28" s="11"/>
      <c r="HO28" s="11"/>
      <c r="HP28" s="11"/>
      <c r="HQ28" s="11"/>
      <c r="HR28" s="11"/>
      <c r="HS28" s="11"/>
      <c r="HT28" s="11"/>
      <c r="HU28" s="11"/>
      <c r="HV28" s="11"/>
      <c r="HW28" s="11"/>
      <c r="HX28" s="11"/>
      <c r="HY28" s="11"/>
      <c r="HZ28" s="11"/>
      <c r="IA28" s="11"/>
      <c r="IB28" s="11"/>
      <c r="IC28" s="11"/>
      <c r="ID28" s="11"/>
      <c r="IE28" s="11"/>
      <c r="IF28" s="11"/>
      <c r="IG28" s="11"/>
    </row>
    <row r="29" spans="1:241" s="11" customFormat="1" x14ac:dyDescent="0.2">
      <c r="B29" s="30"/>
      <c r="C29" s="328" t="s">
        <v>519</v>
      </c>
      <c r="D29" s="328"/>
      <c r="E29" s="206"/>
      <c r="F29" s="207"/>
      <c r="G29" s="806"/>
      <c r="H29" s="215"/>
      <c r="I29" s="806"/>
      <c r="J29" s="807"/>
      <c r="K29" s="215"/>
      <c r="L29" s="807"/>
      <c r="M29" s="215"/>
      <c r="N29" s="216"/>
      <c r="O29" s="215"/>
      <c r="P29" s="215"/>
      <c r="Q29" s="806"/>
      <c r="R29" s="807"/>
      <c r="S29" s="215"/>
      <c r="T29" s="216"/>
      <c r="U29" s="184">
        <f t="shared" si="0"/>
        <v>0</v>
      </c>
      <c r="V29" s="184">
        <f t="shared" si="1"/>
        <v>0</v>
      </c>
      <c r="W29" s="262">
        <f t="shared" si="5"/>
        <v>0</v>
      </c>
      <c r="X29" s="263">
        <f t="shared" si="6"/>
        <v>0</v>
      </c>
      <c r="Y29" s="296">
        <f>'Beginning Capital Assets &amp; LTD'!I57</f>
        <v>0</v>
      </c>
      <c r="Z29" s="297"/>
      <c r="AA29" s="268"/>
      <c r="AB29" s="178"/>
      <c r="AC29" s="269" t="str">
        <f>'C. Capital Outlay &amp; Donations'!D100</f>
        <v>C.1</v>
      </c>
      <c r="AD29" s="177">
        <f>'C. Capital Outlay &amp; Donations'!K102</f>
        <v>400000</v>
      </c>
      <c r="AE29" s="177"/>
      <c r="AF29" s="269" t="str">
        <f>'D.  Capital Asset Disposal'!D189</f>
        <v>D.1</v>
      </c>
      <c r="AG29" s="177">
        <f>'D.  Capital Asset Disposal'!O218</f>
        <v>0</v>
      </c>
      <c r="AH29" s="270"/>
      <c r="AI29" s="177"/>
      <c r="AJ29" s="269"/>
      <c r="AK29" s="178"/>
      <c r="AL29" s="215"/>
      <c r="AM29" s="215"/>
      <c r="AN29" s="262">
        <f t="shared" si="8"/>
        <v>400000</v>
      </c>
      <c r="AO29" s="263">
        <f t="shared" si="9"/>
        <v>0</v>
      </c>
      <c r="AP29" s="184"/>
      <c r="AQ29" s="263"/>
      <c r="AR29" s="184">
        <f>IF(AN29+AN30+AN31-AO29-AO30-AO31&lt;=0, " ",AN29+AN30+AN31-AO29-AO30-AO31)</f>
        <v>400000</v>
      </c>
      <c r="AS29" s="263" t="str">
        <f>IF(AN29+AN30+AN31-AO29-AO30-AO31&gt;0, " ",AO29+AO30+AO31-AN29-AN30-AN31)</f>
        <v xml:space="preserve"> </v>
      </c>
      <c r="AT29" s="78"/>
      <c r="AU29" s="78"/>
      <c r="AV29" s="78"/>
      <c r="AW29" s="78"/>
      <c r="AX29" s="78"/>
      <c r="AY29" s="78"/>
      <c r="AZ29" s="78"/>
    </row>
    <row r="30" spans="1:241" s="11" customFormat="1" x14ac:dyDescent="0.2">
      <c r="B30" s="30"/>
      <c r="C30" s="328"/>
      <c r="D30" s="328"/>
      <c r="E30" s="206"/>
      <c r="F30" s="207"/>
      <c r="G30" s="806"/>
      <c r="H30" s="215"/>
      <c r="I30" s="806"/>
      <c r="J30" s="807"/>
      <c r="K30" s="215"/>
      <c r="L30" s="807"/>
      <c r="M30" s="215"/>
      <c r="N30" s="216"/>
      <c r="O30" s="215"/>
      <c r="P30" s="215"/>
      <c r="Q30" s="806"/>
      <c r="R30" s="807"/>
      <c r="S30" s="215"/>
      <c r="T30" s="216"/>
      <c r="U30" s="184">
        <f t="shared" si="0"/>
        <v>0</v>
      </c>
      <c r="V30" s="184">
        <f t="shared" si="1"/>
        <v>0</v>
      </c>
      <c r="W30" s="262">
        <f t="shared" si="5"/>
        <v>0</v>
      </c>
      <c r="X30" s="263">
        <f t="shared" si="6"/>
        <v>0</v>
      </c>
      <c r="Y30" s="296"/>
      <c r="Z30" s="297"/>
      <c r="AA30" s="268"/>
      <c r="AB30" s="178"/>
      <c r="AC30" s="269" t="str">
        <f>'D.  Capital Asset Disposal'!D189</f>
        <v>D.1</v>
      </c>
      <c r="AD30" s="177">
        <f>'D.  Capital Asset Disposal'!M218</f>
        <v>0</v>
      </c>
      <c r="AE30" s="177"/>
      <c r="AF30" s="269"/>
      <c r="AG30" s="177"/>
      <c r="AH30" s="270"/>
      <c r="AI30" s="177"/>
      <c r="AJ30" s="269"/>
      <c r="AK30" s="178"/>
      <c r="AL30" s="215"/>
      <c r="AM30" s="215"/>
      <c r="AN30" s="262">
        <f t="shared" si="8"/>
        <v>0</v>
      </c>
      <c r="AO30" s="263">
        <f t="shared" si="9"/>
        <v>0</v>
      </c>
      <c r="AP30" s="184"/>
      <c r="AQ30" s="263"/>
      <c r="AR30" s="184"/>
      <c r="AS30" s="263"/>
      <c r="AT30" s="78"/>
      <c r="AU30" s="78"/>
      <c r="AV30" s="78"/>
      <c r="AW30" s="78"/>
      <c r="AX30" s="78"/>
      <c r="AY30" s="78"/>
      <c r="AZ30" s="78"/>
    </row>
    <row r="31" spans="1:241" s="11" customFormat="1" x14ac:dyDescent="0.2">
      <c r="B31" s="30"/>
      <c r="C31" s="328"/>
      <c r="D31" s="328"/>
      <c r="E31" s="206"/>
      <c r="F31" s="207"/>
      <c r="G31" s="806"/>
      <c r="H31" s="215"/>
      <c r="I31" s="806"/>
      <c r="J31" s="807"/>
      <c r="K31" s="215"/>
      <c r="L31" s="807"/>
      <c r="M31" s="215"/>
      <c r="N31" s="216"/>
      <c r="O31" s="215"/>
      <c r="P31" s="215"/>
      <c r="Q31" s="806"/>
      <c r="R31" s="807"/>
      <c r="S31" s="215"/>
      <c r="T31" s="216"/>
      <c r="U31" s="184">
        <f t="shared" si="0"/>
        <v>0</v>
      </c>
      <c r="V31" s="184">
        <f t="shared" si="1"/>
        <v>0</v>
      </c>
      <c r="W31" s="262">
        <f t="shared" si="5"/>
        <v>0</v>
      </c>
      <c r="X31" s="263">
        <f t="shared" si="6"/>
        <v>0</v>
      </c>
      <c r="Y31" s="296"/>
      <c r="Z31" s="297"/>
      <c r="AA31" s="268"/>
      <c r="AB31" s="178"/>
      <c r="AC31" s="269" t="str">
        <f>'C. Capital Outlay &amp; Donations'!$D$154</f>
        <v>C.3</v>
      </c>
      <c r="AD31" s="177">
        <f>'C. Capital Outlay &amp; Donations'!K155</f>
        <v>0</v>
      </c>
      <c r="AE31" s="177"/>
      <c r="AF31" s="269"/>
      <c r="AG31" s="177"/>
      <c r="AH31" s="270"/>
      <c r="AI31" s="177"/>
      <c r="AJ31" s="269"/>
      <c r="AK31" s="178"/>
      <c r="AL31" s="215"/>
      <c r="AM31" s="215"/>
      <c r="AN31" s="262">
        <f t="shared" si="8"/>
        <v>0</v>
      </c>
      <c r="AO31" s="263">
        <f t="shared" si="9"/>
        <v>0</v>
      </c>
      <c r="AP31" s="184"/>
      <c r="AQ31" s="263"/>
      <c r="AR31" s="184"/>
      <c r="AS31" s="263"/>
      <c r="AT31" s="78"/>
      <c r="AU31" s="78"/>
      <c r="AV31" s="78"/>
      <c r="AW31" s="78"/>
      <c r="AX31" s="78"/>
      <c r="AY31" s="78"/>
      <c r="AZ31" s="78"/>
    </row>
    <row r="32" spans="1:241" x14ac:dyDescent="0.2">
      <c r="A32" s="11"/>
      <c r="B32" s="30"/>
      <c r="C32" s="329" t="s">
        <v>338</v>
      </c>
      <c r="D32" s="329"/>
      <c r="E32" s="204"/>
      <c r="F32" s="205"/>
      <c r="G32" s="804"/>
      <c r="H32" s="213"/>
      <c r="I32" s="804"/>
      <c r="J32" s="805"/>
      <c r="K32" s="213"/>
      <c r="L32" s="805"/>
      <c r="M32" s="213"/>
      <c r="N32" s="214"/>
      <c r="O32" s="213"/>
      <c r="P32" s="213"/>
      <c r="Q32" s="804"/>
      <c r="R32" s="805"/>
      <c r="S32" s="213"/>
      <c r="T32" s="214"/>
      <c r="U32" s="184">
        <f t="shared" si="0"/>
        <v>0</v>
      </c>
      <c r="V32" s="184">
        <f t="shared" si="1"/>
        <v>0</v>
      </c>
      <c r="W32" s="262">
        <f t="shared" si="5"/>
        <v>0</v>
      </c>
      <c r="X32" s="263">
        <f t="shared" si="6"/>
        <v>0</v>
      </c>
      <c r="Y32" s="294"/>
      <c r="Z32" s="295">
        <f>'Beginning Capital Assets &amp; LTD'!K58</f>
        <v>0</v>
      </c>
      <c r="AA32" s="265"/>
      <c r="AB32" s="135"/>
      <c r="AC32" s="266" t="str">
        <f>'D.  Capital Asset Disposal'!D189</f>
        <v>D.1</v>
      </c>
      <c r="AD32" s="44">
        <f>'D.  Capital Asset Disposal'!M189</f>
        <v>0</v>
      </c>
      <c r="AE32" s="44"/>
      <c r="AF32" s="266" t="str">
        <f>'B. Depreciation'!A54</f>
        <v>B.1</v>
      </c>
      <c r="AG32" s="44">
        <f>'B. Depreciation'!L73</f>
        <v>3333</v>
      </c>
      <c r="AH32" s="267"/>
      <c r="AI32" s="44"/>
      <c r="AJ32" s="266"/>
      <c r="AK32" s="135"/>
      <c r="AL32" s="213"/>
      <c r="AM32" s="213"/>
      <c r="AN32" s="262">
        <f t="shared" si="8"/>
        <v>0</v>
      </c>
      <c r="AO32" s="263">
        <f t="shared" si="9"/>
        <v>3333</v>
      </c>
      <c r="AP32" s="184"/>
      <c r="AQ32" s="263"/>
      <c r="AR32" s="184" t="str">
        <f>IF(AN32-AO32&lt;0, " ",AN32-AO32)</f>
        <v xml:space="preserve"> </v>
      </c>
      <c r="AS32" s="263">
        <f>IF(AN32-AO32&gt;0, " ",AO32-AN32)</f>
        <v>3333</v>
      </c>
      <c r="AT32" s="78"/>
      <c r="AU32" s="78"/>
      <c r="AV32" s="78"/>
      <c r="AW32" s="78"/>
      <c r="AX32" s="78"/>
      <c r="AY32" s="78"/>
      <c r="AZ32" s="78"/>
      <c r="BA32" s="11"/>
      <c r="BB32" s="11"/>
      <c r="BC32" s="11"/>
      <c r="BD32" s="11"/>
      <c r="BE32" s="11"/>
      <c r="BF32" s="11"/>
      <c r="BG32" s="11"/>
      <c r="BH32" s="11"/>
      <c r="BI32" s="11"/>
      <c r="BJ32" s="11"/>
      <c r="BK32" s="11"/>
      <c r="BL32" s="11"/>
      <c r="BM32" s="11"/>
      <c r="BN32" s="11"/>
      <c r="BO32" s="11"/>
      <c r="BP32" s="11"/>
      <c r="BQ32" s="11"/>
      <c r="BR32" s="11"/>
      <c r="BS32" s="11"/>
      <c r="BT32" s="11"/>
      <c r="BU32" s="11"/>
      <c r="BV32" s="11"/>
      <c r="BW32" s="11"/>
      <c r="BX32" s="11"/>
      <c r="BY32" s="11"/>
      <c r="BZ32" s="11"/>
      <c r="CA32" s="11"/>
      <c r="CB32" s="11"/>
      <c r="CC32" s="11"/>
      <c r="CD32" s="11"/>
      <c r="CE32" s="11"/>
      <c r="CF32" s="11"/>
      <c r="CG32" s="11"/>
      <c r="CH32" s="11"/>
      <c r="CI32" s="11"/>
      <c r="CJ32" s="11"/>
      <c r="CK32" s="11"/>
      <c r="CL32" s="11"/>
      <c r="CM32" s="11"/>
      <c r="CN32" s="11"/>
      <c r="CO32" s="11"/>
      <c r="CP32" s="11"/>
      <c r="CQ32" s="11"/>
      <c r="CR32" s="11"/>
      <c r="CS32" s="11"/>
      <c r="CT32" s="11"/>
      <c r="CU32" s="11"/>
      <c r="CV32" s="11"/>
      <c r="CW32" s="11"/>
      <c r="CX32" s="11"/>
      <c r="CY32" s="11"/>
      <c r="CZ32" s="11"/>
      <c r="DA32" s="11"/>
      <c r="DB32" s="11"/>
      <c r="DC32" s="11"/>
      <c r="DD32" s="11"/>
      <c r="DE32" s="11"/>
      <c r="DF32" s="11"/>
      <c r="DG32" s="11"/>
      <c r="DH32" s="11"/>
      <c r="DI32" s="11"/>
      <c r="DJ32" s="11"/>
      <c r="DK32" s="11"/>
      <c r="DL32" s="11"/>
      <c r="DM32" s="11"/>
      <c r="DN32" s="11"/>
      <c r="DO32" s="11"/>
      <c r="DP32" s="11"/>
      <c r="DQ32" s="11"/>
      <c r="DR32" s="11"/>
      <c r="DS32" s="11"/>
      <c r="DT32" s="11"/>
      <c r="DU32" s="11"/>
      <c r="DV32" s="11"/>
      <c r="DW32" s="11"/>
      <c r="DX32" s="11"/>
      <c r="DY32" s="11"/>
      <c r="DZ32" s="11"/>
      <c r="EA32" s="11"/>
      <c r="EB32" s="11"/>
      <c r="EC32" s="11"/>
      <c r="ED32" s="11"/>
      <c r="EE32" s="11"/>
      <c r="EF32" s="11"/>
      <c r="EG32" s="11"/>
      <c r="EH32" s="11"/>
      <c r="EI32" s="11"/>
      <c r="EJ32" s="11"/>
      <c r="EK32" s="11"/>
      <c r="EL32" s="11"/>
      <c r="EM32" s="11"/>
      <c r="EN32" s="11"/>
      <c r="EO32" s="11"/>
      <c r="EP32" s="11"/>
      <c r="EQ32" s="11"/>
      <c r="ER32" s="11"/>
      <c r="ES32" s="11"/>
      <c r="ET32" s="11"/>
      <c r="EU32" s="11"/>
      <c r="EV32" s="11"/>
      <c r="EW32" s="11"/>
      <c r="EX32" s="11"/>
      <c r="EY32" s="11"/>
      <c r="EZ32" s="11"/>
      <c r="FA32" s="11"/>
      <c r="FB32" s="11"/>
      <c r="FC32" s="11"/>
      <c r="FD32" s="11"/>
      <c r="FE32" s="11"/>
      <c r="FF32" s="11"/>
      <c r="FG32" s="11"/>
      <c r="FH32" s="11"/>
      <c r="FI32" s="11"/>
      <c r="FJ32" s="11"/>
      <c r="FK32" s="11"/>
      <c r="FL32" s="11"/>
      <c r="FM32" s="11"/>
      <c r="FN32" s="11"/>
      <c r="FO32" s="11"/>
      <c r="FP32" s="11"/>
      <c r="FQ32" s="11"/>
      <c r="FR32" s="11"/>
      <c r="FS32" s="11"/>
      <c r="FT32" s="11"/>
      <c r="FU32" s="11"/>
      <c r="FV32" s="11"/>
      <c r="FW32" s="11"/>
      <c r="FX32" s="11"/>
      <c r="FY32" s="11"/>
      <c r="FZ32" s="11"/>
      <c r="GA32" s="11"/>
      <c r="GB32" s="11"/>
      <c r="GC32" s="11"/>
      <c r="GD32" s="11"/>
      <c r="GE32" s="11"/>
      <c r="GF32" s="11"/>
      <c r="GG32" s="11"/>
      <c r="GH32" s="11"/>
      <c r="GI32" s="11"/>
      <c r="GJ32" s="11"/>
      <c r="GK32" s="11"/>
      <c r="GL32" s="11"/>
      <c r="GM32" s="11"/>
      <c r="GN32" s="11"/>
      <c r="GO32" s="11"/>
      <c r="GP32" s="11"/>
      <c r="GQ32" s="11"/>
      <c r="GR32" s="11"/>
      <c r="GS32" s="11"/>
      <c r="GT32" s="11"/>
      <c r="GU32" s="11"/>
      <c r="GV32" s="11"/>
      <c r="GW32" s="11"/>
      <c r="GX32" s="11"/>
      <c r="GY32" s="11"/>
      <c r="GZ32" s="11"/>
      <c r="HA32" s="11"/>
      <c r="HB32" s="11"/>
      <c r="HC32" s="11"/>
      <c r="HD32" s="11"/>
      <c r="HE32" s="11"/>
      <c r="HF32" s="11"/>
      <c r="HG32" s="11"/>
      <c r="HH32" s="11"/>
      <c r="HI32" s="11"/>
      <c r="HJ32" s="11"/>
      <c r="HK32" s="11"/>
      <c r="HL32" s="11"/>
      <c r="HM32" s="11"/>
      <c r="HN32" s="11"/>
      <c r="HO32" s="11"/>
      <c r="HP32" s="11"/>
      <c r="HQ32" s="11"/>
      <c r="HR32" s="11"/>
      <c r="HS32" s="11"/>
      <c r="HT32" s="11"/>
      <c r="HU32" s="11"/>
      <c r="HV32" s="11"/>
      <c r="HW32" s="11"/>
      <c r="HX32" s="11"/>
      <c r="HY32" s="11"/>
      <c r="HZ32" s="11"/>
      <c r="IA32" s="11"/>
      <c r="IB32" s="11"/>
      <c r="IC32" s="11"/>
      <c r="ID32" s="11"/>
      <c r="IE32" s="11"/>
      <c r="IF32" s="11"/>
      <c r="IG32" s="11"/>
    </row>
    <row r="33" spans="1:241" x14ac:dyDescent="0.2">
      <c r="A33" s="11"/>
      <c r="B33" s="30"/>
      <c r="C33" s="329"/>
      <c r="D33" s="329"/>
      <c r="E33" s="204"/>
      <c r="F33" s="205"/>
      <c r="G33" s="804"/>
      <c r="H33" s="213"/>
      <c r="I33" s="804"/>
      <c r="J33" s="805"/>
      <c r="K33" s="213"/>
      <c r="L33" s="805"/>
      <c r="M33" s="213"/>
      <c r="N33" s="214"/>
      <c r="O33" s="213"/>
      <c r="P33" s="213"/>
      <c r="Q33" s="804"/>
      <c r="R33" s="805"/>
      <c r="S33" s="213"/>
      <c r="T33" s="214"/>
      <c r="U33" s="184"/>
      <c r="V33" s="184"/>
      <c r="W33" s="262"/>
      <c r="X33" s="263"/>
      <c r="Y33" s="294"/>
      <c r="Z33" s="295"/>
      <c r="AA33" s="265"/>
      <c r="AB33" s="135"/>
      <c r="AC33" s="266"/>
      <c r="AD33" s="44"/>
      <c r="AE33" s="44"/>
      <c r="AF33" s="266"/>
      <c r="AG33" s="44"/>
      <c r="AH33" s="267"/>
      <c r="AI33" s="44"/>
      <c r="AJ33" s="266"/>
      <c r="AK33" s="135"/>
      <c r="AL33" s="213"/>
      <c r="AM33" s="213"/>
      <c r="AN33" s="262"/>
      <c r="AO33" s="263"/>
      <c r="AP33" s="184"/>
      <c r="AQ33" s="263"/>
      <c r="AR33" s="184"/>
      <c r="AS33" s="263"/>
      <c r="AT33" s="78"/>
      <c r="AU33" s="78"/>
      <c r="AV33" s="78"/>
      <c r="AW33" s="78"/>
      <c r="AX33" s="78"/>
      <c r="AY33" s="78"/>
      <c r="AZ33" s="78"/>
      <c r="BA33" s="11"/>
      <c r="BB33" s="11"/>
      <c r="BC33" s="11"/>
      <c r="BD33" s="11"/>
      <c r="BE33" s="11"/>
      <c r="BF33" s="11"/>
      <c r="BG33" s="11"/>
      <c r="BH33" s="11"/>
      <c r="BI33" s="11"/>
      <c r="BJ33" s="11"/>
      <c r="BK33" s="11"/>
      <c r="BL33" s="11"/>
      <c r="BM33" s="11"/>
      <c r="BN33" s="11"/>
      <c r="BO33" s="11"/>
      <c r="BP33" s="11"/>
      <c r="BQ33" s="11"/>
      <c r="BR33" s="11"/>
      <c r="BS33" s="11"/>
      <c r="BT33" s="11"/>
      <c r="BU33" s="11"/>
      <c r="BV33" s="11"/>
      <c r="BW33" s="11"/>
      <c r="BX33" s="11"/>
      <c r="BY33" s="11"/>
      <c r="BZ33" s="11"/>
      <c r="CA33" s="11"/>
      <c r="CB33" s="11"/>
      <c r="CC33" s="11"/>
      <c r="CD33" s="11"/>
      <c r="CE33" s="11"/>
      <c r="CF33" s="11"/>
      <c r="CG33" s="11"/>
      <c r="CH33" s="11"/>
      <c r="CI33" s="11"/>
      <c r="CJ33" s="11"/>
      <c r="CK33" s="11"/>
      <c r="CL33" s="11"/>
      <c r="CM33" s="11"/>
      <c r="CN33" s="11"/>
      <c r="CO33" s="11"/>
      <c r="CP33" s="11"/>
      <c r="CQ33" s="11"/>
      <c r="CR33" s="11"/>
      <c r="CS33" s="11"/>
      <c r="CT33" s="11"/>
      <c r="CU33" s="11"/>
      <c r="CV33" s="11"/>
      <c r="CW33" s="11"/>
      <c r="CX33" s="11"/>
      <c r="CY33" s="11"/>
      <c r="CZ33" s="11"/>
      <c r="DA33" s="11"/>
      <c r="DB33" s="11"/>
      <c r="DC33" s="11"/>
      <c r="DD33" s="11"/>
      <c r="DE33" s="11"/>
      <c r="DF33" s="11"/>
      <c r="DG33" s="11"/>
      <c r="DH33" s="11"/>
      <c r="DI33" s="11"/>
      <c r="DJ33" s="11"/>
      <c r="DK33" s="11"/>
      <c r="DL33" s="11"/>
      <c r="DM33" s="11"/>
      <c r="DN33" s="11"/>
      <c r="DO33" s="11"/>
      <c r="DP33" s="11"/>
      <c r="DQ33" s="11"/>
      <c r="DR33" s="11"/>
      <c r="DS33" s="11"/>
      <c r="DT33" s="11"/>
      <c r="DU33" s="11"/>
      <c r="DV33" s="11"/>
      <c r="DW33" s="11"/>
      <c r="DX33" s="11"/>
      <c r="DY33" s="11"/>
      <c r="DZ33" s="11"/>
      <c r="EA33" s="11"/>
      <c r="EB33" s="11"/>
      <c r="EC33" s="11"/>
      <c r="ED33" s="11"/>
      <c r="EE33" s="11"/>
      <c r="EF33" s="11"/>
      <c r="EG33" s="11"/>
      <c r="EH33" s="11"/>
      <c r="EI33" s="11"/>
      <c r="EJ33" s="11"/>
      <c r="EK33" s="11"/>
      <c r="EL33" s="11"/>
      <c r="EM33" s="11"/>
      <c r="EN33" s="11"/>
      <c r="EO33" s="11"/>
      <c r="EP33" s="11"/>
      <c r="EQ33" s="11"/>
      <c r="ER33" s="11"/>
      <c r="ES33" s="11"/>
      <c r="ET33" s="11"/>
      <c r="EU33" s="11"/>
      <c r="EV33" s="11"/>
      <c r="EW33" s="11"/>
      <c r="EX33" s="11"/>
      <c r="EY33" s="11"/>
      <c r="EZ33" s="11"/>
      <c r="FA33" s="11"/>
      <c r="FB33" s="11"/>
      <c r="FC33" s="11"/>
      <c r="FD33" s="11"/>
      <c r="FE33" s="11"/>
      <c r="FF33" s="11"/>
      <c r="FG33" s="11"/>
      <c r="FH33" s="11"/>
      <c r="FI33" s="11"/>
      <c r="FJ33" s="11"/>
      <c r="FK33" s="11"/>
      <c r="FL33" s="11"/>
      <c r="FM33" s="11"/>
      <c r="FN33" s="11"/>
      <c r="FO33" s="11"/>
      <c r="FP33" s="11"/>
      <c r="FQ33" s="11"/>
      <c r="FR33" s="11"/>
      <c r="FS33" s="11"/>
      <c r="FT33" s="11"/>
      <c r="FU33" s="11"/>
      <c r="FV33" s="11"/>
      <c r="FW33" s="11"/>
      <c r="FX33" s="11"/>
      <c r="FY33" s="11"/>
      <c r="FZ33" s="11"/>
      <c r="GA33" s="11"/>
      <c r="GB33" s="11"/>
      <c r="GC33" s="11"/>
      <c r="GD33" s="11"/>
      <c r="GE33" s="11"/>
      <c r="GF33" s="11"/>
      <c r="GG33" s="11"/>
      <c r="GH33" s="11"/>
      <c r="GI33" s="11"/>
      <c r="GJ33" s="11"/>
      <c r="GK33" s="11"/>
      <c r="GL33" s="11"/>
      <c r="GM33" s="11"/>
      <c r="GN33" s="11"/>
      <c r="GO33" s="11"/>
      <c r="GP33" s="11"/>
      <c r="GQ33" s="11"/>
      <c r="GR33" s="11"/>
      <c r="GS33" s="11"/>
      <c r="GT33" s="11"/>
      <c r="GU33" s="11"/>
      <c r="GV33" s="11"/>
      <c r="GW33" s="11"/>
      <c r="GX33" s="11"/>
      <c r="GY33" s="11"/>
      <c r="GZ33" s="11"/>
      <c r="HA33" s="11"/>
      <c r="HB33" s="11"/>
      <c r="HC33" s="11"/>
      <c r="HD33" s="11"/>
      <c r="HE33" s="11"/>
      <c r="HF33" s="11"/>
      <c r="HG33" s="11"/>
      <c r="HH33" s="11"/>
      <c r="HI33" s="11"/>
      <c r="HJ33" s="11"/>
      <c r="HK33" s="11"/>
      <c r="HL33" s="11"/>
      <c r="HM33" s="11"/>
      <c r="HN33" s="11"/>
      <c r="HO33" s="11"/>
      <c r="HP33" s="11"/>
      <c r="HQ33" s="11"/>
      <c r="HR33" s="11"/>
      <c r="HS33" s="11"/>
      <c r="HT33" s="11"/>
      <c r="HU33" s="11"/>
      <c r="HV33" s="11"/>
      <c r="HW33" s="11"/>
      <c r="HX33" s="11"/>
      <c r="HY33" s="11"/>
      <c r="HZ33" s="11"/>
      <c r="IA33" s="11"/>
      <c r="IB33" s="11"/>
      <c r="IC33" s="11"/>
      <c r="ID33" s="11"/>
      <c r="IE33" s="11"/>
      <c r="IF33" s="11"/>
      <c r="IG33" s="11"/>
    </row>
    <row r="34" spans="1:241" x14ac:dyDescent="0.2">
      <c r="A34" s="11"/>
      <c r="B34" s="30"/>
      <c r="C34" s="328" t="s">
        <v>628</v>
      </c>
      <c r="D34" s="328"/>
      <c r="E34" s="206"/>
      <c r="F34" s="207"/>
      <c r="G34" s="806"/>
      <c r="H34" s="215"/>
      <c r="I34" s="806"/>
      <c r="J34" s="807"/>
      <c r="K34" s="215"/>
      <c r="L34" s="807"/>
      <c r="M34" s="215"/>
      <c r="N34" s="216"/>
      <c r="O34" s="215"/>
      <c r="P34" s="215"/>
      <c r="Q34" s="806"/>
      <c r="R34" s="807"/>
      <c r="S34" s="215"/>
      <c r="T34" s="216"/>
      <c r="U34" s="184">
        <f t="shared" si="0"/>
        <v>0</v>
      </c>
      <c r="V34" s="184">
        <f t="shared" si="1"/>
        <v>0</v>
      </c>
      <c r="W34" s="262">
        <f t="shared" si="5"/>
        <v>0</v>
      </c>
      <c r="X34" s="263">
        <f t="shared" si="6"/>
        <v>0</v>
      </c>
      <c r="Y34" s="296">
        <f>'Beginning Capital Assets &amp; LTD'!I59</f>
        <v>607214</v>
      </c>
      <c r="Z34" s="297"/>
      <c r="AA34" s="268"/>
      <c r="AB34" s="178"/>
      <c r="AC34" s="269" t="str">
        <f>'C. Capital Outlay &amp; Donations'!D100</f>
        <v>C.1</v>
      </c>
      <c r="AD34" s="177">
        <f>'C. Capital Outlay &amp; Donations'!K104</f>
        <v>4278</v>
      </c>
      <c r="AE34" s="177"/>
      <c r="AF34" s="269" t="str">
        <f>'D.  Capital Asset Disposal'!D189</f>
        <v>D.1</v>
      </c>
      <c r="AG34" s="177">
        <f>'D.  Capital Asset Disposal'!O219</f>
        <v>0</v>
      </c>
      <c r="AH34" s="270"/>
      <c r="AI34" s="177"/>
      <c r="AJ34" s="269"/>
      <c r="AK34" s="178"/>
      <c r="AL34" s="215"/>
      <c r="AM34" s="215"/>
      <c r="AN34" s="262">
        <f>W34+Y34+AA34+AD34+AI34+AL34</f>
        <v>611492</v>
      </c>
      <c r="AO34" s="263">
        <f>X34+Z34+AB34+AG34+AK34+AM34</f>
        <v>0</v>
      </c>
      <c r="AP34" s="184"/>
      <c r="AQ34" s="263"/>
      <c r="AR34" s="184">
        <f>IF(AN34+AN35+AN36-AO34-AO35-AO36&lt;=0, " ",AN34+AN35+AN36-AO34-AO35-AO36)</f>
        <v>611492</v>
      </c>
      <c r="AS34" s="263" t="str">
        <f>IF(AN34+AN35+AN36-AO34-AO35-AO36&gt;0, " ",AO34+AO35+AO36-AN34-AN35-AN36)</f>
        <v xml:space="preserve"> </v>
      </c>
      <c r="AT34" s="78"/>
      <c r="AU34" s="78"/>
      <c r="AV34" s="78"/>
      <c r="AW34" s="78"/>
      <c r="AX34" s="78"/>
      <c r="AY34" s="78"/>
      <c r="AZ34" s="78"/>
      <c r="BA34" s="11"/>
      <c r="BB34" s="11"/>
      <c r="BC34" s="11"/>
      <c r="BD34" s="11"/>
      <c r="BE34" s="11"/>
      <c r="BF34" s="11"/>
      <c r="BG34" s="11"/>
      <c r="BH34" s="11"/>
      <c r="BI34" s="11"/>
      <c r="BJ34" s="11"/>
      <c r="BK34" s="11"/>
      <c r="BL34" s="11"/>
      <c r="BM34" s="11"/>
      <c r="BN34" s="11"/>
      <c r="BO34" s="11"/>
      <c r="BP34" s="11"/>
      <c r="BQ34" s="11"/>
      <c r="BR34" s="11"/>
      <c r="BS34" s="11"/>
      <c r="BT34" s="11"/>
      <c r="BU34" s="11"/>
      <c r="BV34" s="11"/>
      <c r="BW34" s="11"/>
      <c r="BX34" s="11"/>
      <c r="BY34" s="11"/>
      <c r="BZ34" s="11"/>
      <c r="CA34" s="11"/>
      <c r="CB34" s="11"/>
      <c r="CC34" s="11"/>
      <c r="CD34" s="11"/>
      <c r="CE34" s="11"/>
      <c r="CF34" s="11"/>
      <c r="CG34" s="11"/>
      <c r="CH34" s="11"/>
      <c r="CI34" s="11"/>
      <c r="CJ34" s="11"/>
      <c r="CK34" s="11"/>
      <c r="CL34" s="11"/>
      <c r="CM34" s="11"/>
      <c r="CN34" s="11"/>
      <c r="CO34" s="11"/>
      <c r="CP34" s="11"/>
      <c r="CQ34" s="11"/>
      <c r="CR34" s="11"/>
      <c r="CS34" s="11"/>
      <c r="CT34" s="11"/>
      <c r="CU34" s="11"/>
      <c r="CV34" s="11"/>
      <c r="CW34" s="11"/>
      <c r="CX34" s="11"/>
      <c r="CY34" s="11"/>
      <c r="CZ34" s="11"/>
      <c r="DA34" s="11"/>
      <c r="DB34" s="11"/>
      <c r="DC34" s="11"/>
      <c r="DD34" s="11"/>
      <c r="DE34" s="11"/>
      <c r="DF34" s="11"/>
      <c r="DG34" s="11"/>
      <c r="DH34" s="11"/>
      <c r="DI34" s="11"/>
      <c r="DJ34" s="11"/>
      <c r="DK34" s="11"/>
      <c r="DL34" s="11"/>
      <c r="DM34" s="11"/>
      <c r="DN34" s="11"/>
      <c r="DO34" s="11"/>
      <c r="DP34" s="11"/>
      <c r="DQ34" s="11"/>
      <c r="DR34" s="11"/>
      <c r="DS34" s="11"/>
      <c r="DT34" s="11"/>
      <c r="DU34" s="11"/>
      <c r="DV34" s="11"/>
      <c r="DW34" s="11"/>
      <c r="DX34" s="11"/>
      <c r="DY34" s="11"/>
      <c r="DZ34" s="11"/>
      <c r="EA34" s="11"/>
      <c r="EB34" s="11"/>
      <c r="EC34" s="11"/>
      <c r="ED34" s="11"/>
      <c r="EE34" s="11"/>
      <c r="EF34" s="11"/>
      <c r="EG34" s="11"/>
      <c r="EH34" s="11"/>
      <c r="EI34" s="11"/>
      <c r="EJ34" s="11"/>
      <c r="EK34" s="11"/>
      <c r="EL34" s="11"/>
      <c r="EM34" s="11"/>
      <c r="EN34" s="11"/>
      <c r="EO34" s="11"/>
      <c r="EP34" s="11"/>
      <c r="EQ34" s="11"/>
      <c r="ER34" s="11"/>
      <c r="ES34" s="11"/>
      <c r="ET34" s="11"/>
      <c r="EU34" s="11"/>
      <c r="EV34" s="11"/>
      <c r="EW34" s="11"/>
      <c r="EX34" s="11"/>
      <c r="EY34" s="11"/>
      <c r="EZ34" s="11"/>
      <c r="FA34" s="11"/>
      <c r="FB34" s="11"/>
      <c r="FC34" s="11"/>
      <c r="FD34" s="11"/>
      <c r="FE34" s="11"/>
      <c r="FF34" s="11"/>
      <c r="FG34" s="11"/>
      <c r="FH34" s="11"/>
      <c r="FI34" s="11"/>
      <c r="FJ34" s="11"/>
      <c r="FK34" s="11"/>
      <c r="FL34" s="11"/>
      <c r="FM34" s="11"/>
      <c r="FN34" s="11"/>
      <c r="FO34" s="11"/>
      <c r="FP34" s="11"/>
      <c r="FQ34" s="11"/>
      <c r="FR34" s="11"/>
      <c r="FS34" s="11"/>
      <c r="FT34" s="11"/>
      <c r="FU34" s="11"/>
      <c r="FV34" s="11"/>
      <c r="FW34" s="11"/>
      <c r="FX34" s="11"/>
      <c r="FY34" s="11"/>
      <c r="FZ34" s="11"/>
      <c r="GA34" s="11"/>
      <c r="GB34" s="11"/>
      <c r="GC34" s="11"/>
      <c r="GD34" s="11"/>
      <c r="GE34" s="11"/>
      <c r="GF34" s="11"/>
      <c r="GG34" s="11"/>
      <c r="GH34" s="11"/>
      <c r="GI34" s="11"/>
      <c r="GJ34" s="11"/>
      <c r="GK34" s="11"/>
      <c r="GL34" s="11"/>
      <c r="GM34" s="11"/>
      <c r="GN34" s="11"/>
      <c r="GO34" s="11"/>
      <c r="GP34" s="11"/>
      <c r="GQ34" s="11"/>
      <c r="GR34" s="11"/>
      <c r="GS34" s="11"/>
      <c r="GT34" s="11"/>
      <c r="GU34" s="11"/>
      <c r="GV34" s="11"/>
      <c r="GW34" s="11"/>
      <c r="GX34" s="11"/>
      <c r="GY34" s="11"/>
      <c r="GZ34" s="11"/>
      <c r="HA34" s="11"/>
      <c r="HB34" s="11"/>
      <c r="HC34" s="11"/>
      <c r="HD34" s="11"/>
      <c r="HE34" s="11"/>
      <c r="HF34" s="11"/>
      <c r="HG34" s="11"/>
      <c r="HH34" s="11"/>
      <c r="HI34" s="11"/>
      <c r="HJ34" s="11"/>
      <c r="HK34" s="11"/>
      <c r="HL34" s="11"/>
      <c r="HM34" s="11"/>
      <c r="HN34" s="11"/>
      <c r="HO34" s="11"/>
      <c r="HP34" s="11"/>
      <c r="HQ34" s="11"/>
      <c r="HR34" s="11"/>
      <c r="HS34" s="11"/>
      <c r="HT34" s="11"/>
      <c r="HU34" s="11"/>
      <c r="HV34" s="11"/>
      <c r="HW34" s="11"/>
      <c r="HX34" s="11"/>
      <c r="HY34" s="11"/>
      <c r="HZ34" s="11"/>
      <c r="IA34" s="11"/>
      <c r="IB34" s="11"/>
      <c r="IC34" s="11"/>
      <c r="ID34" s="11"/>
      <c r="IE34" s="11"/>
      <c r="IF34" s="11"/>
      <c r="IG34" s="11"/>
    </row>
    <row r="35" spans="1:241" x14ac:dyDescent="0.2">
      <c r="A35" s="11"/>
      <c r="B35" s="30"/>
      <c r="C35" s="328"/>
      <c r="D35" s="328"/>
      <c r="E35" s="206"/>
      <c r="F35" s="207"/>
      <c r="G35" s="806"/>
      <c r="H35" s="215"/>
      <c r="I35" s="806"/>
      <c r="J35" s="807"/>
      <c r="K35" s="215"/>
      <c r="L35" s="807"/>
      <c r="M35" s="215"/>
      <c r="N35" s="216"/>
      <c r="O35" s="215"/>
      <c r="P35" s="215"/>
      <c r="Q35" s="806"/>
      <c r="R35" s="807"/>
      <c r="S35" s="215"/>
      <c r="T35" s="216"/>
      <c r="U35" s="184">
        <f t="shared" si="0"/>
        <v>0</v>
      </c>
      <c r="V35" s="184">
        <f t="shared" si="1"/>
        <v>0</v>
      </c>
      <c r="W35" s="262">
        <f t="shared" si="5"/>
        <v>0</v>
      </c>
      <c r="X35" s="263">
        <f t="shared" si="6"/>
        <v>0</v>
      </c>
      <c r="Y35" s="296"/>
      <c r="Z35" s="297"/>
      <c r="AA35" s="268"/>
      <c r="AB35" s="178"/>
      <c r="AC35" s="269" t="str">
        <f>'D.  Capital Asset Disposal'!D189</f>
        <v>D.1</v>
      </c>
      <c r="AD35" s="177">
        <f>'D.  Capital Asset Disposal'!M219</f>
        <v>0</v>
      </c>
      <c r="AE35" s="177"/>
      <c r="AF35" s="269"/>
      <c r="AG35" s="177"/>
      <c r="AH35" s="270"/>
      <c r="AI35" s="177"/>
      <c r="AJ35" s="269"/>
      <c r="AK35" s="178"/>
      <c r="AL35" s="215"/>
      <c r="AM35" s="215"/>
      <c r="AN35" s="262">
        <f>W35+Y35+AA35+AD35+AI35+AL35</f>
        <v>0</v>
      </c>
      <c r="AO35" s="263">
        <f>X35+Z35+AB35+AG35+AK35+AM35</f>
        <v>0</v>
      </c>
      <c r="AP35" s="184"/>
      <c r="AQ35" s="263"/>
      <c r="AR35" s="184"/>
      <c r="AS35" s="263"/>
      <c r="AT35" s="78"/>
      <c r="AU35" s="78"/>
      <c r="AV35" s="78"/>
      <c r="AW35" s="78"/>
      <c r="AX35" s="78"/>
      <c r="AY35" s="78"/>
      <c r="AZ35" s="78"/>
      <c r="BA35" s="11"/>
      <c r="BB35" s="11"/>
      <c r="BC35" s="11"/>
      <c r="BD35" s="11"/>
      <c r="BE35" s="11"/>
      <c r="BF35" s="11"/>
      <c r="BG35" s="11"/>
      <c r="BH35" s="11"/>
      <c r="BI35" s="11"/>
      <c r="BJ35" s="11"/>
      <c r="BK35" s="11"/>
      <c r="BL35" s="11"/>
      <c r="BM35" s="11"/>
      <c r="BN35" s="11"/>
      <c r="BO35" s="11"/>
      <c r="BP35" s="11"/>
      <c r="BQ35" s="11"/>
      <c r="BR35" s="11"/>
      <c r="BS35" s="11"/>
      <c r="BT35" s="11"/>
      <c r="BU35" s="11"/>
      <c r="BV35" s="11"/>
      <c r="BW35" s="11"/>
      <c r="BX35" s="11"/>
      <c r="BY35" s="11"/>
      <c r="BZ35" s="11"/>
      <c r="CA35" s="11"/>
      <c r="CB35" s="11"/>
      <c r="CC35" s="11"/>
      <c r="CD35" s="11"/>
      <c r="CE35" s="11"/>
      <c r="CF35" s="11"/>
      <c r="CG35" s="11"/>
      <c r="CH35" s="11"/>
      <c r="CI35" s="11"/>
      <c r="CJ35" s="11"/>
      <c r="CK35" s="11"/>
      <c r="CL35" s="11"/>
      <c r="CM35" s="11"/>
      <c r="CN35" s="11"/>
      <c r="CO35" s="11"/>
      <c r="CP35" s="11"/>
      <c r="CQ35" s="11"/>
      <c r="CR35" s="11"/>
      <c r="CS35" s="11"/>
      <c r="CT35" s="11"/>
      <c r="CU35" s="11"/>
      <c r="CV35" s="11"/>
      <c r="CW35" s="11"/>
      <c r="CX35" s="11"/>
      <c r="CY35" s="11"/>
      <c r="CZ35" s="11"/>
      <c r="DA35" s="11"/>
      <c r="DB35" s="11"/>
      <c r="DC35" s="11"/>
      <c r="DD35" s="11"/>
      <c r="DE35" s="11"/>
      <c r="DF35" s="11"/>
      <c r="DG35" s="11"/>
      <c r="DH35" s="11"/>
      <c r="DI35" s="11"/>
      <c r="DJ35" s="11"/>
      <c r="DK35" s="11"/>
      <c r="DL35" s="11"/>
      <c r="DM35" s="11"/>
      <c r="DN35" s="11"/>
      <c r="DO35" s="11"/>
      <c r="DP35" s="11"/>
      <c r="DQ35" s="11"/>
      <c r="DR35" s="11"/>
      <c r="DS35" s="11"/>
      <c r="DT35" s="11"/>
      <c r="DU35" s="11"/>
      <c r="DV35" s="11"/>
      <c r="DW35" s="11"/>
      <c r="DX35" s="11"/>
      <c r="DY35" s="11"/>
      <c r="DZ35" s="11"/>
      <c r="EA35" s="11"/>
      <c r="EB35" s="11"/>
      <c r="EC35" s="11"/>
      <c r="ED35" s="11"/>
      <c r="EE35" s="11"/>
      <c r="EF35" s="11"/>
      <c r="EG35" s="11"/>
      <c r="EH35" s="11"/>
      <c r="EI35" s="11"/>
      <c r="EJ35" s="11"/>
      <c r="EK35" s="11"/>
      <c r="EL35" s="11"/>
      <c r="EM35" s="11"/>
      <c r="EN35" s="11"/>
      <c r="EO35" s="11"/>
      <c r="EP35" s="11"/>
      <c r="EQ35" s="11"/>
      <c r="ER35" s="11"/>
      <c r="ES35" s="11"/>
      <c r="ET35" s="11"/>
      <c r="EU35" s="11"/>
      <c r="EV35" s="11"/>
      <c r="EW35" s="11"/>
      <c r="EX35" s="11"/>
      <c r="EY35" s="11"/>
      <c r="EZ35" s="11"/>
      <c r="FA35" s="11"/>
      <c r="FB35" s="11"/>
      <c r="FC35" s="11"/>
      <c r="FD35" s="11"/>
      <c r="FE35" s="11"/>
      <c r="FF35" s="11"/>
      <c r="FG35" s="11"/>
      <c r="FH35" s="11"/>
      <c r="FI35" s="11"/>
      <c r="FJ35" s="11"/>
      <c r="FK35" s="11"/>
      <c r="FL35" s="11"/>
      <c r="FM35" s="11"/>
      <c r="FN35" s="11"/>
      <c r="FO35" s="11"/>
      <c r="FP35" s="11"/>
      <c r="FQ35" s="11"/>
      <c r="FR35" s="11"/>
      <c r="FS35" s="11"/>
      <c r="FT35" s="11"/>
      <c r="FU35" s="11"/>
      <c r="FV35" s="11"/>
      <c r="FW35" s="11"/>
      <c r="FX35" s="11"/>
      <c r="FY35" s="11"/>
      <c r="FZ35" s="11"/>
      <c r="GA35" s="11"/>
      <c r="GB35" s="11"/>
      <c r="GC35" s="11"/>
      <c r="GD35" s="11"/>
      <c r="GE35" s="11"/>
      <c r="GF35" s="11"/>
      <c r="GG35" s="11"/>
      <c r="GH35" s="11"/>
      <c r="GI35" s="11"/>
      <c r="GJ35" s="11"/>
      <c r="GK35" s="11"/>
      <c r="GL35" s="11"/>
      <c r="GM35" s="11"/>
      <c r="GN35" s="11"/>
      <c r="GO35" s="11"/>
      <c r="GP35" s="11"/>
      <c r="GQ35" s="11"/>
      <c r="GR35" s="11"/>
      <c r="GS35" s="11"/>
      <c r="GT35" s="11"/>
      <c r="GU35" s="11"/>
      <c r="GV35" s="11"/>
      <c r="GW35" s="11"/>
      <c r="GX35" s="11"/>
      <c r="GY35" s="11"/>
      <c r="GZ35" s="11"/>
      <c r="HA35" s="11"/>
      <c r="HB35" s="11"/>
      <c r="HC35" s="11"/>
      <c r="HD35" s="11"/>
      <c r="HE35" s="11"/>
      <c r="HF35" s="11"/>
      <c r="HG35" s="11"/>
      <c r="HH35" s="11"/>
      <c r="HI35" s="11"/>
      <c r="HJ35" s="11"/>
      <c r="HK35" s="11"/>
      <c r="HL35" s="11"/>
      <c r="HM35" s="11"/>
      <c r="HN35" s="11"/>
      <c r="HO35" s="11"/>
      <c r="HP35" s="11"/>
      <c r="HQ35" s="11"/>
      <c r="HR35" s="11"/>
      <c r="HS35" s="11"/>
      <c r="HT35" s="11"/>
      <c r="HU35" s="11"/>
      <c r="HV35" s="11"/>
      <c r="HW35" s="11"/>
      <c r="HX35" s="11"/>
      <c r="HY35" s="11"/>
      <c r="HZ35" s="11"/>
      <c r="IA35" s="11"/>
      <c r="IB35" s="11"/>
      <c r="IC35" s="11"/>
      <c r="ID35" s="11"/>
      <c r="IE35" s="11"/>
      <c r="IF35" s="11"/>
      <c r="IG35" s="11"/>
    </row>
    <row r="36" spans="1:241" x14ac:dyDescent="0.2">
      <c r="A36" s="11"/>
      <c r="B36" s="30"/>
      <c r="C36" s="328"/>
      <c r="D36" s="328"/>
      <c r="E36" s="206"/>
      <c r="F36" s="207"/>
      <c r="G36" s="806"/>
      <c r="H36" s="215"/>
      <c r="I36" s="806"/>
      <c r="J36" s="807"/>
      <c r="K36" s="215"/>
      <c r="L36" s="807"/>
      <c r="M36" s="215"/>
      <c r="N36" s="216"/>
      <c r="O36" s="215"/>
      <c r="P36" s="215"/>
      <c r="Q36" s="806"/>
      <c r="R36" s="807"/>
      <c r="S36" s="215"/>
      <c r="T36" s="216"/>
      <c r="U36" s="184">
        <f t="shared" si="0"/>
        <v>0</v>
      </c>
      <c r="V36" s="184">
        <f t="shared" si="1"/>
        <v>0</v>
      </c>
      <c r="W36" s="262">
        <f t="shared" si="5"/>
        <v>0</v>
      </c>
      <c r="X36" s="263">
        <f t="shared" si="6"/>
        <v>0</v>
      </c>
      <c r="Y36" s="296"/>
      <c r="Z36" s="297"/>
      <c r="AA36" s="268"/>
      <c r="AB36" s="178"/>
      <c r="AC36" s="269" t="str">
        <f>'C. Capital Outlay &amp; Donations'!$D$154</f>
        <v>C.3</v>
      </c>
      <c r="AD36" s="177">
        <f>'C. Capital Outlay &amp; Donations'!K156</f>
        <v>0</v>
      </c>
      <c r="AE36" s="177"/>
      <c r="AF36" s="269"/>
      <c r="AG36" s="177"/>
      <c r="AH36" s="270"/>
      <c r="AI36" s="177"/>
      <c r="AJ36" s="269"/>
      <c r="AK36" s="178"/>
      <c r="AL36" s="215"/>
      <c r="AM36" s="215"/>
      <c r="AN36" s="262">
        <f>W36+Y36+AA36+AD36+AI36+AL36</f>
        <v>0</v>
      </c>
      <c r="AO36" s="263">
        <f>X36+Z36+AB36+AG36+AK36+AM36</f>
        <v>0</v>
      </c>
      <c r="AP36" s="184"/>
      <c r="AQ36" s="263"/>
      <c r="AR36" s="184"/>
      <c r="AS36" s="263"/>
      <c r="AT36" s="78"/>
      <c r="AU36" s="78"/>
      <c r="AV36" s="78"/>
      <c r="AW36" s="78"/>
      <c r="AX36" s="78"/>
      <c r="AY36" s="78"/>
      <c r="AZ36" s="78"/>
      <c r="BA36" s="11"/>
      <c r="BB36" s="11"/>
      <c r="BC36" s="11"/>
      <c r="BD36" s="11"/>
      <c r="BE36" s="11"/>
      <c r="BF36" s="11"/>
      <c r="BG36" s="11"/>
      <c r="BH36" s="11"/>
      <c r="BI36" s="11"/>
      <c r="BJ36" s="11"/>
      <c r="BK36" s="11"/>
      <c r="BL36" s="11"/>
      <c r="BM36" s="11"/>
      <c r="BN36" s="11"/>
      <c r="BO36" s="11"/>
      <c r="BP36" s="11"/>
      <c r="BQ36" s="11"/>
      <c r="BR36" s="11"/>
      <c r="BS36" s="11"/>
      <c r="BT36" s="11"/>
      <c r="BU36" s="11"/>
      <c r="BV36" s="11"/>
      <c r="BW36" s="11"/>
      <c r="BX36" s="11"/>
      <c r="BY36" s="11"/>
      <c r="BZ36" s="11"/>
      <c r="CA36" s="11"/>
      <c r="CB36" s="11"/>
      <c r="CC36" s="11"/>
      <c r="CD36" s="11"/>
      <c r="CE36" s="11"/>
      <c r="CF36" s="11"/>
      <c r="CG36" s="11"/>
      <c r="CH36" s="11"/>
      <c r="CI36" s="11"/>
      <c r="CJ36" s="11"/>
      <c r="CK36" s="11"/>
      <c r="CL36" s="11"/>
      <c r="CM36" s="11"/>
      <c r="CN36" s="11"/>
      <c r="CO36" s="11"/>
      <c r="CP36" s="11"/>
      <c r="CQ36" s="11"/>
      <c r="CR36" s="11"/>
      <c r="CS36" s="11"/>
      <c r="CT36" s="11"/>
      <c r="CU36" s="11"/>
      <c r="CV36" s="11"/>
      <c r="CW36" s="11"/>
      <c r="CX36" s="11"/>
      <c r="CY36" s="11"/>
      <c r="CZ36" s="11"/>
      <c r="DA36" s="11"/>
      <c r="DB36" s="11"/>
      <c r="DC36" s="11"/>
      <c r="DD36" s="11"/>
      <c r="DE36" s="11"/>
      <c r="DF36" s="11"/>
      <c r="DG36" s="11"/>
      <c r="DH36" s="11"/>
      <c r="DI36" s="11"/>
      <c r="DJ36" s="11"/>
      <c r="DK36" s="11"/>
      <c r="DL36" s="11"/>
      <c r="DM36" s="11"/>
      <c r="DN36" s="11"/>
      <c r="DO36" s="11"/>
      <c r="DP36" s="11"/>
      <c r="DQ36" s="11"/>
      <c r="DR36" s="11"/>
      <c r="DS36" s="11"/>
      <c r="DT36" s="11"/>
      <c r="DU36" s="11"/>
      <c r="DV36" s="11"/>
      <c r="DW36" s="11"/>
      <c r="DX36" s="11"/>
      <c r="DY36" s="11"/>
      <c r="DZ36" s="11"/>
      <c r="EA36" s="11"/>
      <c r="EB36" s="11"/>
      <c r="EC36" s="11"/>
      <c r="ED36" s="11"/>
      <c r="EE36" s="11"/>
      <c r="EF36" s="11"/>
      <c r="EG36" s="11"/>
      <c r="EH36" s="11"/>
      <c r="EI36" s="11"/>
      <c r="EJ36" s="11"/>
      <c r="EK36" s="11"/>
      <c r="EL36" s="11"/>
      <c r="EM36" s="11"/>
      <c r="EN36" s="11"/>
      <c r="EO36" s="11"/>
      <c r="EP36" s="11"/>
      <c r="EQ36" s="11"/>
      <c r="ER36" s="11"/>
      <c r="ES36" s="11"/>
      <c r="ET36" s="11"/>
      <c r="EU36" s="11"/>
      <c r="EV36" s="11"/>
      <c r="EW36" s="11"/>
      <c r="EX36" s="11"/>
      <c r="EY36" s="11"/>
      <c r="EZ36" s="11"/>
      <c r="FA36" s="11"/>
      <c r="FB36" s="11"/>
      <c r="FC36" s="11"/>
      <c r="FD36" s="11"/>
      <c r="FE36" s="11"/>
      <c r="FF36" s="11"/>
      <c r="FG36" s="11"/>
      <c r="FH36" s="11"/>
      <c r="FI36" s="11"/>
      <c r="FJ36" s="11"/>
      <c r="FK36" s="11"/>
      <c r="FL36" s="11"/>
      <c r="FM36" s="11"/>
      <c r="FN36" s="11"/>
      <c r="FO36" s="11"/>
      <c r="FP36" s="11"/>
      <c r="FQ36" s="11"/>
      <c r="FR36" s="11"/>
      <c r="FS36" s="11"/>
      <c r="FT36" s="11"/>
      <c r="FU36" s="11"/>
      <c r="FV36" s="11"/>
      <c r="FW36" s="11"/>
      <c r="FX36" s="11"/>
      <c r="FY36" s="11"/>
      <c r="FZ36" s="11"/>
      <c r="GA36" s="11"/>
      <c r="GB36" s="11"/>
      <c r="GC36" s="11"/>
      <c r="GD36" s="11"/>
      <c r="GE36" s="11"/>
      <c r="GF36" s="11"/>
      <c r="GG36" s="11"/>
      <c r="GH36" s="11"/>
      <c r="GI36" s="11"/>
      <c r="GJ36" s="11"/>
      <c r="GK36" s="11"/>
      <c r="GL36" s="11"/>
      <c r="GM36" s="11"/>
      <c r="GN36" s="11"/>
      <c r="GO36" s="11"/>
      <c r="GP36" s="11"/>
      <c r="GQ36" s="11"/>
      <c r="GR36" s="11"/>
      <c r="GS36" s="11"/>
      <c r="GT36" s="11"/>
      <c r="GU36" s="11"/>
      <c r="GV36" s="11"/>
      <c r="GW36" s="11"/>
      <c r="GX36" s="11"/>
      <c r="GY36" s="11"/>
      <c r="GZ36" s="11"/>
      <c r="HA36" s="11"/>
      <c r="HB36" s="11"/>
      <c r="HC36" s="11"/>
      <c r="HD36" s="11"/>
      <c r="HE36" s="11"/>
      <c r="HF36" s="11"/>
      <c r="HG36" s="11"/>
      <c r="HH36" s="11"/>
      <c r="HI36" s="11"/>
      <c r="HJ36" s="11"/>
      <c r="HK36" s="11"/>
      <c r="HL36" s="11"/>
      <c r="HM36" s="11"/>
      <c r="HN36" s="11"/>
      <c r="HO36" s="11"/>
      <c r="HP36" s="11"/>
      <c r="HQ36" s="11"/>
      <c r="HR36" s="11"/>
      <c r="HS36" s="11"/>
      <c r="HT36" s="11"/>
      <c r="HU36" s="11"/>
      <c r="HV36" s="11"/>
      <c r="HW36" s="11"/>
      <c r="HX36" s="11"/>
      <c r="HY36" s="11"/>
      <c r="HZ36" s="11"/>
      <c r="IA36" s="11"/>
      <c r="IB36" s="11"/>
      <c r="IC36" s="11"/>
      <c r="ID36" s="11"/>
      <c r="IE36" s="11"/>
      <c r="IF36" s="11"/>
      <c r="IG36" s="11"/>
    </row>
    <row r="37" spans="1:241" x14ac:dyDescent="0.2">
      <c r="A37" s="11"/>
      <c r="B37" s="30"/>
      <c r="C37" s="311" t="s">
        <v>661</v>
      </c>
      <c r="D37" s="311"/>
      <c r="E37" s="204"/>
      <c r="F37" s="205"/>
      <c r="G37" s="804"/>
      <c r="H37" s="213"/>
      <c r="I37" s="804"/>
      <c r="J37" s="805"/>
      <c r="K37" s="213"/>
      <c r="L37" s="805"/>
      <c r="M37" s="213"/>
      <c r="N37" s="214"/>
      <c r="O37" s="213"/>
      <c r="P37" s="213"/>
      <c r="Q37" s="804"/>
      <c r="R37" s="805"/>
      <c r="S37" s="213"/>
      <c r="T37" s="214"/>
      <c r="U37" s="184">
        <f t="shared" si="0"/>
        <v>0</v>
      </c>
      <c r="V37" s="184">
        <f t="shared" si="1"/>
        <v>0</v>
      </c>
      <c r="W37" s="262">
        <f t="shared" si="5"/>
        <v>0</v>
      </c>
      <c r="X37" s="263">
        <f t="shared" si="6"/>
        <v>0</v>
      </c>
      <c r="Y37" s="294"/>
      <c r="Z37" s="295">
        <f>'Beginning Capital Assets &amp; LTD'!K60</f>
        <v>55111</v>
      </c>
      <c r="AA37" s="265"/>
      <c r="AB37" s="135"/>
      <c r="AC37" s="266" t="str">
        <f>'D.  Capital Asset Disposal'!D189</f>
        <v>D.1</v>
      </c>
      <c r="AD37" s="44">
        <f>'D.  Capital Asset Disposal'!M190</f>
        <v>0</v>
      </c>
      <c r="AE37" s="44"/>
      <c r="AF37" s="266" t="str">
        <f>'B. Depreciation'!A54</f>
        <v>B.1</v>
      </c>
      <c r="AG37" s="44">
        <f>'B. Depreciation'!L74</f>
        <v>60514</v>
      </c>
      <c r="AH37" s="267"/>
      <c r="AI37" s="44"/>
      <c r="AJ37" s="266"/>
      <c r="AK37" s="135"/>
      <c r="AL37" s="213"/>
      <c r="AM37" s="213"/>
      <c r="AN37" s="262">
        <f>W37+Y37+AA37+AD37+AI37+AL37</f>
        <v>0</v>
      </c>
      <c r="AO37" s="263">
        <f>X37+Z37+AB37+AG37+AK37+AM37</f>
        <v>115625</v>
      </c>
      <c r="AP37" s="184"/>
      <c r="AQ37" s="263"/>
      <c r="AR37" s="184" t="str">
        <f>IF(AN37-AO37&lt;0, " ",AN37-AO37)</f>
        <v xml:space="preserve"> </v>
      </c>
      <c r="AS37" s="263">
        <f>IF(AN37-AO37&gt;0, " ",AO37-AN37)</f>
        <v>115625</v>
      </c>
      <c r="AT37" s="78"/>
      <c r="AU37" s="78"/>
      <c r="AV37" s="78"/>
      <c r="AW37" s="78"/>
      <c r="AX37" s="78"/>
      <c r="AY37" s="78"/>
      <c r="AZ37" s="78"/>
      <c r="BA37" s="11"/>
      <c r="BB37" s="11"/>
      <c r="BC37" s="11"/>
      <c r="BD37" s="11"/>
      <c r="BE37" s="11"/>
      <c r="BF37" s="11"/>
      <c r="BG37" s="11"/>
      <c r="BH37" s="11"/>
      <c r="BI37" s="11"/>
      <c r="BJ37" s="11"/>
      <c r="BK37" s="11"/>
      <c r="BL37" s="11"/>
      <c r="BM37" s="11"/>
      <c r="BN37" s="11"/>
      <c r="BO37" s="11"/>
      <c r="BP37" s="11"/>
      <c r="BQ37" s="11"/>
      <c r="BR37" s="11"/>
      <c r="BS37" s="11"/>
      <c r="BT37" s="11"/>
      <c r="BU37" s="11"/>
      <c r="BV37" s="11"/>
      <c r="BW37" s="11"/>
      <c r="BX37" s="11"/>
      <c r="BY37" s="11"/>
      <c r="BZ37" s="11"/>
      <c r="CA37" s="11"/>
      <c r="CB37" s="11"/>
      <c r="CC37" s="11"/>
      <c r="CD37" s="11"/>
      <c r="CE37" s="11"/>
      <c r="CF37" s="11"/>
      <c r="CG37" s="11"/>
      <c r="CH37" s="11"/>
      <c r="CI37" s="11"/>
      <c r="CJ37" s="11"/>
      <c r="CK37" s="11"/>
      <c r="CL37" s="11"/>
      <c r="CM37" s="11"/>
      <c r="CN37" s="11"/>
      <c r="CO37" s="11"/>
      <c r="CP37" s="11"/>
      <c r="CQ37" s="11"/>
      <c r="CR37" s="11"/>
      <c r="CS37" s="11"/>
      <c r="CT37" s="11"/>
      <c r="CU37" s="11"/>
      <c r="CV37" s="11"/>
      <c r="CW37" s="11"/>
      <c r="CX37" s="11"/>
      <c r="CY37" s="11"/>
      <c r="CZ37" s="11"/>
      <c r="DA37" s="11"/>
      <c r="DB37" s="11"/>
      <c r="DC37" s="11"/>
      <c r="DD37" s="11"/>
      <c r="DE37" s="11"/>
      <c r="DF37" s="11"/>
      <c r="DG37" s="11"/>
      <c r="DH37" s="11"/>
      <c r="DI37" s="11"/>
      <c r="DJ37" s="11"/>
      <c r="DK37" s="11"/>
      <c r="DL37" s="11"/>
      <c r="DM37" s="11"/>
      <c r="DN37" s="11"/>
      <c r="DO37" s="11"/>
      <c r="DP37" s="11"/>
      <c r="DQ37" s="11"/>
      <c r="DR37" s="11"/>
      <c r="DS37" s="11"/>
      <c r="DT37" s="11"/>
      <c r="DU37" s="11"/>
      <c r="DV37" s="11"/>
      <c r="DW37" s="11"/>
      <c r="DX37" s="11"/>
      <c r="DY37" s="11"/>
      <c r="DZ37" s="11"/>
      <c r="EA37" s="11"/>
      <c r="EB37" s="11"/>
      <c r="EC37" s="11"/>
      <c r="ED37" s="11"/>
      <c r="EE37" s="11"/>
      <c r="EF37" s="11"/>
      <c r="EG37" s="11"/>
      <c r="EH37" s="11"/>
      <c r="EI37" s="11"/>
      <c r="EJ37" s="11"/>
      <c r="EK37" s="11"/>
      <c r="EL37" s="11"/>
      <c r="EM37" s="11"/>
      <c r="EN37" s="11"/>
      <c r="EO37" s="11"/>
      <c r="EP37" s="11"/>
      <c r="EQ37" s="11"/>
      <c r="ER37" s="11"/>
      <c r="ES37" s="11"/>
      <c r="ET37" s="11"/>
      <c r="EU37" s="11"/>
      <c r="EV37" s="11"/>
      <c r="EW37" s="11"/>
      <c r="EX37" s="11"/>
      <c r="EY37" s="11"/>
      <c r="EZ37" s="11"/>
      <c r="FA37" s="11"/>
      <c r="FB37" s="11"/>
      <c r="FC37" s="11"/>
      <c r="FD37" s="11"/>
      <c r="FE37" s="11"/>
      <c r="FF37" s="11"/>
      <c r="FG37" s="11"/>
      <c r="FH37" s="11"/>
      <c r="FI37" s="11"/>
      <c r="FJ37" s="11"/>
      <c r="FK37" s="11"/>
      <c r="FL37" s="11"/>
      <c r="FM37" s="11"/>
      <c r="FN37" s="11"/>
      <c r="FO37" s="11"/>
      <c r="FP37" s="11"/>
      <c r="FQ37" s="11"/>
      <c r="FR37" s="11"/>
      <c r="FS37" s="11"/>
      <c r="FT37" s="11"/>
      <c r="FU37" s="11"/>
      <c r="FV37" s="11"/>
      <c r="FW37" s="11"/>
      <c r="FX37" s="11"/>
      <c r="FY37" s="11"/>
      <c r="FZ37" s="11"/>
      <c r="GA37" s="11"/>
      <c r="GB37" s="11"/>
      <c r="GC37" s="11"/>
      <c r="GD37" s="11"/>
      <c r="GE37" s="11"/>
      <c r="GF37" s="11"/>
      <c r="GG37" s="11"/>
      <c r="GH37" s="11"/>
      <c r="GI37" s="11"/>
      <c r="GJ37" s="11"/>
      <c r="GK37" s="11"/>
      <c r="GL37" s="11"/>
      <c r="GM37" s="11"/>
      <c r="GN37" s="11"/>
      <c r="GO37" s="11"/>
      <c r="GP37" s="11"/>
      <c r="GQ37" s="11"/>
      <c r="GR37" s="11"/>
      <c r="GS37" s="11"/>
      <c r="GT37" s="11"/>
      <c r="GU37" s="11"/>
      <c r="GV37" s="11"/>
      <c r="GW37" s="11"/>
      <c r="GX37" s="11"/>
      <c r="GY37" s="11"/>
      <c r="GZ37" s="11"/>
      <c r="HA37" s="11"/>
      <c r="HB37" s="11"/>
      <c r="HC37" s="11"/>
      <c r="HD37" s="11"/>
      <c r="HE37" s="11"/>
      <c r="HF37" s="11"/>
      <c r="HG37" s="11"/>
      <c r="HH37" s="11"/>
      <c r="HI37" s="11"/>
      <c r="HJ37" s="11"/>
      <c r="HK37" s="11"/>
      <c r="HL37" s="11"/>
      <c r="HM37" s="11"/>
      <c r="HN37" s="11"/>
      <c r="HO37" s="11"/>
      <c r="HP37" s="11"/>
      <c r="HQ37" s="11"/>
      <c r="HR37" s="11"/>
      <c r="HS37" s="11"/>
      <c r="HT37" s="11"/>
      <c r="HU37" s="11"/>
      <c r="HV37" s="11"/>
      <c r="HW37" s="11"/>
      <c r="HX37" s="11"/>
      <c r="HY37" s="11"/>
      <c r="HZ37" s="11"/>
      <c r="IA37" s="11"/>
      <c r="IB37" s="11"/>
      <c r="IC37" s="11"/>
      <c r="ID37" s="11"/>
      <c r="IE37" s="11"/>
      <c r="IF37" s="11"/>
      <c r="IG37" s="11"/>
    </row>
    <row r="38" spans="1:241" x14ac:dyDescent="0.2">
      <c r="A38" s="11"/>
      <c r="B38" s="30"/>
      <c r="C38" s="311"/>
      <c r="D38" s="311"/>
      <c r="E38" s="204"/>
      <c r="F38" s="205"/>
      <c r="G38" s="804"/>
      <c r="H38" s="213"/>
      <c r="I38" s="804"/>
      <c r="J38" s="805"/>
      <c r="K38" s="213"/>
      <c r="L38" s="805"/>
      <c r="M38" s="213"/>
      <c r="N38" s="214"/>
      <c r="O38" s="213"/>
      <c r="P38" s="213"/>
      <c r="Q38" s="804"/>
      <c r="R38" s="805"/>
      <c r="S38" s="213"/>
      <c r="T38" s="214"/>
      <c r="U38" s="184"/>
      <c r="V38" s="184"/>
      <c r="W38" s="262"/>
      <c r="X38" s="263"/>
      <c r="Y38" s="294"/>
      <c r="Z38" s="295"/>
      <c r="AA38" s="265"/>
      <c r="AB38" s="135"/>
      <c r="AC38" s="266"/>
      <c r="AD38" s="44"/>
      <c r="AE38" s="44"/>
      <c r="AF38" s="266"/>
      <c r="AG38" s="44"/>
      <c r="AH38" s="267"/>
      <c r="AI38" s="44"/>
      <c r="AJ38" s="266"/>
      <c r="AK38" s="135"/>
      <c r="AL38" s="213"/>
      <c r="AM38" s="213"/>
      <c r="AN38" s="262"/>
      <c r="AO38" s="263"/>
      <c r="AP38" s="184"/>
      <c r="AQ38" s="263"/>
      <c r="AR38" s="184"/>
      <c r="AS38" s="263"/>
      <c r="AT38" s="78"/>
      <c r="AU38" s="78"/>
      <c r="AV38" s="78"/>
      <c r="AW38" s="78"/>
      <c r="AX38" s="78"/>
      <c r="AY38" s="78"/>
      <c r="AZ38" s="78"/>
      <c r="BA38" s="11"/>
      <c r="BB38" s="11"/>
      <c r="BC38" s="11"/>
      <c r="BD38" s="11"/>
      <c r="BE38" s="11"/>
      <c r="BF38" s="11"/>
      <c r="BG38" s="11"/>
      <c r="BH38" s="11"/>
      <c r="BI38" s="11"/>
      <c r="BJ38" s="11"/>
      <c r="BK38" s="11"/>
      <c r="BL38" s="11"/>
      <c r="BM38" s="11"/>
      <c r="BN38" s="11"/>
      <c r="BO38" s="11"/>
      <c r="BP38" s="11"/>
      <c r="BQ38" s="11"/>
      <c r="BR38" s="11"/>
      <c r="BS38" s="11"/>
      <c r="BT38" s="11"/>
      <c r="BU38" s="11"/>
      <c r="BV38" s="11"/>
      <c r="BW38" s="11"/>
      <c r="BX38" s="11"/>
      <c r="BY38" s="11"/>
      <c r="BZ38" s="11"/>
      <c r="CA38" s="11"/>
      <c r="CB38" s="11"/>
      <c r="CC38" s="11"/>
      <c r="CD38" s="11"/>
      <c r="CE38" s="11"/>
      <c r="CF38" s="11"/>
      <c r="CG38" s="11"/>
      <c r="CH38" s="11"/>
      <c r="CI38" s="11"/>
      <c r="CJ38" s="11"/>
      <c r="CK38" s="11"/>
      <c r="CL38" s="11"/>
      <c r="CM38" s="11"/>
      <c r="CN38" s="11"/>
      <c r="CO38" s="11"/>
      <c r="CP38" s="11"/>
      <c r="CQ38" s="11"/>
      <c r="CR38" s="11"/>
      <c r="CS38" s="11"/>
      <c r="CT38" s="11"/>
      <c r="CU38" s="11"/>
      <c r="CV38" s="11"/>
      <c r="CW38" s="11"/>
      <c r="CX38" s="11"/>
      <c r="CY38" s="11"/>
      <c r="CZ38" s="11"/>
      <c r="DA38" s="11"/>
      <c r="DB38" s="11"/>
      <c r="DC38" s="11"/>
      <c r="DD38" s="11"/>
      <c r="DE38" s="11"/>
      <c r="DF38" s="11"/>
      <c r="DG38" s="11"/>
      <c r="DH38" s="11"/>
      <c r="DI38" s="11"/>
      <c r="DJ38" s="11"/>
      <c r="DK38" s="11"/>
      <c r="DL38" s="11"/>
      <c r="DM38" s="11"/>
      <c r="DN38" s="11"/>
      <c r="DO38" s="11"/>
      <c r="DP38" s="11"/>
      <c r="DQ38" s="11"/>
      <c r="DR38" s="11"/>
      <c r="DS38" s="11"/>
      <c r="DT38" s="11"/>
      <c r="DU38" s="11"/>
      <c r="DV38" s="11"/>
      <c r="DW38" s="11"/>
      <c r="DX38" s="11"/>
      <c r="DY38" s="11"/>
      <c r="DZ38" s="11"/>
      <c r="EA38" s="11"/>
      <c r="EB38" s="11"/>
      <c r="EC38" s="11"/>
      <c r="ED38" s="11"/>
      <c r="EE38" s="11"/>
      <c r="EF38" s="11"/>
      <c r="EG38" s="11"/>
      <c r="EH38" s="11"/>
      <c r="EI38" s="11"/>
      <c r="EJ38" s="11"/>
      <c r="EK38" s="11"/>
      <c r="EL38" s="11"/>
      <c r="EM38" s="11"/>
      <c r="EN38" s="11"/>
      <c r="EO38" s="11"/>
      <c r="EP38" s="11"/>
      <c r="EQ38" s="11"/>
      <c r="ER38" s="11"/>
      <c r="ES38" s="11"/>
      <c r="ET38" s="11"/>
      <c r="EU38" s="11"/>
      <c r="EV38" s="11"/>
      <c r="EW38" s="11"/>
      <c r="EX38" s="11"/>
      <c r="EY38" s="11"/>
      <c r="EZ38" s="11"/>
      <c r="FA38" s="11"/>
      <c r="FB38" s="11"/>
      <c r="FC38" s="11"/>
      <c r="FD38" s="11"/>
      <c r="FE38" s="11"/>
      <c r="FF38" s="11"/>
      <c r="FG38" s="11"/>
      <c r="FH38" s="11"/>
      <c r="FI38" s="11"/>
      <c r="FJ38" s="11"/>
      <c r="FK38" s="11"/>
      <c r="FL38" s="11"/>
      <c r="FM38" s="11"/>
      <c r="FN38" s="11"/>
      <c r="FO38" s="11"/>
      <c r="FP38" s="11"/>
      <c r="FQ38" s="11"/>
      <c r="FR38" s="11"/>
      <c r="FS38" s="11"/>
      <c r="FT38" s="11"/>
      <c r="FU38" s="11"/>
      <c r="FV38" s="11"/>
      <c r="FW38" s="11"/>
      <c r="FX38" s="11"/>
      <c r="FY38" s="11"/>
      <c r="FZ38" s="11"/>
      <c r="GA38" s="11"/>
      <c r="GB38" s="11"/>
      <c r="GC38" s="11"/>
      <c r="GD38" s="11"/>
      <c r="GE38" s="11"/>
      <c r="GF38" s="11"/>
      <c r="GG38" s="11"/>
      <c r="GH38" s="11"/>
      <c r="GI38" s="11"/>
      <c r="GJ38" s="11"/>
      <c r="GK38" s="11"/>
      <c r="GL38" s="11"/>
      <c r="GM38" s="11"/>
      <c r="GN38" s="11"/>
      <c r="GO38" s="11"/>
      <c r="GP38" s="11"/>
      <c r="GQ38" s="11"/>
      <c r="GR38" s="11"/>
      <c r="GS38" s="11"/>
      <c r="GT38" s="11"/>
      <c r="GU38" s="11"/>
      <c r="GV38" s="11"/>
      <c r="GW38" s="11"/>
      <c r="GX38" s="11"/>
      <c r="GY38" s="11"/>
      <c r="GZ38" s="11"/>
      <c r="HA38" s="11"/>
      <c r="HB38" s="11"/>
      <c r="HC38" s="11"/>
      <c r="HD38" s="11"/>
      <c r="HE38" s="11"/>
      <c r="HF38" s="11"/>
      <c r="HG38" s="11"/>
      <c r="HH38" s="11"/>
      <c r="HI38" s="11"/>
      <c r="HJ38" s="11"/>
      <c r="HK38" s="11"/>
      <c r="HL38" s="11"/>
      <c r="HM38" s="11"/>
      <c r="HN38" s="11"/>
      <c r="HO38" s="11"/>
      <c r="HP38" s="11"/>
      <c r="HQ38" s="11"/>
      <c r="HR38" s="11"/>
      <c r="HS38" s="11"/>
      <c r="HT38" s="11"/>
      <c r="HU38" s="11"/>
      <c r="HV38" s="11"/>
      <c r="HW38" s="11"/>
      <c r="HX38" s="11"/>
      <c r="HY38" s="11"/>
      <c r="HZ38" s="11"/>
      <c r="IA38" s="11"/>
      <c r="IB38" s="11"/>
      <c r="IC38" s="11"/>
      <c r="ID38" s="11"/>
      <c r="IE38" s="11"/>
      <c r="IF38" s="11"/>
      <c r="IG38" s="11"/>
    </row>
    <row r="39" spans="1:241" x14ac:dyDescent="0.2">
      <c r="A39" s="11"/>
      <c r="B39" s="30"/>
      <c r="C39" s="328" t="s">
        <v>347</v>
      </c>
      <c r="D39" s="328"/>
      <c r="E39" s="206"/>
      <c r="F39" s="207"/>
      <c r="G39" s="806"/>
      <c r="H39" s="215"/>
      <c r="I39" s="806"/>
      <c r="J39" s="807"/>
      <c r="K39" s="215"/>
      <c r="L39" s="807"/>
      <c r="M39" s="215"/>
      <c r="N39" s="216"/>
      <c r="O39" s="215"/>
      <c r="P39" s="215"/>
      <c r="Q39" s="806"/>
      <c r="R39" s="807"/>
      <c r="S39" s="215"/>
      <c r="T39" s="216"/>
      <c r="U39" s="184">
        <f t="shared" si="0"/>
        <v>0</v>
      </c>
      <c r="V39" s="184">
        <f t="shared" si="1"/>
        <v>0</v>
      </c>
      <c r="W39" s="262">
        <f t="shared" si="5"/>
        <v>0</v>
      </c>
      <c r="X39" s="263">
        <f t="shared" si="6"/>
        <v>0</v>
      </c>
      <c r="Y39" s="296">
        <f>'Beginning Capital Assets &amp; LTD'!I61</f>
        <v>0</v>
      </c>
      <c r="Z39" s="297"/>
      <c r="AA39" s="268"/>
      <c r="AB39" s="178"/>
      <c r="AC39" s="269" t="str">
        <f>'C. Capital Outlay &amp; Donations'!D100</f>
        <v>C.1</v>
      </c>
      <c r="AD39" s="177">
        <f>'C. Capital Outlay &amp; Donations'!K105</f>
        <v>0</v>
      </c>
      <c r="AE39" s="177"/>
      <c r="AF39" s="269" t="str">
        <f>'D.  Capital Asset Disposal'!D189</f>
        <v>D.1</v>
      </c>
      <c r="AG39" s="177">
        <f>'D.  Capital Asset Disposal'!O221</f>
        <v>0</v>
      </c>
      <c r="AH39" s="270"/>
      <c r="AI39" s="177"/>
      <c r="AJ39" s="269"/>
      <c r="AK39" s="178"/>
      <c r="AL39" s="215"/>
      <c r="AM39" s="215"/>
      <c r="AN39" s="262">
        <f>W39+Y39+AA39+AD39+AI39+AL39</f>
        <v>0</v>
      </c>
      <c r="AO39" s="263">
        <f>X39+Z39+AB39+AG39+AK39+AM39</f>
        <v>0</v>
      </c>
      <c r="AP39" s="184"/>
      <c r="AQ39" s="263"/>
      <c r="AR39" s="184" t="str">
        <f>IF(AN39+AN40+AN41-AO39-AO40-AO41&lt;=0, " ",AN39+AN40+AN41-AO39-AO40-AO41)</f>
        <v xml:space="preserve"> </v>
      </c>
      <c r="AS39" s="263">
        <f>IF(AN39+AN40+AN41-AO39-AO40-AO41&gt;0, " ",AO39+AO40+AO41-AN39-AN40-AN41)</f>
        <v>0</v>
      </c>
      <c r="AT39" s="78"/>
      <c r="AU39" s="78"/>
      <c r="AV39" s="78"/>
      <c r="AW39" s="78"/>
      <c r="AX39" s="78"/>
      <c r="AY39" s="78"/>
      <c r="AZ39" s="78"/>
      <c r="BA39" s="11"/>
      <c r="BB39" s="11"/>
      <c r="BC39" s="11"/>
      <c r="BD39" s="11"/>
      <c r="BE39" s="11"/>
      <c r="BF39" s="11"/>
      <c r="BG39" s="11"/>
      <c r="BH39" s="11"/>
      <c r="BI39" s="11"/>
      <c r="BJ39" s="11"/>
      <c r="BK39" s="11"/>
      <c r="BL39" s="11"/>
      <c r="BM39" s="11"/>
      <c r="BN39" s="11"/>
      <c r="BO39" s="11"/>
      <c r="BP39" s="11"/>
      <c r="BQ39" s="11"/>
      <c r="BR39" s="11"/>
      <c r="BS39" s="11"/>
      <c r="BT39" s="11"/>
      <c r="BU39" s="11"/>
      <c r="BV39" s="11"/>
      <c r="BW39" s="11"/>
      <c r="BX39" s="11"/>
      <c r="BY39" s="11"/>
      <c r="BZ39" s="11"/>
      <c r="CA39" s="11"/>
      <c r="CB39" s="11"/>
      <c r="CC39" s="11"/>
      <c r="CD39" s="11"/>
      <c r="CE39" s="11"/>
      <c r="CF39" s="11"/>
      <c r="CG39" s="11"/>
      <c r="CH39" s="11"/>
      <c r="CI39" s="11"/>
      <c r="CJ39" s="11"/>
      <c r="CK39" s="11"/>
      <c r="CL39" s="11"/>
      <c r="CM39" s="11"/>
      <c r="CN39" s="11"/>
      <c r="CO39" s="11"/>
      <c r="CP39" s="11"/>
      <c r="CQ39" s="11"/>
      <c r="CR39" s="11"/>
      <c r="CS39" s="11"/>
      <c r="CT39" s="11"/>
      <c r="CU39" s="11"/>
      <c r="CV39" s="11"/>
      <c r="CW39" s="11"/>
      <c r="CX39" s="11"/>
      <c r="CY39" s="11"/>
      <c r="CZ39" s="11"/>
      <c r="DA39" s="11"/>
      <c r="DB39" s="11"/>
      <c r="DC39" s="11"/>
      <c r="DD39" s="11"/>
      <c r="DE39" s="11"/>
      <c r="DF39" s="11"/>
      <c r="DG39" s="11"/>
      <c r="DH39" s="11"/>
      <c r="DI39" s="11"/>
      <c r="DJ39" s="11"/>
      <c r="DK39" s="11"/>
      <c r="DL39" s="11"/>
      <c r="DM39" s="11"/>
      <c r="DN39" s="11"/>
      <c r="DO39" s="11"/>
      <c r="DP39" s="11"/>
      <c r="DQ39" s="11"/>
      <c r="DR39" s="11"/>
      <c r="DS39" s="11"/>
      <c r="DT39" s="11"/>
      <c r="DU39" s="11"/>
      <c r="DV39" s="11"/>
      <c r="DW39" s="11"/>
      <c r="DX39" s="11"/>
      <c r="DY39" s="11"/>
      <c r="DZ39" s="11"/>
      <c r="EA39" s="11"/>
      <c r="EB39" s="11"/>
      <c r="EC39" s="11"/>
      <c r="ED39" s="11"/>
      <c r="EE39" s="11"/>
      <c r="EF39" s="11"/>
      <c r="EG39" s="11"/>
      <c r="EH39" s="11"/>
      <c r="EI39" s="11"/>
      <c r="EJ39" s="11"/>
      <c r="EK39" s="11"/>
      <c r="EL39" s="11"/>
      <c r="EM39" s="11"/>
      <c r="EN39" s="11"/>
      <c r="EO39" s="11"/>
      <c r="EP39" s="11"/>
      <c r="EQ39" s="11"/>
      <c r="ER39" s="11"/>
      <c r="ES39" s="11"/>
      <c r="ET39" s="11"/>
      <c r="EU39" s="11"/>
      <c r="EV39" s="11"/>
      <c r="EW39" s="11"/>
      <c r="EX39" s="11"/>
      <c r="EY39" s="11"/>
      <c r="EZ39" s="11"/>
      <c r="FA39" s="11"/>
      <c r="FB39" s="11"/>
      <c r="FC39" s="11"/>
      <c r="FD39" s="11"/>
      <c r="FE39" s="11"/>
      <c r="FF39" s="11"/>
      <c r="FG39" s="11"/>
      <c r="FH39" s="11"/>
      <c r="FI39" s="11"/>
      <c r="FJ39" s="11"/>
      <c r="FK39" s="11"/>
      <c r="FL39" s="11"/>
      <c r="FM39" s="11"/>
      <c r="FN39" s="11"/>
      <c r="FO39" s="11"/>
      <c r="FP39" s="11"/>
      <c r="FQ39" s="11"/>
      <c r="FR39" s="11"/>
      <c r="FS39" s="11"/>
      <c r="FT39" s="11"/>
      <c r="FU39" s="11"/>
      <c r="FV39" s="11"/>
      <c r="FW39" s="11"/>
      <c r="FX39" s="11"/>
      <c r="FY39" s="11"/>
      <c r="FZ39" s="11"/>
      <c r="GA39" s="11"/>
      <c r="GB39" s="11"/>
      <c r="GC39" s="11"/>
      <c r="GD39" s="11"/>
      <c r="GE39" s="11"/>
      <c r="GF39" s="11"/>
      <c r="GG39" s="11"/>
      <c r="GH39" s="11"/>
      <c r="GI39" s="11"/>
      <c r="GJ39" s="11"/>
      <c r="GK39" s="11"/>
      <c r="GL39" s="11"/>
      <c r="GM39" s="11"/>
      <c r="GN39" s="11"/>
      <c r="GO39" s="11"/>
      <c r="GP39" s="11"/>
      <c r="GQ39" s="11"/>
      <c r="GR39" s="11"/>
      <c r="GS39" s="11"/>
      <c r="GT39" s="11"/>
      <c r="GU39" s="11"/>
      <c r="GV39" s="11"/>
      <c r="GW39" s="11"/>
      <c r="GX39" s="11"/>
      <c r="GY39" s="11"/>
      <c r="GZ39" s="11"/>
      <c r="HA39" s="11"/>
      <c r="HB39" s="11"/>
      <c r="HC39" s="11"/>
      <c r="HD39" s="11"/>
      <c r="HE39" s="11"/>
      <c r="HF39" s="11"/>
      <c r="HG39" s="11"/>
      <c r="HH39" s="11"/>
      <c r="HI39" s="11"/>
      <c r="HJ39" s="11"/>
      <c r="HK39" s="11"/>
      <c r="HL39" s="11"/>
      <c r="HM39" s="11"/>
      <c r="HN39" s="11"/>
      <c r="HO39" s="11"/>
      <c r="HP39" s="11"/>
      <c r="HQ39" s="11"/>
      <c r="HR39" s="11"/>
      <c r="HS39" s="11"/>
      <c r="HT39" s="11"/>
      <c r="HU39" s="11"/>
      <c r="HV39" s="11"/>
      <c r="HW39" s="11"/>
      <c r="HX39" s="11"/>
      <c r="HY39" s="11"/>
      <c r="HZ39" s="11"/>
      <c r="IA39" s="11"/>
      <c r="IB39" s="11"/>
      <c r="IC39" s="11"/>
      <c r="ID39" s="11"/>
      <c r="IE39" s="11"/>
      <c r="IF39" s="11"/>
      <c r="IG39" s="11"/>
    </row>
    <row r="40" spans="1:241" x14ac:dyDescent="0.2">
      <c r="A40" s="11"/>
      <c r="B40" s="30"/>
      <c r="C40" s="328"/>
      <c r="D40" s="328"/>
      <c r="E40" s="206"/>
      <c r="F40" s="207"/>
      <c r="G40" s="806"/>
      <c r="H40" s="215"/>
      <c r="I40" s="806"/>
      <c r="J40" s="807"/>
      <c r="K40" s="215"/>
      <c r="L40" s="807"/>
      <c r="M40" s="215"/>
      <c r="N40" s="216"/>
      <c r="O40" s="215"/>
      <c r="P40" s="215"/>
      <c r="Q40" s="806"/>
      <c r="R40" s="807"/>
      <c r="S40" s="215"/>
      <c r="T40" s="216"/>
      <c r="U40" s="184">
        <f t="shared" si="0"/>
        <v>0</v>
      </c>
      <c r="V40" s="184">
        <f t="shared" si="1"/>
        <v>0</v>
      </c>
      <c r="W40" s="262">
        <f t="shared" si="5"/>
        <v>0</v>
      </c>
      <c r="X40" s="263">
        <f t="shared" si="6"/>
        <v>0</v>
      </c>
      <c r="Y40" s="296"/>
      <c r="Z40" s="297"/>
      <c r="AA40" s="268"/>
      <c r="AB40" s="178"/>
      <c r="AC40" s="269" t="str">
        <f>'D.  Capital Asset Disposal'!D189</f>
        <v>D.1</v>
      </c>
      <c r="AD40" s="177">
        <f>'D.  Capital Asset Disposal'!M221</f>
        <v>0</v>
      </c>
      <c r="AE40" s="177"/>
      <c r="AF40" s="269"/>
      <c r="AG40" s="177"/>
      <c r="AH40" s="270"/>
      <c r="AI40" s="177"/>
      <c r="AJ40" s="269"/>
      <c r="AK40" s="178"/>
      <c r="AL40" s="215"/>
      <c r="AM40" s="215"/>
      <c r="AN40" s="262">
        <f>W40+Y40+AA40+AD40+AI40+AL40</f>
        <v>0</v>
      </c>
      <c r="AO40" s="263">
        <f>X40+Z40+AB40+AG40+AK40+AM40</f>
        <v>0</v>
      </c>
      <c r="AP40" s="184"/>
      <c r="AQ40" s="263"/>
      <c r="AR40" s="184"/>
      <c r="AS40" s="263"/>
      <c r="AT40" s="78"/>
      <c r="AU40" s="78"/>
      <c r="AV40" s="78"/>
      <c r="AW40" s="78"/>
      <c r="AX40" s="78"/>
      <c r="AY40" s="78"/>
      <c r="AZ40" s="78"/>
      <c r="BA40" s="11"/>
      <c r="BB40" s="11"/>
      <c r="BC40" s="11"/>
      <c r="BD40" s="11"/>
      <c r="BE40" s="11"/>
      <c r="BF40" s="11"/>
      <c r="BG40" s="11"/>
      <c r="BH40" s="11"/>
      <c r="BI40" s="11"/>
      <c r="BJ40" s="11"/>
      <c r="BK40" s="11"/>
      <c r="BL40" s="11"/>
      <c r="BM40" s="11"/>
      <c r="BN40" s="11"/>
      <c r="BO40" s="11"/>
      <c r="BP40" s="11"/>
      <c r="BQ40" s="11"/>
      <c r="BR40" s="11"/>
      <c r="BS40" s="11"/>
      <c r="BT40" s="11"/>
      <c r="BU40" s="11"/>
      <c r="BV40" s="11"/>
      <c r="BW40" s="11"/>
      <c r="BX40" s="11"/>
      <c r="BY40" s="11"/>
      <c r="BZ40" s="11"/>
      <c r="CA40" s="11"/>
      <c r="CB40" s="11"/>
      <c r="CC40" s="11"/>
      <c r="CD40" s="11"/>
      <c r="CE40" s="11"/>
      <c r="CF40" s="11"/>
      <c r="CG40" s="11"/>
      <c r="CH40" s="11"/>
      <c r="CI40" s="11"/>
      <c r="CJ40" s="11"/>
      <c r="CK40" s="11"/>
      <c r="CL40" s="11"/>
      <c r="CM40" s="11"/>
      <c r="CN40" s="11"/>
      <c r="CO40" s="11"/>
      <c r="CP40" s="11"/>
      <c r="CQ40" s="11"/>
      <c r="CR40" s="11"/>
      <c r="CS40" s="11"/>
      <c r="CT40" s="11"/>
      <c r="CU40" s="11"/>
      <c r="CV40" s="11"/>
      <c r="CW40" s="11"/>
      <c r="CX40" s="11"/>
      <c r="CY40" s="11"/>
      <c r="CZ40" s="11"/>
      <c r="DA40" s="11"/>
      <c r="DB40" s="11"/>
      <c r="DC40" s="11"/>
      <c r="DD40" s="11"/>
      <c r="DE40" s="11"/>
      <c r="DF40" s="11"/>
      <c r="DG40" s="11"/>
      <c r="DH40" s="11"/>
      <c r="DI40" s="11"/>
      <c r="DJ40" s="11"/>
      <c r="DK40" s="11"/>
      <c r="DL40" s="11"/>
      <c r="DM40" s="11"/>
      <c r="DN40" s="11"/>
      <c r="DO40" s="11"/>
      <c r="DP40" s="11"/>
      <c r="DQ40" s="11"/>
      <c r="DR40" s="11"/>
      <c r="DS40" s="11"/>
      <c r="DT40" s="11"/>
      <c r="DU40" s="11"/>
      <c r="DV40" s="11"/>
      <c r="DW40" s="11"/>
      <c r="DX40" s="11"/>
      <c r="DY40" s="11"/>
      <c r="DZ40" s="11"/>
      <c r="EA40" s="11"/>
      <c r="EB40" s="11"/>
      <c r="EC40" s="11"/>
      <c r="ED40" s="11"/>
      <c r="EE40" s="11"/>
      <c r="EF40" s="11"/>
      <c r="EG40" s="11"/>
      <c r="EH40" s="11"/>
      <c r="EI40" s="11"/>
      <c r="EJ40" s="11"/>
      <c r="EK40" s="11"/>
      <c r="EL40" s="11"/>
      <c r="EM40" s="11"/>
      <c r="EN40" s="11"/>
      <c r="EO40" s="11"/>
      <c r="EP40" s="11"/>
      <c r="EQ40" s="11"/>
      <c r="ER40" s="11"/>
      <c r="ES40" s="11"/>
      <c r="ET40" s="11"/>
      <c r="EU40" s="11"/>
      <c r="EV40" s="11"/>
      <c r="EW40" s="11"/>
      <c r="EX40" s="11"/>
      <c r="EY40" s="11"/>
      <c r="EZ40" s="11"/>
      <c r="FA40" s="11"/>
      <c r="FB40" s="11"/>
      <c r="FC40" s="11"/>
      <c r="FD40" s="11"/>
      <c r="FE40" s="11"/>
      <c r="FF40" s="11"/>
      <c r="FG40" s="11"/>
      <c r="FH40" s="11"/>
      <c r="FI40" s="11"/>
      <c r="FJ40" s="11"/>
      <c r="FK40" s="11"/>
      <c r="FL40" s="11"/>
      <c r="FM40" s="11"/>
      <c r="FN40" s="11"/>
      <c r="FO40" s="11"/>
      <c r="FP40" s="11"/>
      <c r="FQ40" s="11"/>
      <c r="FR40" s="11"/>
      <c r="FS40" s="11"/>
      <c r="FT40" s="11"/>
      <c r="FU40" s="11"/>
      <c r="FV40" s="11"/>
      <c r="FW40" s="11"/>
      <c r="FX40" s="11"/>
      <c r="FY40" s="11"/>
      <c r="FZ40" s="11"/>
      <c r="GA40" s="11"/>
      <c r="GB40" s="11"/>
      <c r="GC40" s="11"/>
      <c r="GD40" s="11"/>
      <c r="GE40" s="11"/>
      <c r="GF40" s="11"/>
      <c r="GG40" s="11"/>
      <c r="GH40" s="11"/>
      <c r="GI40" s="11"/>
      <c r="GJ40" s="11"/>
      <c r="GK40" s="11"/>
      <c r="GL40" s="11"/>
      <c r="GM40" s="11"/>
      <c r="GN40" s="11"/>
      <c r="GO40" s="11"/>
      <c r="GP40" s="11"/>
      <c r="GQ40" s="11"/>
      <c r="GR40" s="11"/>
      <c r="GS40" s="11"/>
      <c r="GT40" s="11"/>
      <c r="GU40" s="11"/>
      <c r="GV40" s="11"/>
      <c r="GW40" s="11"/>
      <c r="GX40" s="11"/>
      <c r="GY40" s="11"/>
      <c r="GZ40" s="11"/>
      <c r="HA40" s="11"/>
      <c r="HB40" s="11"/>
      <c r="HC40" s="11"/>
      <c r="HD40" s="11"/>
      <c r="HE40" s="11"/>
      <c r="HF40" s="11"/>
      <c r="HG40" s="11"/>
      <c r="HH40" s="11"/>
      <c r="HI40" s="11"/>
      <c r="HJ40" s="11"/>
      <c r="HK40" s="11"/>
      <c r="HL40" s="11"/>
      <c r="HM40" s="11"/>
      <c r="HN40" s="11"/>
      <c r="HO40" s="11"/>
      <c r="HP40" s="11"/>
      <c r="HQ40" s="11"/>
      <c r="HR40" s="11"/>
      <c r="HS40" s="11"/>
      <c r="HT40" s="11"/>
      <c r="HU40" s="11"/>
      <c r="HV40" s="11"/>
      <c r="HW40" s="11"/>
      <c r="HX40" s="11"/>
      <c r="HY40" s="11"/>
      <c r="HZ40" s="11"/>
      <c r="IA40" s="11"/>
      <c r="IB40" s="11"/>
      <c r="IC40" s="11"/>
      <c r="ID40" s="11"/>
      <c r="IE40" s="11"/>
      <c r="IF40" s="11"/>
      <c r="IG40" s="11"/>
    </row>
    <row r="41" spans="1:241" x14ac:dyDescent="0.2">
      <c r="A41" s="11"/>
      <c r="B41" s="30"/>
      <c r="C41" s="328"/>
      <c r="D41" s="328"/>
      <c r="E41" s="206"/>
      <c r="F41" s="207"/>
      <c r="G41" s="806"/>
      <c r="H41" s="215"/>
      <c r="I41" s="806"/>
      <c r="J41" s="807"/>
      <c r="K41" s="215"/>
      <c r="L41" s="807"/>
      <c r="M41" s="215"/>
      <c r="N41" s="216"/>
      <c r="O41" s="215"/>
      <c r="P41" s="215"/>
      <c r="Q41" s="806"/>
      <c r="R41" s="807"/>
      <c r="S41" s="215"/>
      <c r="T41" s="216"/>
      <c r="U41" s="184">
        <f t="shared" si="0"/>
        <v>0</v>
      </c>
      <c r="V41" s="184">
        <f t="shared" si="1"/>
        <v>0</v>
      </c>
      <c r="W41" s="262">
        <f t="shared" si="5"/>
        <v>0</v>
      </c>
      <c r="X41" s="263">
        <f t="shared" si="6"/>
        <v>0</v>
      </c>
      <c r="Y41" s="296"/>
      <c r="Z41" s="297"/>
      <c r="AA41" s="268"/>
      <c r="AB41" s="178"/>
      <c r="AC41" s="269" t="str">
        <f>'C. Capital Outlay &amp; Donations'!$D$154</f>
        <v>C.3</v>
      </c>
      <c r="AD41" s="177">
        <f>'C. Capital Outlay &amp; Donations'!K158</f>
        <v>0</v>
      </c>
      <c r="AE41" s="177"/>
      <c r="AF41" s="269"/>
      <c r="AG41" s="177"/>
      <c r="AH41" s="270"/>
      <c r="AI41" s="177"/>
      <c r="AJ41" s="269"/>
      <c r="AK41" s="178"/>
      <c r="AL41" s="215"/>
      <c r="AM41" s="215"/>
      <c r="AN41" s="262">
        <f>W41+Y41+AA41+AD41+AI41+AL41</f>
        <v>0</v>
      </c>
      <c r="AO41" s="263">
        <f>X41+Z41+AB41+AG41+AK41+AM41</f>
        <v>0</v>
      </c>
      <c r="AP41" s="184"/>
      <c r="AQ41" s="263"/>
      <c r="AR41" s="184"/>
      <c r="AS41" s="263"/>
      <c r="AT41" s="78"/>
      <c r="AU41" s="78"/>
      <c r="AV41" s="78"/>
      <c r="AW41" s="78"/>
      <c r="AX41" s="78"/>
      <c r="AY41" s="78"/>
      <c r="AZ41" s="78"/>
      <c r="BA41" s="11"/>
      <c r="BB41" s="11"/>
      <c r="BC41" s="11"/>
      <c r="BD41" s="11"/>
      <c r="BE41" s="11"/>
      <c r="BF41" s="11"/>
      <c r="BG41" s="11"/>
      <c r="BH41" s="11"/>
      <c r="BI41" s="11"/>
      <c r="BJ41" s="11"/>
      <c r="BK41" s="11"/>
      <c r="BL41" s="11"/>
      <c r="BM41" s="11"/>
      <c r="BN41" s="11"/>
      <c r="BO41" s="11"/>
      <c r="BP41" s="11"/>
      <c r="BQ41" s="11"/>
      <c r="BR41" s="11"/>
      <c r="BS41" s="11"/>
      <c r="BT41" s="11"/>
      <c r="BU41" s="11"/>
      <c r="BV41" s="11"/>
      <c r="BW41" s="11"/>
      <c r="BX41" s="11"/>
      <c r="BY41" s="11"/>
      <c r="BZ41" s="11"/>
      <c r="CA41" s="11"/>
      <c r="CB41" s="11"/>
      <c r="CC41" s="11"/>
      <c r="CD41" s="11"/>
      <c r="CE41" s="11"/>
      <c r="CF41" s="11"/>
      <c r="CG41" s="11"/>
      <c r="CH41" s="11"/>
      <c r="CI41" s="11"/>
      <c r="CJ41" s="11"/>
      <c r="CK41" s="11"/>
      <c r="CL41" s="11"/>
      <c r="CM41" s="11"/>
      <c r="CN41" s="11"/>
      <c r="CO41" s="11"/>
      <c r="CP41" s="11"/>
      <c r="CQ41" s="11"/>
      <c r="CR41" s="11"/>
      <c r="CS41" s="11"/>
      <c r="CT41" s="11"/>
      <c r="CU41" s="11"/>
      <c r="CV41" s="11"/>
      <c r="CW41" s="11"/>
      <c r="CX41" s="11"/>
      <c r="CY41" s="11"/>
      <c r="CZ41" s="11"/>
      <c r="DA41" s="11"/>
      <c r="DB41" s="11"/>
      <c r="DC41" s="11"/>
      <c r="DD41" s="11"/>
      <c r="DE41" s="11"/>
      <c r="DF41" s="11"/>
      <c r="DG41" s="11"/>
      <c r="DH41" s="11"/>
      <c r="DI41" s="11"/>
      <c r="DJ41" s="11"/>
      <c r="DK41" s="11"/>
      <c r="DL41" s="11"/>
      <c r="DM41" s="11"/>
      <c r="DN41" s="11"/>
      <c r="DO41" s="11"/>
      <c r="DP41" s="11"/>
      <c r="DQ41" s="11"/>
      <c r="DR41" s="11"/>
      <c r="DS41" s="11"/>
      <c r="DT41" s="11"/>
      <c r="DU41" s="11"/>
      <c r="DV41" s="11"/>
      <c r="DW41" s="11"/>
      <c r="DX41" s="11"/>
      <c r="DY41" s="11"/>
      <c r="DZ41" s="11"/>
      <c r="EA41" s="11"/>
      <c r="EB41" s="11"/>
      <c r="EC41" s="11"/>
      <c r="ED41" s="11"/>
      <c r="EE41" s="11"/>
      <c r="EF41" s="11"/>
      <c r="EG41" s="11"/>
      <c r="EH41" s="11"/>
      <c r="EI41" s="11"/>
      <c r="EJ41" s="11"/>
      <c r="EK41" s="11"/>
      <c r="EL41" s="11"/>
      <c r="EM41" s="11"/>
      <c r="EN41" s="11"/>
      <c r="EO41" s="11"/>
      <c r="EP41" s="11"/>
      <c r="EQ41" s="11"/>
      <c r="ER41" s="11"/>
      <c r="ES41" s="11"/>
      <c r="ET41" s="11"/>
      <c r="EU41" s="11"/>
      <c r="EV41" s="11"/>
      <c r="EW41" s="11"/>
      <c r="EX41" s="11"/>
      <c r="EY41" s="11"/>
      <c r="EZ41" s="11"/>
      <c r="FA41" s="11"/>
      <c r="FB41" s="11"/>
      <c r="FC41" s="11"/>
      <c r="FD41" s="11"/>
      <c r="FE41" s="11"/>
      <c r="FF41" s="11"/>
      <c r="FG41" s="11"/>
      <c r="FH41" s="11"/>
      <c r="FI41" s="11"/>
      <c r="FJ41" s="11"/>
      <c r="FK41" s="11"/>
      <c r="FL41" s="11"/>
      <c r="FM41" s="11"/>
      <c r="FN41" s="11"/>
      <c r="FO41" s="11"/>
      <c r="FP41" s="11"/>
      <c r="FQ41" s="11"/>
      <c r="FR41" s="11"/>
      <c r="FS41" s="11"/>
      <c r="FT41" s="11"/>
      <c r="FU41" s="11"/>
      <c r="FV41" s="11"/>
      <c r="FW41" s="11"/>
      <c r="FX41" s="11"/>
      <c r="FY41" s="11"/>
      <c r="FZ41" s="11"/>
      <c r="GA41" s="11"/>
      <c r="GB41" s="11"/>
      <c r="GC41" s="11"/>
      <c r="GD41" s="11"/>
      <c r="GE41" s="11"/>
      <c r="GF41" s="11"/>
      <c r="GG41" s="11"/>
      <c r="GH41" s="11"/>
      <c r="GI41" s="11"/>
      <c r="GJ41" s="11"/>
      <c r="GK41" s="11"/>
      <c r="GL41" s="11"/>
      <c r="GM41" s="11"/>
      <c r="GN41" s="11"/>
      <c r="GO41" s="11"/>
      <c r="GP41" s="11"/>
      <c r="GQ41" s="11"/>
      <c r="GR41" s="11"/>
      <c r="GS41" s="11"/>
      <c r="GT41" s="11"/>
      <c r="GU41" s="11"/>
      <c r="GV41" s="11"/>
      <c r="GW41" s="11"/>
      <c r="GX41" s="11"/>
      <c r="GY41" s="11"/>
      <c r="GZ41" s="11"/>
      <c r="HA41" s="11"/>
      <c r="HB41" s="11"/>
      <c r="HC41" s="11"/>
      <c r="HD41" s="11"/>
      <c r="HE41" s="11"/>
      <c r="HF41" s="11"/>
      <c r="HG41" s="11"/>
      <c r="HH41" s="11"/>
      <c r="HI41" s="11"/>
      <c r="HJ41" s="11"/>
      <c r="HK41" s="11"/>
      <c r="HL41" s="11"/>
      <c r="HM41" s="11"/>
      <c r="HN41" s="11"/>
      <c r="HO41" s="11"/>
      <c r="HP41" s="11"/>
      <c r="HQ41" s="11"/>
      <c r="HR41" s="11"/>
      <c r="HS41" s="11"/>
      <c r="HT41" s="11"/>
      <c r="HU41" s="11"/>
      <c r="HV41" s="11"/>
      <c r="HW41" s="11"/>
      <c r="HX41" s="11"/>
      <c r="HY41" s="11"/>
      <c r="HZ41" s="11"/>
      <c r="IA41" s="11"/>
      <c r="IB41" s="11"/>
      <c r="IC41" s="11"/>
      <c r="ID41" s="11"/>
      <c r="IE41" s="11"/>
      <c r="IF41" s="11"/>
      <c r="IG41" s="11"/>
    </row>
    <row r="42" spans="1:241" x14ac:dyDescent="0.2">
      <c r="A42" s="11"/>
      <c r="B42" s="11"/>
      <c r="C42" s="311" t="s">
        <v>145</v>
      </c>
      <c r="D42" s="311"/>
      <c r="E42" s="204"/>
      <c r="F42" s="205"/>
      <c r="G42" s="804"/>
      <c r="H42" s="213"/>
      <c r="I42" s="804"/>
      <c r="J42" s="805"/>
      <c r="K42" s="213"/>
      <c r="L42" s="805"/>
      <c r="M42" s="213"/>
      <c r="N42" s="214"/>
      <c r="O42" s="213"/>
      <c r="P42" s="213"/>
      <c r="Q42" s="804"/>
      <c r="R42" s="805"/>
      <c r="S42" s="213"/>
      <c r="T42" s="214"/>
      <c r="U42" s="184">
        <f t="shared" si="0"/>
        <v>0</v>
      </c>
      <c r="V42" s="184">
        <f t="shared" si="1"/>
        <v>0</v>
      </c>
      <c r="W42" s="262">
        <f t="shared" si="5"/>
        <v>0</v>
      </c>
      <c r="X42" s="263">
        <f t="shared" si="6"/>
        <v>0</v>
      </c>
      <c r="Y42" s="294"/>
      <c r="Z42" s="295">
        <f>'Beginning Capital Assets &amp; LTD'!K62</f>
        <v>0</v>
      </c>
      <c r="AA42" s="265"/>
      <c r="AB42" s="135"/>
      <c r="AC42" s="266" t="str">
        <f>'D.  Capital Asset Disposal'!D189</f>
        <v>D.1</v>
      </c>
      <c r="AD42" s="44">
        <f>'D.  Capital Asset Disposal'!M192</f>
        <v>0</v>
      </c>
      <c r="AE42" s="44"/>
      <c r="AF42" s="266" t="str">
        <f>'B. Depreciation'!A54</f>
        <v>B.1</v>
      </c>
      <c r="AG42" s="44">
        <f>'B. Depreciation'!L76</f>
        <v>0</v>
      </c>
      <c r="AH42" s="267"/>
      <c r="AI42" s="44"/>
      <c r="AJ42" s="266"/>
      <c r="AK42" s="135"/>
      <c r="AL42" s="213"/>
      <c r="AM42" s="213"/>
      <c r="AN42" s="262">
        <f>W42+Y42+AA42+AD42+AI42+AL42</f>
        <v>0</v>
      </c>
      <c r="AO42" s="263">
        <f>X42+Z42+AB42+AG42+AK42+AM42</f>
        <v>0</v>
      </c>
      <c r="AP42" s="184"/>
      <c r="AQ42" s="263"/>
      <c r="AR42" s="184">
        <f>IF(AN42-AO42&lt;0, " ",AN42-AO42)</f>
        <v>0</v>
      </c>
      <c r="AS42" s="263">
        <f>IF(AN42-AO42&gt;0, " ",AO42-AN42)</f>
        <v>0</v>
      </c>
      <c r="AT42" s="78"/>
      <c r="AU42" s="78"/>
      <c r="AV42" s="78"/>
      <c r="AW42" s="78"/>
      <c r="AX42" s="78"/>
      <c r="AY42" s="78"/>
      <c r="AZ42" s="78"/>
      <c r="BA42" s="11"/>
      <c r="BB42" s="11"/>
      <c r="BC42" s="11"/>
      <c r="BD42" s="11"/>
      <c r="BE42" s="11"/>
      <c r="BF42" s="11"/>
      <c r="BG42" s="11"/>
      <c r="BH42" s="11"/>
      <c r="BI42" s="11"/>
      <c r="BJ42" s="11"/>
      <c r="BK42" s="11"/>
      <c r="BL42" s="11"/>
      <c r="BM42" s="11"/>
      <c r="BN42" s="11"/>
      <c r="BO42" s="11"/>
      <c r="BP42" s="11"/>
      <c r="BQ42" s="11"/>
      <c r="BR42" s="11"/>
      <c r="BS42" s="11"/>
      <c r="BT42" s="11"/>
      <c r="BU42" s="11"/>
      <c r="BV42" s="11"/>
      <c r="BW42" s="11"/>
      <c r="BX42" s="11"/>
      <c r="BY42" s="11"/>
      <c r="BZ42" s="11"/>
      <c r="CA42" s="11"/>
      <c r="CB42" s="11"/>
      <c r="CC42" s="11"/>
      <c r="CD42" s="11"/>
      <c r="CE42" s="11"/>
      <c r="CF42" s="11"/>
      <c r="CG42" s="11"/>
      <c r="CH42" s="11"/>
      <c r="CI42" s="11"/>
      <c r="CJ42" s="11"/>
      <c r="CK42" s="11"/>
      <c r="CL42" s="11"/>
      <c r="CM42" s="11"/>
      <c r="CN42" s="11"/>
      <c r="CO42" s="11"/>
      <c r="CP42" s="11"/>
      <c r="CQ42" s="11"/>
      <c r="CR42" s="11"/>
      <c r="CS42" s="11"/>
      <c r="CT42" s="11"/>
      <c r="CU42" s="11"/>
      <c r="CV42" s="11"/>
      <c r="CW42" s="11"/>
      <c r="CX42" s="11"/>
      <c r="CY42" s="11"/>
      <c r="CZ42" s="11"/>
      <c r="DA42" s="11"/>
      <c r="DB42" s="11"/>
      <c r="DC42" s="11"/>
      <c r="DD42" s="11"/>
      <c r="DE42" s="11"/>
      <c r="DF42" s="11"/>
      <c r="DG42" s="11"/>
      <c r="DH42" s="11"/>
      <c r="DI42" s="11"/>
      <c r="DJ42" s="11"/>
      <c r="DK42" s="11"/>
      <c r="DL42" s="11"/>
      <c r="DM42" s="11"/>
      <c r="DN42" s="11"/>
      <c r="DO42" s="11"/>
      <c r="DP42" s="11"/>
      <c r="DQ42" s="11"/>
      <c r="DR42" s="11"/>
      <c r="DS42" s="11"/>
      <c r="DT42" s="11"/>
      <c r="DU42" s="11"/>
      <c r="DV42" s="11"/>
      <c r="DW42" s="11"/>
      <c r="DX42" s="11"/>
      <c r="DY42" s="11"/>
      <c r="DZ42" s="11"/>
      <c r="EA42" s="11"/>
      <c r="EB42" s="11"/>
      <c r="EC42" s="11"/>
      <c r="ED42" s="11"/>
      <c r="EE42" s="11"/>
      <c r="EF42" s="11"/>
      <c r="EG42" s="11"/>
      <c r="EH42" s="11"/>
      <c r="EI42" s="11"/>
      <c r="EJ42" s="11"/>
      <c r="EK42" s="11"/>
      <c r="EL42" s="11"/>
      <c r="EM42" s="11"/>
      <c r="EN42" s="11"/>
      <c r="EO42" s="11"/>
      <c r="EP42" s="11"/>
      <c r="EQ42" s="11"/>
      <c r="ER42" s="11"/>
      <c r="ES42" s="11"/>
      <c r="ET42" s="11"/>
      <c r="EU42" s="11"/>
      <c r="EV42" s="11"/>
      <c r="EW42" s="11"/>
      <c r="EX42" s="11"/>
      <c r="EY42" s="11"/>
      <c r="EZ42" s="11"/>
      <c r="FA42" s="11"/>
      <c r="FB42" s="11"/>
      <c r="FC42" s="11"/>
      <c r="FD42" s="11"/>
      <c r="FE42" s="11"/>
      <c r="FF42" s="11"/>
      <c r="FG42" s="11"/>
      <c r="FH42" s="11"/>
      <c r="FI42" s="11"/>
      <c r="FJ42" s="11"/>
      <c r="FK42" s="11"/>
      <c r="FL42" s="11"/>
      <c r="FM42" s="11"/>
      <c r="FN42" s="11"/>
      <c r="FO42" s="11"/>
      <c r="FP42" s="11"/>
      <c r="FQ42" s="11"/>
      <c r="FR42" s="11"/>
      <c r="FS42" s="11"/>
      <c r="FT42" s="11"/>
      <c r="FU42" s="11"/>
      <c r="FV42" s="11"/>
      <c r="FW42" s="11"/>
      <c r="FX42" s="11"/>
      <c r="FY42" s="11"/>
      <c r="FZ42" s="11"/>
      <c r="GA42" s="11"/>
      <c r="GB42" s="11"/>
      <c r="GC42" s="11"/>
      <c r="GD42" s="11"/>
      <c r="GE42" s="11"/>
      <c r="GF42" s="11"/>
      <c r="GG42" s="11"/>
      <c r="GH42" s="11"/>
      <c r="GI42" s="11"/>
      <c r="GJ42" s="11"/>
      <c r="GK42" s="11"/>
      <c r="GL42" s="11"/>
      <c r="GM42" s="11"/>
      <c r="GN42" s="11"/>
      <c r="GO42" s="11"/>
      <c r="GP42" s="11"/>
      <c r="GQ42" s="11"/>
      <c r="GR42" s="11"/>
      <c r="GS42" s="11"/>
      <c r="GT42" s="11"/>
      <c r="GU42" s="11"/>
      <c r="GV42" s="11"/>
      <c r="GW42" s="11"/>
      <c r="GX42" s="11"/>
      <c r="GY42" s="11"/>
      <c r="GZ42" s="11"/>
      <c r="HA42" s="11"/>
      <c r="HB42" s="11"/>
      <c r="HC42" s="11"/>
      <c r="HD42" s="11"/>
      <c r="HE42" s="11"/>
      <c r="HF42" s="11"/>
      <c r="HG42" s="11"/>
      <c r="HH42" s="11"/>
      <c r="HI42" s="11"/>
      <c r="HJ42" s="11"/>
      <c r="HK42" s="11"/>
      <c r="HL42" s="11"/>
      <c r="HM42" s="11"/>
      <c r="HN42" s="11"/>
      <c r="HO42" s="11"/>
      <c r="HP42" s="11"/>
      <c r="HQ42" s="11"/>
      <c r="HR42" s="11"/>
      <c r="HS42" s="11"/>
      <c r="HT42" s="11"/>
      <c r="HU42" s="11"/>
      <c r="HV42" s="11"/>
      <c r="HW42" s="11"/>
      <c r="HX42" s="11"/>
      <c r="HY42" s="11"/>
      <c r="HZ42" s="11"/>
      <c r="IA42" s="11"/>
      <c r="IB42" s="11"/>
      <c r="IC42" s="11"/>
      <c r="ID42" s="11"/>
      <c r="IE42" s="11"/>
      <c r="IF42" s="11"/>
      <c r="IG42" s="11"/>
    </row>
    <row r="43" spans="1:241" ht="12.75" customHeight="1" x14ac:dyDescent="0.2">
      <c r="C43" s="311"/>
      <c r="D43" s="311"/>
      <c r="E43" s="202"/>
      <c r="F43" s="203"/>
      <c r="G43" s="802"/>
      <c r="H43" s="211"/>
      <c r="I43" s="802"/>
      <c r="J43" s="803"/>
      <c r="K43" s="211"/>
      <c r="L43" s="803"/>
      <c r="M43" s="211"/>
      <c r="N43" s="212"/>
      <c r="O43" s="211"/>
      <c r="P43" s="211"/>
      <c r="Q43" s="802"/>
      <c r="R43" s="803"/>
      <c r="S43" s="211"/>
      <c r="T43" s="212"/>
      <c r="U43" s="184"/>
      <c r="V43" s="184"/>
      <c r="W43" s="262"/>
      <c r="X43" s="263"/>
      <c r="Y43" s="292"/>
      <c r="Z43" s="293"/>
      <c r="AA43" s="261"/>
      <c r="AB43" s="134"/>
      <c r="AC43" s="257"/>
      <c r="AD43" s="45"/>
      <c r="AE43" s="45"/>
      <c r="AF43" s="257"/>
      <c r="AG43" s="45"/>
      <c r="AH43" s="256"/>
      <c r="AI43" s="45"/>
      <c r="AJ43" s="257"/>
      <c r="AK43" s="134"/>
      <c r="AL43" s="211"/>
      <c r="AM43" s="211"/>
      <c r="AN43" s="262"/>
      <c r="AO43" s="263"/>
      <c r="AP43" s="184"/>
      <c r="AQ43" s="263"/>
      <c r="AR43" s="184"/>
      <c r="AS43" s="263"/>
      <c r="AT43" s="36"/>
      <c r="AU43" s="36"/>
      <c r="AV43" s="36"/>
      <c r="AW43" s="36"/>
      <c r="AX43" s="36"/>
      <c r="AY43" s="36"/>
      <c r="AZ43" s="36"/>
    </row>
    <row r="44" spans="1:241" x14ac:dyDescent="0.2">
      <c r="C44" s="328" t="s">
        <v>629</v>
      </c>
      <c r="D44" s="328"/>
      <c r="E44" s="206"/>
      <c r="F44" s="207"/>
      <c r="G44" s="806"/>
      <c r="H44" s="215"/>
      <c r="I44" s="806"/>
      <c r="J44" s="807"/>
      <c r="K44" s="215"/>
      <c r="L44" s="807"/>
      <c r="M44" s="215"/>
      <c r="N44" s="216"/>
      <c r="O44" s="215"/>
      <c r="P44" s="215"/>
      <c r="Q44" s="806"/>
      <c r="R44" s="807"/>
      <c r="S44" s="215"/>
      <c r="T44" s="216"/>
      <c r="U44" s="184">
        <f t="shared" si="0"/>
        <v>0</v>
      </c>
      <c r="V44" s="184">
        <f t="shared" si="1"/>
        <v>0</v>
      </c>
      <c r="W44" s="262">
        <f t="shared" si="5"/>
        <v>0</v>
      </c>
      <c r="X44" s="263">
        <f t="shared" si="6"/>
        <v>0</v>
      </c>
      <c r="Y44" s="296">
        <f>'Beginning Capital Assets &amp; LTD'!I63</f>
        <v>0</v>
      </c>
      <c r="Z44" s="297"/>
      <c r="AA44" s="268"/>
      <c r="AB44" s="178"/>
      <c r="AC44" s="269" t="str">
        <f>'C. Capital Outlay &amp; Donations'!D100</f>
        <v>C.1</v>
      </c>
      <c r="AD44" s="177">
        <f>'C. Capital Outlay &amp; Donations'!K103</f>
        <v>0</v>
      </c>
      <c r="AE44" s="177"/>
      <c r="AF44" s="269" t="str">
        <f>'D.  Capital Asset Disposal'!D189</f>
        <v>D.1</v>
      </c>
      <c r="AG44" s="177">
        <f>'D.  Capital Asset Disposal'!O220</f>
        <v>0</v>
      </c>
      <c r="AH44" s="270"/>
      <c r="AI44" s="177"/>
      <c r="AJ44" s="269"/>
      <c r="AK44" s="178"/>
      <c r="AL44" s="215"/>
      <c r="AM44" s="215"/>
      <c r="AN44" s="262">
        <f>W44+Y44+AA44+AD44+AI44+AL44</f>
        <v>0</v>
      </c>
      <c r="AO44" s="263">
        <f>X44+Z44+AB44+AG44+AK44+AM44</f>
        <v>0</v>
      </c>
      <c r="AP44" s="184"/>
      <c r="AQ44" s="263"/>
      <c r="AR44" s="184" t="str">
        <f>IF(AN44+AN45+AN46-AO44-AO45-AO46&lt;=0, " ",AN44+AN45+AN46-AO44-AO45-AO46)</f>
        <v xml:space="preserve"> </v>
      </c>
      <c r="AS44" s="263">
        <f>IF(AN44+AN45+AN46-AO44-AO45-AO46&gt;0, " ",AO44+AO45+AO46-AN44-AN45-AN46)</f>
        <v>0</v>
      </c>
      <c r="AT44" s="36"/>
      <c r="AU44" s="36"/>
      <c r="AV44" s="36"/>
      <c r="AW44" s="36"/>
      <c r="AX44" s="36"/>
      <c r="AY44" s="36"/>
      <c r="AZ44" s="36"/>
    </row>
    <row r="45" spans="1:241" x14ac:dyDescent="0.2">
      <c r="C45" s="328"/>
      <c r="D45" s="328"/>
      <c r="E45" s="206"/>
      <c r="F45" s="207"/>
      <c r="G45" s="806"/>
      <c r="H45" s="215"/>
      <c r="I45" s="806"/>
      <c r="J45" s="807"/>
      <c r="K45" s="215"/>
      <c r="L45" s="807"/>
      <c r="M45" s="215"/>
      <c r="N45" s="216"/>
      <c r="O45" s="215"/>
      <c r="P45" s="215"/>
      <c r="Q45" s="806"/>
      <c r="R45" s="807"/>
      <c r="S45" s="215"/>
      <c r="T45" s="216"/>
      <c r="U45" s="184">
        <f t="shared" si="0"/>
        <v>0</v>
      </c>
      <c r="V45" s="184">
        <f t="shared" si="1"/>
        <v>0</v>
      </c>
      <c r="W45" s="262">
        <f t="shared" si="5"/>
        <v>0</v>
      </c>
      <c r="X45" s="263">
        <f t="shared" si="6"/>
        <v>0</v>
      </c>
      <c r="Y45" s="296"/>
      <c r="Z45" s="297"/>
      <c r="AA45" s="268"/>
      <c r="AB45" s="178"/>
      <c r="AC45" s="269" t="str">
        <f>'D.  Capital Asset Disposal'!D189</f>
        <v>D.1</v>
      </c>
      <c r="AD45" s="177">
        <f>'D.  Capital Asset Disposal'!M220</f>
        <v>0</v>
      </c>
      <c r="AE45" s="177"/>
      <c r="AF45" s="269"/>
      <c r="AG45" s="177"/>
      <c r="AH45" s="270"/>
      <c r="AI45" s="177"/>
      <c r="AJ45" s="269"/>
      <c r="AK45" s="178"/>
      <c r="AL45" s="215"/>
      <c r="AM45" s="215"/>
      <c r="AN45" s="262">
        <f>W45+Y45+AA45+AD45+AI45+AL45</f>
        <v>0</v>
      </c>
      <c r="AO45" s="263">
        <f>X45+Z45+AB45+AG45+AK45+AM45</f>
        <v>0</v>
      </c>
      <c r="AP45" s="184"/>
      <c r="AQ45" s="263"/>
      <c r="AR45" s="184"/>
      <c r="AS45" s="263"/>
      <c r="AT45" s="36"/>
      <c r="AU45" s="36"/>
      <c r="AV45" s="36"/>
      <c r="AW45" s="36"/>
      <c r="AX45" s="36"/>
      <c r="AY45" s="36"/>
      <c r="AZ45" s="36"/>
    </row>
    <row r="46" spans="1:241" x14ac:dyDescent="0.2">
      <c r="C46" s="328"/>
      <c r="D46" s="328"/>
      <c r="E46" s="206"/>
      <c r="F46" s="207"/>
      <c r="G46" s="806"/>
      <c r="H46" s="215"/>
      <c r="I46" s="806"/>
      <c r="J46" s="807"/>
      <c r="K46" s="215"/>
      <c r="L46" s="807"/>
      <c r="M46" s="215"/>
      <c r="N46" s="216"/>
      <c r="O46" s="215"/>
      <c r="P46" s="215"/>
      <c r="Q46" s="806"/>
      <c r="R46" s="807"/>
      <c r="S46" s="215"/>
      <c r="T46" s="216"/>
      <c r="U46" s="184">
        <f t="shared" si="0"/>
        <v>0</v>
      </c>
      <c r="V46" s="184">
        <f t="shared" si="1"/>
        <v>0</v>
      </c>
      <c r="W46" s="262">
        <f t="shared" si="5"/>
        <v>0</v>
      </c>
      <c r="X46" s="263">
        <f t="shared" si="6"/>
        <v>0</v>
      </c>
      <c r="Y46" s="296"/>
      <c r="Z46" s="297"/>
      <c r="AA46" s="268"/>
      <c r="AB46" s="178"/>
      <c r="AC46" s="269" t="str">
        <f>'C. Capital Outlay &amp; Donations'!$D$154</f>
        <v>C.3</v>
      </c>
      <c r="AD46" s="177">
        <f>'C. Capital Outlay &amp; Donations'!K157</f>
        <v>0</v>
      </c>
      <c r="AE46" s="177"/>
      <c r="AF46" s="269"/>
      <c r="AG46" s="177"/>
      <c r="AH46" s="270"/>
      <c r="AI46" s="177"/>
      <c r="AJ46" s="269"/>
      <c r="AK46" s="178"/>
      <c r="AL46" s="215"/>
      <c r="AM46" s="215"/>
      <c r="AN46" s="262">
        <f>W46+Y46+AA46+AD46+AI46+AL46</f>
        <v>0</v>
      </c>
      <c r="AO46" s="263">
        <f>X46+Z46+AB46+AG46+AK46+AM46</f>
        <v>0</v>
      </c>
      <c r="AP46" s="184"/>
      <c r="AQ46" s="263"/>
      <c r="AR46" s="184"/>
      <c r="AS46" s="263"/>
      <c r="AT46" s="36"/>
      <c r="AU46" s="36"/>
      <c r="AV46" s="36"/>
      <c r="AW46" s="36"/>
      <c r="AX46" s="36"/>
      <c r="AY46" s="36"/>
      <c r="AZ46" s="36"/>
    </row>
    <row r="47" spans="1:241" x14ac:dyDescent="0.2">
      <c r="C47" s="311" t="s">
        <v>662</v>
      </c>
      <c r="D47" s="311"/>
      <c r="E47" s="202"/>
      <c r="F47" s="203"/>
      <c r="G47" s="802"/>
      <c r="H47" s="211"/>
      <c r="I47" s="802"/>
      <c r="J47" s="803"/>
      <c r="K47" s="211"/>
      <c r="L47" s="803"/>
      <c r="M47" s="211"/>
      <c r="N47" s="212"/>
      <c r="O47" s="211"/>
      <c r="P47" s="211"/>
      <c r="Q47" s="802"/>
      <c r="R47" s="803"/>
      <c r="S47" s="211"/>
      <c r="T47" s="212"/>
      <c r="U47" s="184">
        <f t="shared" si="0"/>
        <v>0</v>
      </c>
      <c r="V47" s="184">
        <f t="shared" si="1"/>
        <v>0</v>
      </c>
      <c r="W47" s="262">
        <f t="shared" si="5"/>
        <v>0</v>
      </c>
      <c r="X47" s="263">
        <f t="shared" si="6"/>
        <v>0</v>
      </c>
      <c r="Y47" s="292"/>
      <c r="Z47" s="293">
        <f>'Beginning Capital Assets &amp; LTD'!K64</f>
        <v>0</v>
      </c>
      <c r="AA47" s="261"/>
      <c r="AB47" s="134"/>
      <c r="AC47" s="257" t="str">
        <f>'D.  Capital Asset Disposal'!D189</f>
        <v>D.1</v>
      </c>
      <c r="AD47" s="45">
        <f>'D.  Capital Asset Disposal'!M191</f>
        <v>0</v>
      </c>
      <c r="AE47" s="45"/>
      <c r="AF47" s="257" t="str">
        <f>'B. Depreciation'!A54</f>
        <v>B.1</v>
      </c>
      <c r="AG47" s="45">
        <f>'B. Depreciation'!L75</f>
        <v>0</v>
      </c>
      <c r="AH47" s="256"/>
      <c r="AI47" s="45"/>
      <c r="AJ47" s="257"/>
      <c r="AK47" s="134"/>
      <c r="AL47" s="211"/>
      <c r="AM47" s="211"/>
      <c r="AN47" s="262">
        <f>W47+Y47+AA47+AD47+AI47+AL47</f>
        <v>0</v>
      </c>
      <c r="AO47" s="263">
        <f>X47+Z47+AB47+AG47+AK47+AM47</f>
        <v>0</v>
      </c>
      <c r="AP47" s="184"/>
      <c r="AQ47" s="263"/>
      <c r="AR47" s="184">
        <f>IF(AN47-AO47&lt;0, " ",AN47-AO47)</f>
        <v>0</v>
      </c>
      <c r="AS47" s="263">
        <f>IF(AN47-AO47&gt;0, " ",AO47-AN47)</f>
        <v>0</v>
      </c>
      <c r="AT47" s="36"/>
      <c r="AU47" s="36"/>
      <c r="AV47" s="36"/>
      <c r="AW47" s="36"/>
      <c r="AX47" s="36"/>
      <c r="AY47" s="36"/>
      <c r="AZ47" s="36"/>
    </row>
    <row r="48" spans="1:241" x14ac:dyDescent="0.2">
      <c r="C48" s="311"/>
      <c r="D48" s="311"/>
      <c r="E48" s="202"/>
      <c r="F48" s="203"/>
      <c r="G48" s="802"/>
      <c r="H48" s="211"/>
      <c r="I48" s="802"/>
      <c r="J48" s="803"/>
      <c r="K48" s="211"/>
      <c r="L48" s="803"/>
      <c r="M48" s="211"/>
      <c r="N48" s="212"/>
      <c r="O48" s="211"/>
      <c r="P48" s="211"/>
      <c r="Q48" s="802"/>
      <c r="R48" s="803"/>
      <c r="S48" s="211"/>
      <c r="T48" s="212"/>
      <c r="U48" s="184"/>
      <c r="V48" s="184"/>
      <c r="W48" s="262"/>
      <c r="X48" s="263"/>
      <c r="Y48" s="292"/>
      <c r="Z48" s="293"/>
      <c r="AA48" s="261"/>
      <c r="AB48" s="134"/>
      <c r="AC48" s="257"/>
      <c r="AD48" s="45"/>
      <c r="AE48" s="45"/>
      <c r="AF48" s="257"/>
      <c r="AG48" s="45"/>
      <c r="AH48" s="256"/>
      <c r="AI48" s="45"/>
      <c r="AJ48" s="257"/>
      <c r="AK48" s="134"/>
      <c r="AL48" s="211"/>
      <c r="AM48" s="211"/>
      <c r="AN48" s="262"/>
      <c r="AO48" s="263"/>
      <c r="AP48" s="184"/>
      <c r="AQ48" s="263"/>
      <c r="AR48" s="184"/>
      <c r="AS48" s="263"/>
      <c r="AT48" s="36"/>
      <c r="AU48" s="36"/>
      <c r="AV48" s="36"/>
      <c r="AW48" s="36"/>
      <c r="AX48" s="36"/>
      <c r="AY48" s="36"/>
      <c r="AZ48" s="36"/>
    </row>
    <row r="49" spans="2:52" x14ac:dyDescent="0.2">
      <c r="C49" s="328" t="s">
        <v>420</v>
      </c>
      <c r="D49" s="328"/>
      <c r="E49" s="206"/>
      <c r="F49" s="207"/>
      <c r="G49" s="806"/>
      <c r="H49" s="215"/>
      <c r="I49" s="806"/>
      <c r="J49" s="807"/>
      <c r="K49" s="215"/>
      <c r="L49" s="807"/>
      <c r="M49" s="215"/>
      <c r="N49" s="216"/>
      <c r="O49" s="215"/>
      <c r="P49" s="215"/>
      <c r="Q49" s="806"/>
      <c r="R49" s="807"/>
      <c r="S49" s="215"/>
      <c r="T49" s="216"/>
      <c r="U49" s="184">
        <f t="shared" si="0"/>
        <v>0</v>
      </c>
      <c r="V49" s="184">
        <f t="shared" si="1"/>
        <v>0</v>
      </c>
      <c r="W49" s="262">
        <f t="shared" si="5"/>
        <v>0</v>
      </c>
      <c r="X49" s="263">
        <f t="shared" si="6"/>
        <v>0</v>
      </c>
      <c r="Y49" s="296">
        <f>'Beginning Capital Assets &amp; LTD'!I65</f>
        <v>20568</v>
      </c>
      <c r="Z49" s="297"/>
      <c r="AA49" s="268"/>
      <c r="AB49" s="178"/>
      <c r="AC49" s="269" t="str">
        <f>'C. Capital Outlay &amp; Donations'!D100</f>
        <v>C.1</v>
      </c>
      <c r="AD49" s="177">
        <f>'C. Capital Outlay &amp; Donations'!K106</f>
        <v>5800</v>
      </c>
      <c r="AE49" s="177"/>
      <c r="AF49" s="269" t="str">
        <f>'D.  Capital Asset Disposal'!D189</f>
        <v>D.1</v>
      </c>
      <c r="AG49" s="177">
        <f>'D.  Capital Asset Disposal'!O222</f>
        <v>0</v>
      </c>
      <c r="AH49" s="270"/>
      <c r="AI49" s="177"/>
      <c r="AJ49" s="269"/>
      <c r="AK49" s="178"/>
      <c r="AL49" s="215"/>
      <c r="AM49" s="215"/>
      <c r="AN49" s="262">
        <f>W49+Y49+AA49+AD49+AI49+AL49</f>
        <v>26368</v>
      </c>
      <c r="AO49" s="263">
        <f>X49+Z49+AB49+AG49+AK49+AM49</f>
        <v>0</v>
      </c>
      <c r="AP49" s="184"/>
      <c r="AQ49" s="263"/>
      <c r="AR49" s="184">
        <f>IF(AN49+AN50+AN51-AO49-AO50-AO51&lt;=0, " ",AN49+AN50+AN51-AO49-AO50-AO51)</f>
        <v>26368</v>
      </c>
      <c r="AS49" s="263" t="str">
        <f>IF(AN49+AN50+AN51-AO49-AO50-AO51&gt;0, " ",AO49+AO50+AO51-AN49-AN50-AN51)</f>
        <v xml:space="preserve"> </v>
      </c>
      <c r="AT49" s="36"/>
      <c r="AU49" s="36"/>
      <c r="AV49" s="36"/>
      <c r="AW49" s="36"/>
      <c r="AX49" s="36"/>
      <c r="AY49" s="36"/>
      <c r="AZ49" s="36"/>
    </row>
    <row r="50" spans="2:52" x14ac:dyDescent="0.2">
      <c r="C50" s="328"/>
      <c r="D50" s="328"/>
      <c r="E50" s="206"/>
      <c r="F50" s="207"/>
      <c r="G50" s="806"/>
      <c r="H50" s="215"/>
      <c r="I50" s="806"/>
      <c r="J50" s="807"/>
      <c r="K50" s="215"/>
      <c r="L50" s="807"/>
      <c r="M50" s="215"/>
      <c r="N50" s="216"/>
      <c r="O50" s="215"/>
      <c r="P50" s="215"/>
      <c r="Q50" s="806"/>
      <c r="R50" s="807"/>
      <c r="S50" s="215"/>
      <c r="T50" s="216"/>
      <c r="U50" s="184">
        <f t="shared" si="0"/>
        <v>0</v>
      </c>
      <c r="V50" s="184">
        <f t="shared" si="1"/>
        <v>0</v>
      </c>
      <c r="W50" s="262">
        <f t="shared" si="5"/>
        <v>0</v>
      </c>
      <c r="X50" s="263">
        <f t="shared" si="6"/>
        <v>0</v>
      </c>
      <c r="Y50" s="296"/>
      <c r="Z50" s="297"/>
      <c r="AA50" s="268"/>
      <c r="AB50" s="178"/>
      <c r="AC50" s="269" t="str">
        <f>'D.  Capital Asset Disposal'!D189</f>
        <v>D.1</v>
      </c>
      <c r="AD50" s="177">
        <f>'D.  Capital Asset Disposal'!M222</f>
        <v>0</v>
      </c>
      <c r="AE50" s="177"/>
      <c r="AF50" s="269"/>
      <c r="AG50" s="177"/>
      <c r="AH50" s="270"/>
      <c r="AI50" s="177"/>
      <c r="AJ50" s="269"/>
      <c r="AK50" s="178"/>
      <c r="AL50" s="215"/>
      <c r="AM50" s="215"/>
      <c r="AN50" s="262">
        <f>W50+Y50+AA50+AD50+AI50+AL50</f>
        <v>0</v>
      </c>
      <c r="AO50" s="263">
        <f>X50+Z50+AB50+AG50+AK50+AM50</f>
        <v>0</v>
      </c>
      <c r="AP50" s="184"/>
      <c r="AQ50" s="263"/>
      <c r="AR50" s="184"/>
      <c r="AS50" s="263"/>
      <c r="AT50" s="36"/>
      <c r="AU50" s="36"/>
      <c r="AV50" s="36"/>
      <c r="AW50" s="36"/>
      <c r="AX50" s="36"/>
      <c r="AY50" s="36"/>
      <c r="AZ50" s="36"/>
    </row>
    <row r="51" spans="2:52" x14ac:dyDescent="0.2">
      <c r="C51" s="328"/>
      <c r="D51" s="328"/>
      <c r="E51" s="206"/>
      <c r="F51" s="207"/>
      <c r="G51" s="806"/>
      <c r="H51" s="215"/>
      <c r="I51" s="806"/>
      <c r="J51" s="807"/>
      <c r="K51" s="215"/>
      <c r="L51" s="807"/>
      <c r="M51" s="215"/>
      <c r="N51" s="216"/>
      <c r="O51" s="215"/>
      <c r="P51" s="215"/>
      <c r="Q51" s="806"/>
      <c r="R51" s="807"/>
      <c r="S51" s="215"/>
      <c r="T51" s="216"/>
      <c r="U51" s="184">
        <f t="shared" si="0"/>
        <v>0</v>
      </c>
      <c r="V51" s="184">
        <f t="shared" si="1"/>
        <v>0</v>
      </c>
      <c r="W51" s="262">
        <f t="shared" si="5"/>
        <v>0</v>
      </c>
      <c r="X51" s="263">
        <f t="shared" si="6"/>
        <v>0</v>
      </c>
      <c r="Y51" s="296"/>
      <c r="Z51" s="297"/>
      <c r="AA51" s="268"/>
      <c r="AB51" s="178"/>
      <c r="AC51" s="269" t="str">
        <f>'C. Capital Outlay &amp; Donations'!$D$154</f>
        <v>C.3</v>
      </c>
      <c r="AD51" s="177">
        <f>'C. Capital Outlay &amp; Donations'!K159</f>
        <v>0</v>
      </c>
      <c r="AE51" s="177"/>
      <c r="AF51" s="269"/>
      <c r="AG51" s="177"/>
      <c r="AH51" s="270"/>
      <c r="AI51" s="177"/>
      <c r="AJ51" s="269"/>
      <c r="AK51" s="178"/>
      <c r="AL51" s="215"/>
      <c r="AM51" s="215"/>
      <c r="AN51" s="262">
        <f>W51+Y51+AA51+AD51+AI51+AL51</f>
        <v>0</v>
      </c>
      <c r="AO51" s="263">
        <f>X51+Z51+AB51+AG51+AK51+AM51</f>
        <v>0</v>
      </c>
      <c r="AP51" s="184"/>
      <c r="AQ51" s="263"/>
      <c r="AR51" s="184"/>
      <c r="AS51" s="263"/>
      <c r="AT51" s="36"/>
      <c r="AU51" s="36"/>
      <c r="AV51" s="36"/>
      <c r="AW51" s="36"/>
      <c r="AX51" s="36"/>
      <c r="AY51" s="36"/>
      <c r="AZ51" s="36"/>
    </row>
    <row r="52" spans="2:52" x14ac:dyDescent="0.2">
      <c r="C52" s="311" t="str">
        <f>CONCATENATE("Accum. Depreciation - ", C49)</f>
        <v>Accum. Depreciation - Computer equipment</v>
      </c>
      <c r="D52" s="370"/>
      <c r="E52" s="202"/>
      <c r="F52" s="203"/>
      <c r="G52" s="802"/>
      <c r="H52" s="211"/>
      <c r="I52" s="802"/>
      <c r="J52" s="803"/>
      <c r="K52" s="211"/>
      <c r="L52" s="803"/>
      <c r="M52" s="211"/>
      <c r="N52" s="212"/>
      <c r="O52" s="211"/>
      <c r="P52" s="211"/>
      <c r="Q52" s="802"/>
      <c r="R52" s="803"/>
      <c r="S52" s="211"/>
      <c r="T52" s="212"/>
      <c r="U52" s="184">
        <f t="shared" si="0"/>
        <v>0</v>
      </c>
      <c r="V52" s="184">
        <f t="shared" si="1"/>
        <v>0</v>
      </c>
      <c r="W52" s="262">
        <f t="shared" si="5"/>
        <v>0</v>
      </c>
      <c r="X52" s="263">
        <f t="shared" si="6"/>
        <v>0</v>
      </c>
      <c r="Y52" s="292"/>
      <c r="Z52" s="293">
        <f>'Beginning Capital Assets &amp; LTD'!K66</f>
        <v>5735</v>
      </c>
      <c r="AA52" s="261"/>
      <c r="AB52" s="134"/>
      <c r="AC52" s="257" t="str">
        <f>'D.  Capital Asset Disposal'!D189</f>
        <v>D.1</v>
      </c>
      <c r="AD52" s="45">
        <f>'D.  Capital Asset Disposal'!M193</f>
        <v>0</v>
      </c>
      <c r="AE52" s="45"/>
      <c r="AF52" s="257" t="str">
        <f>'B. Depreciation'!A54</f>
        <v>B.1</v>
      </c>
      <c r="AG52" s="45">
        <f>'B. Depreciation'!L77</f>
        <v>7384</v>
      </c>
      <c r="AH52" s="256"/>
      <c r="AI52" s="45"/>
      <c r="AJ52" s="257"/>
      <c r="AK52" s="134"/>
      <c r="AL52" s="211"/>
      <c r="AM52" s="211"/>
      <c r="AN52" s="262">
        <f>W52+Y52+AA52+AD52+AI52+AL52</f>
        <v>0</v>
      </c>
      <c r="AO52" s="263">
        <f>X52+Z52+AB52+AG52+AK52+AM52</f>
        <v>13119</v>
      </c>
      <c r="AP52" s="184"/>
      <c r="AQ52" s="263"/>
      <c r="AR52" s="184" t="str">
        <f>IF(AN52-AO52&lt;0, " ",AN52-AO52)</f>
        <v xml:space="preserve"> </v>
      </c>
      <c r="AS52" s="263">
        <f>IF(AN52-AO52&gt;0, " ",AO52-AN52)</f>
        <v>13119</v>
      </c>
      <c r="AT52" s="36"/>
      <c r="AU52" s="36"/>
      <c r="AV52" s="36"/>
      <c r="AW52" s="36"/>
      <c r="AX52" s="36"/>
      <c r="AY52" s="36"/>
      <c r="AZ52" s="36"/>
    </row>
    <row r="53" spans="2:52" x14ac:dyDescent="0.2">
      <c r="C53" s="311"/>
      <c r="D53" s="311"/>
      <c r="E53" s="202"/>
      <c r="F53" s="203"/>
      <c r="G53" s="802"/>
      <c r="H53" s="211"/>
      <c r="I53" s="802"/>
      <c r="J53" s="803"/>
      <c r="K53" s="211"/>
      <c r="L53" s="803"/>
      <c r="M53" s="211"/>
      <c r="N53" s="212"/>
      <c r="O53" s="211"/>
      <c r="P53" s="211"/>
      <c r="Q53" s="802"/>
      <c r="R53" s="803"/>
      <c r="S53" s="211"/>
      <c r="T53" s="212"/>
      <c r="U53" s="184"/>
      <c r="V53" s="184"/>
      <c r="W53" s="262"/>
      <c r="X53" s="263"/>
      <c r="Y53" s="292"/>
      <c r="Z53" s="293"/>
      <c r="AA53" s="261"/>
      <c r="AB53" s="134"/>
      <c r="AC53" s="257"/>
      <c r="AD53" s="45"/>
      <c r="AE53" s="45"/>
      <c r="AF53" s="257"/>
      <c r="AG53" s="45"/>
      <c r="AH53" s="256"/>
      <c r="AI53" s="45"/>
      <c r="AJ53" s="257"/>
      <c r="AK53" s="134"/>
      <c r="AL53" s="211"/>
      <c r="AM53" s="211"/>
      <c r="AN53" s="262"/>
      <c r="AO53" s="263"/>
      <c r="AP53" s="184"/>
      <c r="AQ53" s="263"/>
      <c r="AR53" s="184"/>
      <c r="AS53" s="263"/>
      <c r="AT53" s="36"/>
      <c r="AU53" s="36"/>
      <c r="AV53" s="36"/>
      <c r="AW53" s="36"/>
      <c r="AX53" s="36"/>
      <c r="AY53" s="36"/>
      <c r="AZ53" s="36"/>
    </row>
    <row r="54" spans="2:52" x14ac:dyDescent="0.2">
      <c r="C54" s="328" t="s">
        <v>753</v>
      </c>
      <c r="D54" s="328"/>
      <c r="E54" s="206"/>
      <c r="F54" s="207"/>
      <c r="G54" s="806"/>
      <c r="H54" s="215"/>
      <c r="I54" s="806"/>
      <c r="J54" s="807"/>
      <c r="K54" s="215"/>
      <c r="L54" s="807"/>
      <c r="M54" s="215"/>
      <c r="N54" s="216"/>
      <c r="O54" s="215"/>
      <c r="P54" s="215"/>
      <c r="Q54" s="806"/>
      <c r="R54" s="807"/>
      <c r="S54" s="215"/>
      <c r="T54" s="216"/>
      <c r="U54" s="184">
        <f t="shared" si="0"/>
        <v>0</v>
      </c>
      <c r="V54" s="184">
        <f t="shared" si="1"/>
        <v>0</v>
      </c>
      <c r="W54" s="262">
        <f t="shared" si="5"/>
        <v>0</v>
      </c>
      <c r="X54" s="263">
        <f t="shared" si="6"/>
        <v>0</v>
      </c>
      <c r="Y54" s="296">
        <f>'Beginning Capital Assets &amp; LTD'!I67</f>
        <v>0</v>
      </c>
      <c r="Z54" s="297"/>
      <c r="AA54" s="268"/>
      <c r="AB54" s="178"/>
      <c r="AC54" s="269" t="str">
        <f>'C. Capital Outlay &amp; Donations'!D100</f>
        <v>C.1</v>
      </c>
      <c r="AD54" s="177">
        <f>'C. Capital Outlay &amp; Donations'!K107</f>
        <v>0</v>
      </c>
      <c r="AE54" s="177"/>
      <c r="AF54" s="269" t="str">
        <f>'D.  Capital Asset Disposal'!D189</f>
        <v>D.1</v>
      </c>
      <c r="AG54" s="177">
        <f>'D.  Capital Asset Disposal'!O223</f>
        <v>0</v>
      </c>
      <c r="AH54" s="270"/>
      <c r="AI54" s="177"/>
      <c r="AJ54" s="269"/>
      <c r="AK54" s="178"/>
      <c r="AL54" s="215"/>
      <c r="AM54" s="215"/>
      <c r="AN54" s="262">
        <f>W54+Y54+AA54+AD54+AI54+AL54</f>
        <v>0</v>
      </c>
      <c r="AO54" s="263">
        <f>X54+Z54+AB54+AG54+AK54+AM54</f>
        <v>0</v>
      </c>
      <c r="AP54" s="184"/>
      <c r="AQ54" s="263"/>
      <c r="AR54" s="184" t="str">
        <f>IF(AN54+AN55+AN56-AO54-AO55-AO56&lt;=0, " ",AN54+AN55+AN56-AO54+AO55+AO56)</f>
        <v xml:space="preserve"> </v>
      </c>
      <c r="AS54" s="263">
        <f>IF(AN54+AN55+AN56-AO54-AO55-AO56&gt;0, " ",AO54+AO55+AO56-AN54-AN55-AN56)</f>
        <v>0</v>
      </c>
      <c r="AT54" s="36"/>
      <c r="AU54" s="36"/>
      <c r="AV54" s="36"/>
      <c r="AW54" s="36"/>
      <c r="AX54" s="36"/>
      <c r="AY54" s="36"/>
      <c r="AZ54" s="36"/>
    </row>
    <row r="55" spans="2:52" x14ac:dyDescent="0.2">
      <c r="C55" s="328"/>
      <c r="D55" s="328"/>
      <c r="E55" s="206"/>
      <c r="F55" s="207"/>
      <c r="G55" s="806"/>
      <c r="H55" s="215"/>
      <c r="I55" s="806"/>
      <c r="J55" s="807"/>
      <c r="K55" s="215"/>
      <c r="L55" s="807"/>
      <c r="M55" s="215"/>
      <c r="N55" s="216"/>
      <c r="O55" s="215"/>
      <c r="P55" s="215"/>
      <c r="Q55" s="806"/>
      <c r="R55" s="807"/>
      <c r="S55" s="215"/>
      <c r="T55" s="216"/>
      <c r="U55" s="184">
        <f t="shared" si="0"/>
        <v>0</v>
      </c>
      <c r="V55" s="184">
        <f t="shared" si="1"/>
        <v>0</v>
      </c>
      <c r="W55" s="262">
        <f t="shared" si="5"/>
        <v>0</v>
      </c>
      <c r="X55" s="263">
        <f t="shared" si="6"/>
        <v>0</v>
      </c>
      <c r="Y55" s="296"/>
      <c r="Z55" s="297"/>
      <c r="AA55" s="268"/>
      <c r="AB55" s="178"/>
      <c r="AC55" s="273" t="str">
        <f>'D.  Capital Asset Disposal'!D189</f>
        <v>D.1</v>
      </c>
      <c r="AD55" s="177">
        <f>'D.  Capital Asset Disposal'!M223</f>
        <v>0</v>
      </c>
      <c r="AE55" s="177"/>
      <c r="AF55" s="269"/>
      <c r="AG55" s="177"/>
      <c r="AH55" s="270"/>
      <c r="AI55" s="177"/>
      <c r="AJ55" s="269"/>
      <c r="AK55" s="178"/>
      <c r="AL55" s="215"/>
      <c r="AM55" s="215"/>
      <c r="AN55" s="262">
        <f>W55+Y55+AA55+AD55+AI55+AL55</f>
        <v>0</v>
      </c>
      <c r="AO55" s="263">
        <f>X55+Z55+AB55+AG55+AK55+AM55</f>
        <v>0</v>
      </c>
      <c r="AP55" s="184"/>
      <c r="AQ55" s="263"/>
      <c r="AR55" s="184"/>
      <c r="AS55" s="263"/>
      <c r="AT55" s="36"/>
      <c r="AU55" s="36"/>
      <c r="AV55" s="36"/>
      <c r="AW55" s="36"/>
      <c r="AX55" s="36"/>
      <c r="AY55" s="36"/>
      <c r="AZ55" s="36"/>
    </row>
    <row r="56" spans="2:52" x14ac:dyDescent="0.2">
      <c r="C56" s="328"/>
      <c r="D56" s="328"/>
      <c r="E56" s="206"/>
      <c r="F56" s="207"/>
      <c r="G56" s="806"/>
      <c r="H56" s="215"/>
      <c r="I56" s="806"/>
      <c r="J56" s="807"/>
      <c r="K56" s="215"/>
      <c r="L56" s="807"/>
      <c r="M56" s="215"/>
      <c r="N56" s="216"/>
      <c r="O56" s="215"/>
      <c r="P56" s="215"/>
      <c r="Q56" s="806"/>
      <c r="R56" s="807"/>
      <c r="S56" s="215"/>
      <c r="T56" s="216"/>
      <c r="U56" s="184">
        <f t="shared" si="0"/>
        <v>0</v>
      </c>
      <c r="V56" s="184">
        <f t="shared" si="1"/>
        <v>0</v>
      </c>
      <c r="W56" s="262">
        <f t="shared" si="5"/>
        <v>0</v>
      </c>
      <c r="X56" s="263">
        <f t="shared" si="6"/>
        <v>0</v>
      </c>
      <c r="Y56" s="296"/>
      <c r="Z56" s="297"/>
      <c r="AA56" s="268"/>
      <c r="AB56" s="178"/>
      <c r="AC56" s="269" t="str">
        <f>'C. Capital Outlay &amp; Donations'!$D$154</f>
        <v>C.3</v>
      </c>
      <c r="AD56" s="177">
        <f>'C. Capital Outlay &amp; Donations'!K161</f>
        <v>0</v>
      </c>
      <c r="AE56" s="177"/>
      <c r="AF56" s="269"/>
      <c r="AG56" s="177"/>
      <c r="AH56" s="270"/>
      <c r="AI56" s="177"/>
      <c r="AJ56" s="269"/>
      <c r="AK56" s="178"/>
      <c r="AL56" s="215"/>
      <c r="AM56" s="215"/>
      <c r="AN56" s="262">
        <f>W56+Y56+AA56+AD56+AI56+AL56</f>
        <v>0</v>
      </c>
      <c r="AO56" s="263">
        <f>X56+Z56+AB56+AG56+AK56+AM56</f>
        <v>0</v>
      </c>
      <c r="AP56" s="184"/>
      <c r="AQ56" s="263"/>
      <c r="AR56" s="184"/>
      <c r="AS56" s="263"/>
      <c r="AT56" s="36"/>
      <c r="AU56" s="36"/>
      <c r="AV56" s="36"/>
      <c r="AW56" s="36"/>
      <c r="AX56" s="36"/>
      <c r="AY56" s="36"/>
      <c r="AZ56" s="36"/>
    </row>
    <row r="57" spans="2:52" x14ac:dyDescent="0.2">
      <c r="C57" s="311" t="str">
        <f>CONCATENATE("Accum. Depreciation - ", C54)</f>
        <v>Accum. Depreciation - Other Asset Class 1</v>
      </c>
      <c r="D57" s="311"/>
      <c r="E57" s="202"/>
      <c r="F57" s="203"/>
      <c r="G57" s="802"/>
      <c r="H57" s="211"/>
      <c r="I57" s="802"/>
      <c r="J57" s="803"/>
      <c r="K57" s="211"/>
      <c r="L57" s="803"/>
      <c r="M57" s="211"/>
      <c r="N57" s="212"/>
      <c r="O57" s="211"/>
      <c r="P57" s="211"/>
      <c r="Q57" s="802"/>
      <c r="R57" s="803"/>
      <c r="S57" s="211"/>
      <c r="T57" s="212"/>
      <c r="U57" s="184">
        <f t="shared" si="0"/>
        <v>0</v>
      </c>
      <c r="V57" s="184">
        <f t="shared" si="1"/>
        <v>0</v>
      </c>
      <c r="W57" s="262">
        <f t="shared" si="5"/>
        <v>0</v>
      </c>
      <c r="X57" s="263">
        <f t="shared" si="6"/>
        <v>0</v>
      </c>
      <c r="Y57" s="292"/>
      <c r="Z57" s="293">
        <f>'Beginning Capital Assets &amp; LTD'!K68</f>
        <v>0</v>
      </c>
      <c r="AA57" s="261"/>
      <c r="AB57" s="134"/>
      <c r="AC57" s="274" t="str">
        <f>'D.  Capital Asset Disposal'!D189</f>
        <v>D.1</v>
      </c>
      <c r="AD57" s="45">
        <f>'D.  Capital Asset Disposal'!M194</f>
        <v>0</v>
      </c>
      <c r="AE57" s="45"/>
      <c r="AF57" s="257" t="str">
        <f>'B. Depreciation'!A54</f>
        <v>B.1</v>
      </c>
      <c r="AG57" s="45">
        <f>'B. Depreciation'!L78</f>
        <v>0</v>
      </c>
      <c r="AH57" s="256"/>
      <c r="AI57" s="45"/>
      <c r="AJ57" s="257"/>
      <c r="AK57" s="134"/>
      <c r="AL57" s="211"/>
      <c r="AM57" s="211"/>
      <c r="AN57" s="262">
        <f>W57+Y57+AA57+AD57+AI57+AL57</f>
        <v>0</v>
      </c>
      <c r="AO57" s="263">
        <f>X57+Z57+AB57+AG57+AK57+AM57</f>
        <v>0</v>
      </c>
      <c r="AP57" s="184"/>
      <c r="AQ57" s="263"/>
      <c r="AR57" s="184">
        <f>IF(AN57-AO57&lt;0, " ",AN57-AO57)</f>
        <v>0</v>
      </c>
      <c r="AS57" s="263">
        <f>IF(AN57-AO57&gt;0, " ",AO57-AN57)</f>
        <v>0</v>
      </c>
      <c r="AT57" s="36"/>
      <c r="AU57" s="36"/>
      <c r="AV57" s="36"/>
      <c r="AW57" s="36"/>
      <c r="AX57" s="36"/>
      <c r="AY57" s="36"/>
      <c r="AZ57" s="36"/>
    </row>
    <row r="58" spans="2:52" s="454" customFormat="1" x14ac:dyDescent="0.2">
      <c r="C58" s="311"/>
      <c r="D58" s="311"/>
      <c r="E58" s="202"/>
      <c r="F58" s="203"/>
      <c r="G58" s="802"/>
      <c r="H58" s="211"/>
      <c r="I58" s="802"/>
      <c r="J58" s="803"/>
      <c r="K58" s="211"/>
      <c r="L58" s="803"/>
      <c r="M58" s="211"/>
      <c r="N58" s="212"/>
      <c r="O58" s="211"/>
      <c r="P58" s="211"/>
      <c r="Q58" s="802"/>
      <c r="R58" s="803"/>
      <c r="S58" s="211"/>
      <c r="T58" s="212"/>
      <c r="U58" s="184"/>
      <c r="V58" s="184"/>
      <c r="W58" s="262"/>
      <c r="X58" s="263"/>
      <c r="Y58" s="292"/>
      <c r="Z58" s="293"/>
      <c r="AA58" s="261"/>
      <c r="AB58" s="134"/>
      <c r="AC58" s="274"/>
      <c r="AD58" s="45"/>
      <c r="AE58" s="45"/>
      <c r="AF58" s="257"/>
      <c r="AG58" s="45"/>
      <c r="AH58" s="256"/>
      <c r="AI58" s="45"/>
      <c r="AJ58" s="257"/>
      <c r="AK58" s="134"/>
      <c r="AL58" s="211"/>
      <c r="AM58" s="211"/>
      <c r="AN58" s="262"/>
      <c r="AO58" s="263"/>
      <c r="AP58" s="184"/>
      <c r="AQ58" s="263"/>
      <c r="AR58" s="184"/>
      <c r="AS58" s="263"/>
      <c r="AT58" s="36"/>
      <c r="AU58" s="36"/>
      <c r="AV58" s="36"/>
      <c r="AW58" s="36"/>
      <c r="AX58" s="36"/>
      <c r="AY58" s="36"/>
      <c r="AZ58" s="36"/>
    </row>
    <row r="59" spans="2:52" s="454" customFormat="1" x14ac:dyDescent="0.2">
      <c r="B59" s="455" t="s">
        <v>1073</v>
      </c>
      <c r="D59" s="311"/>
      <c r="E59" s="202"/>
      <c r="F59" s="203"/>
      <c r="G59" s="802"/>
      <c r="H59" s="211"/>
      <c r="I59" s="802"/>
      <c r="J59" s="803"/>
      <c r="K59" s="211"/>
      <c r="L59" s="803"/>
      <c r="M59" s="211"/>
      <c r="N59" s="212"/>
      <c r="O59" s="211"/>
      <c r="P59" s="211"/>
      <c r="Q59" s="802"/>
      <c r="R59" s="803"/>
      <c r="S59" s="211"/>
      <c r="T59" s="212"/>
      <c r="U59" s="184"/>
      <c r="V59" s="184"/>
      <c r="W59" s="262"/>
      <c r="X59" s="263"/>
      <c r="Y59" s="292"/>
      <c r="Z59" s="293"/>
      <c r="AA59" s="261"/>
      <c r="AB59" s="134"/>
      <c r="AC59" s="274"/>
      <c r="AD59" s="45"/>
      <c r="AE59" s="45"/>
      <c r="AF59" s="257"/>
      <c r="AG59" s="45"/>
      <c r="AH59" s="256"/>
      <c r="AI59" s="45"/>
      <c r="AJ59" s="257"/>
      <c r="AK59" s="134"/>
      <c r="AL59" s="211"/>
      <c r="AM59" s="211"/>
      <c r="AN59" s="262"/>
      <c r="AO59" s="263"/>
      <c r="AP59" s="184"/>
      <c r="AQ59" s="263"/>
      <c r="AR59" s="184"/>
      <c r="AS59" s="263"/>
      <c r="AT59" s="36"/>
      <c r="AU59" s="36"/>
      <c r="AV59" s="36"/>
      <c r="AW59" s="36"/>
      <c r="AX59" s="36"/>
      <c r="AY59" s="36"/>
      <c r="AZ59" s="36"/>
    </row>
    <row r="60" spans="2:52" s="454" customFormat="1" ht="25.5" x14ac:dyDescent="0.2">
      <c r="C60" s="614" t="s">
        <v>1524</v>
      </c>
      <c r="D60" s="311"/>
      <c r="E60" s="202"/>
      <c r="F60" s="203"/>
      <c r="G60" s="802"/>
      <c r="H60" s="211"/>
      <c r="I60" s="802"/>
      <c r="J60" s="803"/>
      <c r="K60" s="211"/>
      <c r="L60" s="803"/>
      <c r="M60" s="211"/>
      <c r="N60" s="212"/>
      <c r="O60" s="211"/>
      <c r="P60" s="211"/>
      <c r="Q60" s="802"/>
      <c r="R60" s="803"/>
      <c r="S60" s="211"/>
      <c r="T60" s="212"/>
      <c r="U60" s="184">
        <f>O60+Q60+S60</f>
        <v>0</v>
      </c>
      <c r="V60" s="184">
        <f>P60+R60+T60</f>
        <v>0</v>
      </c>
      <c r="W60" s="262">
        <f>E60+G60+I60+K60+M60+U60</f>
        <v>0</v>
      </c>
      <c r="X60" s="263">
        <f>F60+H60+J60+L60+N60+V60</f>
        <v>0</v>
      </c>
      <c r="Y60" s="292">
        <f>'J. GASB 68 TSERS'!C65*'J. GASB 68 TSERS'!C17</f>
        <v>0</v>
      </c>
      <c r="Z60" s="293"/>
      <c r="AA60" s="261"/>
      <c r="AB60" s="134"/>
      <c r="AC60" s="274" t="s">
        <v>144</v>
      </c>
      <c r="AD60" s="45">
        <f>'H. Other Liabilities &amp; Expenses'!L254</f>
        <v>0</v>
      </c>
      <c r="AE60" s="45"/>
      <c r="AF60" s="257" t="s">
        <v>1080</v>
      </c>
      <c r="AG60" s="45">
        <f>'J. GASB 68 TSERS'!D118</f>
        <v>0</v>
      </c>
      <c r="AH60" s="256"/>
      <c r="AI60" s="45"/>
      <c r="AJ60" s="257"/>
      <c r="AK60" s="134"/>
      <c r="AL60" s="211"/>
      <c r="AM60" s="211"/>
      <c r="AN60" s="262">
        <f t="shared" ref="AN60:AN69" si="10">W60+Y60+AA60+AD60+AI60+AL60</f>
        <v>0</v>
      </c>
      <c r="AO60" s="263">
        <f t="shared" ref="AO60:AO69" si="11">X60+Z60+AB60+AG60+AK60+AM60</f>
        <v>0</v>
      </c>
      <c r="AP60" s="184"/>
      <c r="AQ60" s="263"/>
      <c r="AR60" s="184">
        <f t="shared" ref="AR60:AR69" si="12">IF(AN60-AO60&lt;0, " ",AN60-AO60)</f>
        <v>0</v>
      </c>
      <c r="AS60" s="263">
        <f t="shared" ref="AS60:AS69" si="13">IF(AN60-AO60&gt;0, " ",AO60-AN60)</f>
        <v>0</v>
      </c>
      <c r="AT60" s="36"/>
      <c r="AU60" s="36"/>
      <c r="AV60" s="36"/>
      <c r="AW60" s="36"/>
      <c r="AX60" s="36"/>
      <c r="AY60" s="36"/>
      <c r="AZ60" s="36"/>
    </row>
    <row r="61" spans="2:52" s="525" customFormat="1" ht="51" x14ac:dyDescent="0.2">
      <c r="C61" s="524" t="s">
        <v>1187</v>
      </c>
      <c r="D61" s="311"/>
      <c r="E61" s="202"/>
      <c r="F61" s="203"/>
      <c r="G61" s="802"/>
      <c r="H61" s="211"/>
      <c r="I61" s="802"/>
      <c r="J61" s="803"/>
      <c r="K61" s="211"/>
      <c r="L61" s="803"/>
      <c r="M61" s="211"/>
      <c r="N61" s="212"/>
      <c r="O61" s="211"/>
      <c r="P61" s="211"/>
      <c r="Q61" s="802"/>
      <c r="R61" s="803"/>
      <c r="S61" s="211"/>
      <c r="T61" s="212"/>
      <c r="U61" s="184">
        <f t="shared" ref="U61:U71" si="14">O61+Q61+S61</f>
        <v>0</v>
      </c>
      <c r="V61" s="184">
        <f t="shared" ref="V61:V71" si="15">P61+R61+T61</f>
        <v>0</v>
      </c>
      <c r="W61" s="262">
        <f t="shared" ref="W61:W71" si="16">E61+G61+I61+K61+M61+U61</f>
        <v>0</v>
      </c>
      <c r="X61" s="263">
        <f t="shared" ref="X61:X71" si="17">F61+H61+J61+L61+N61+V61</f>
        <v>0</v>
      </c>
      <c r="Y61" s="292">
        <f>'J. GASB 68 TSERS'!C65*'J. GASB 68 TSERS'!M29</f>
        <v>0</v>
      </c>
      <c r="Z61" s="293"/>
      <c r="AA61" s="261"/>
      <c r="AB61" s="134"/>
      <c r="AC61" s="274" t="s">
        <v>1080</v>
      </c>
      <c r="AD61" s="45">
        <f>'J. GASB 68 TSERS'!C113</f>
        <v>0</v>
      </c>
      <c r="AE61" s="45"/>
      <c r="AF61" s="274" t="s">
        <v>1080</v>
      </c>
      <c r="AG61" s="45">
        <f>'J. GASB 68 TSERS'!D113</f>
        <v>0</v>
      </c>
      <c r="AH61" s="256"/>
      <c r="AI61" s="45"/>
      <c r="AJ61" s="257"/>
      <c r="AK61" s="134"/>
      <c r="AL61" s="211"/>
      <c r="AM61" s="211"/>
      <c r="AN61" s="262">
        <f t="shared" si="10"/>
        <v>0</v>
      </c>
      <c r="AO61" s="263">
        <f t="shared" si="11"/>
        <v>0</v>
      </c>
      <c r="AP61" s="184"/>
      <c r="AQ61" s="263"/>
      <c r="AR61" s="184">
        <f t="shared" si="12"/>
        <v>0</v>
      </c>
      <c r="AS61" s="263">
        <f t="shared" si="13"/>
        <v>0</v>
      </c>
      <c r="AT61" s="36"/>
      <c r="AU61" s="36"/>
      <c r="AV61" s="36"/>
      <c r="AW61" s="36"/>
      <c r="AX61" s="36"/>
      <c r="AY61" s="36"/>
      <c r="AZ61" s="36"/>
    </row>
    <row r="62" spans="2:52" s="525" customFormat="1" ht="25.5" x14ac:dyDescent="0.2">
      <c r="C62" s="524" t="s">
        <v>1186</v>
      </c>
      <c r="D62" s="311"/>
      <c r="E62" s="202"/>
      <c r="F62" s="203"/>
      <c r="G62" s="802"/>
      <c r="H62" s="211"/>
      <c r="I62" s="802"/>
      <c r="J62" s="803"/>
      <c r="K62" s="211"/>
      <c r="L62" s="803"/>
      <c r="M62" s="211"/>
      <c r="N62" s="212"/>
      <c r="O62" s="211"/>
      <c r="P62" s="211"/>
      <c r="Q62" s="802"/>
      <c r="R62" s="803"/>
      <c r="S62" s="211"/>
      <c r="T62" s="212"/>
      <c r="U62" s="184">
        <f t="shared" si="14"/>
        <v>0</v>
      </c>
      <c r="V62" s="184">
        <f t="shared" si="15"/>
        <v>0</v>
      </c>
      <c r="W62" s="262">
        <f t="shared" si="16"/>
        <v>0</v>
      </c>
      <c r="X62" s="263">
        <f t="shared" si="17"/>
        <v>0</v>
      </c>
      <c r="Y62" s="292">
        <f>'J. GASB 68 TSERS'!C65*'J. GASB 68 TSERS'!J29</f>
        <v>0</v>
      </c>
      <c r="Z62" s="293"/>
      <c r="AA62" s="261"/>
      <c r="AB62" s="134"/>
      <c r="AC62" s="274" t="s">
        <v>1080</v>
      </c>
      <c r="AD62" s="45">
        <f>'J. GASB 68 TSERS'!C110</f>
        <v>0</v>
      </c>
      <c r="AE62" s="45"/>
      <c r="AF62" s="274" t="s">
        <v>1080</v>
      </c>
      <c r="AG62" s="45">
        <f>'J. GASB 68 TSERS'!D110</f>
        <v>0</v>
      </c>
      <c r="AH62" s="256"/>
      <c r="AI62" s="45"/>
      <c r="AJ62" s="257"/>
      <c r="AK62" s="134"/>
      <c r="AL62" s="211"/>
      <c r="AM62" s="211"/>
      <c r="AN62" s="262">
        <f t="shared" si="10"/>
        <v>0</v>
      </c>
      <c r="AO62" s="263">
        <f t="shared" si="11"/>
        <v>0</v>
      </c>
      <c r="AP62" s="184"/>
      <c r="AQ62" s="263"/>
      <c r="AR62" s="184">
        <f t="shared" si="12"/>
        <v>0</v>
      </c>
      <c r="AS62" s="263">
        <f t="shared" si="13"/>
        <v>0</v>
      </c>
      <c r="AT62" s="36"/>
      <c r="AU62" s="36"/>
      <c r="AV62" s="36"/>
      <c r="AW62" s="36"/>
      <c r="AX62" s="36"/>
      <c r="AY62" s="36"/>
      <c r="AZ62" s="36"/>
    </row>
    <row r="63" spans="2:52" s="525" customFormat="1" x14ac:dyDescent="0.2">
      <c r="C63" s="525" t="s">
        <v>1185</v>
      </c>
      <c r="D63" s="311"/>
      <c r="E63" s="202"/>
      <c r="F63" s="203"/>
      <c r="G63" s="802"/>
      <c r="H63" s="211"/>
      <c r="I63" s="802"/>
      <c r="J63" s="803"/>
      <c r="K63" s="211"/>
      <c r="L63" s="803"/>
      <c r="M63" s="211"/>
      <c r="N63" s="212"/>
      <c r="O63" s="211"/>
      <c r="P63" s="211"/>
      <c r="Q63" s="802"/>
      <c r="R63" s="803"/>
      <c r="S63" s="211"/>
      <c r="T63" s="212"/>
      <c r="U63" s="184">
        <f t="shared" si="14"/>
        <v>0</v>
      </c>
      <c r="V63" s="184">
        <f t="shared" si="15"/>
        <v>0</v>
      </c>
      <c r="W63" s="262">
        <f t="shared" si="16"/>
        <v>0</v>
      </c>
      <c r="X63" s="263">
        <f t="shared" si="17"/>
        <v>0</v>
      </c>
      <c r="Y63" s="292">
        <f>'J. GASB 68 TSERS'!C65*'J. GASB 68 TSERS'!L29</f>
        <v>0</v>
      </c>
      <c r="Z63" s="293"/>
      <c r="AA63" s="261"/>
      <c r="AB63" s="134"/>
      <c r="AC63" s="274" t="s">
        <v>1080</v>
      </c>
      <c r="AD63" s="45">
        <f>'J. GASB 68 TSERS'!C112</f>
        <v>0</v>
      </c>
      <c r="AE63" s="45"/>
      <c r="AF63" s="274" t="s">
        <v>1080</v>
      </c>
      <c r="AG63" s="45">
        <f>'J. GASB 68 TSERS'!D112</f>
        <v>0</v>
      </c>
      <c r="AH63" s="256"/>
      <c r="AI63" s="45"/>
      <c r="AJ63" s="257"/>
      <c r="AK63" s="134"/>
      <c r="AL63" s="211"/>
      <c r="AM63" s="211"/>
      <c r="AN63" s="262">
        <f t="shared" si="10"/>
        <v>0</v>
      </c>
      <c r="AO63" s="263">
        <f t="shared" si="11"/>
        <v>0</v>
      </c>
      <c r="AP63" s="184"/>
      <c r="AQ63" s="263"/>
      <c r="AR63" s="184">
        <f t="shared" si="12"/>
        <v>0</v>
      </c>
      <c r="AS63" s="263">
        <f t="shared" si="13"/>
        <v>0</v>
      </c>
      <c r="AT63" s="36"/>
      <c r="AU63" s="36"/>
      <c r="AV63" s="36"/>
      <c r="AW63" s="36"/>
      <c r="AX63" s="36"/>
      <c r="AY63" s="36"/>
      <c r="AZ63" s="36"/>
    </row>
    <row r="64" spans="2:52" s="454" customFormat="1" ht="38.25" x14ac:dyDescent="0.2">
      <c r="C64" s="477" t="s">
        <v>1077</v>
      </c>
      <c r="D64" s="311"/>
      <c r="E64" s="202"/>
      <c r="F64" s="203"/>
      <c r="G64" s="802"/>
      <c r="H64" s="211"/>
      <c r="I64" s="802"/>
      <c r="J64" s="803"/>
      <c r="K64" s="211"/>
      <c r="L64" s="803"/>
      <c r="M64" s="211"/>
      <c r="N64" s="212"/>
      <c r="O64" s="211"/>
      <c r="P64" s="211"/>
      <c r="Q64" s="802"/>
      <c r="R64" s="803"/>
      <c r="S64" s="211"/>
      <c r="T64" s="212"/>
      <c r="U64" s="184">
        <f t="shared" si="14"/>
        <v>0</v>
      </c>
      <c r="V64" s="184">
        <f t="shared" si="15"/>
        <v>0</v>
      </c>
      <c r="W64" s="262">
        <f t="shared" si="16"/>
        <v>0</v>
      </c>
      <c r="X64" s="263">
        <f t="shared" si="17"/>
        <v>0</v>
      </c>
      <c r="Y64" s="292">
        <f>IF('J. GASB 68 TSERS'!K33&gt;0,'J. GASB 68 TSERS'!C65*'J. GASB 68 TSERS'!K33,0)</f>
        <v>0</v>
      </c>
      <c r="Z64" s="293"/>
      <c r="AA64" s="261"/>
      <c r="AB64" s="134"/>
      <c r="AC64" s="274" t="s">
        <v>1080</v>
      </c>
      <c r="AD64" s="45">
        <f>'J. GASB 68 TSERS'!C111</f>
        <v>0</v>
      </c>
      <c r="AE64" s="45"/>
      <c r="AF64" s="274" t="s">
        <v>1080</v>
      </c>
      <c r="AG64" s="45">
        <f>'J. GASB 68 TSERS'!D111</f>
        <v>0</v>
      </c>
      <c r="AH64" s="256"/>
      <c r="AI64" s="45"/>
      <c r="AJ64" s="257"/>
      <c r="AK64" s="134"/>
      <c r="AL64" s="211"/>
      <c r="AM64" s="211"/>
      <c r="AN64" s="262">
        <f t="shared" si="10"/>
        <v>0</v>
      </c>
      <c r="AO64" s="263">
        <f t="shared" si="11"/>
        <v>0</v>
      </c>
      <c r="AP64" s="184"/>
      <c r="AQ64" s="263"/>
      <c r="AR64" s="184">
        <f t="shared" si="12"/>
        <v>0</v>
      </c>
      <c r="AS64" s="263">
        <f t="shared" si="13"/>
        <v>0</v>
      </c>
      <c r="AT64" s="36"/>
      <c r="AU64" s="36"/>
      <c r="AV64" s="36"/>
      <c r="AW64" s="36"/>
      <c r="AX64" s="36"/>
      <c r="AY64" s="36"/>
      <c r="AZ64" s="36"/>
    </row>
    <row r="65" spans="1:52" s="613" customFormat="1" ht="25.5" x14ac:dyDescent="0.2">
      <c r="C65" s="614" t="s">
        <v>1525</v>
      </c>
      <c r="D65" s="311"/>
      <c r="E65" s="202"/>
      <c r="F65" s="203"/>
      <c r="G65" s="802"/>
      <c r="H65" s="211"/>
      <c r="I65" s="802"/>
      <c r="J65" s="803"/>
      <c r="K65" s="211"/>
      <c r="L65" s="803"/>
      <c r="M65" s="211"/>
      <c r="N65" s="212"/>
      <c r="O65" s="211"/>
      <c r="P65" s="211"/>
      <c r="Q65" s="802"/>
      <c r="R65" s="803"/>
      <c r="S65" s="211"/>
      <c r="T65" s="212"/>
      <c r="U65" s="184"/>
      <c r="V65" s="184"/>
      <c r="W65" s="262"/>
      <c r="X65" s="263"/>
      <c r="Y65" s="294"/>
      <c r="Z65" s="295"/>
      <c r="AA65" s="261"/>
      <c r="AB65" s="45"/>
      <c r="AC65" s="761" t="s">
        <v>1642</v>
      </c>
      <c r="AD65" s="45">
        <f>'K. GASB 75 RHBF'!C119+'L. GASB 75 DIPNC'!C119</f>
        <v>0</v>
      </c>
      <c r="AE65" s="45"/>
      <c r="AF65" s="850" t="s">
        <v>1642</v>
      </c>
      <c r="AG65" s="45"/>
      <c r="AH65" s="256"/>
      <c r="AI65" s="45"/>
      <c r="AJ65" s="257"/>
      <c r="AK65" s="134"/>
      <c r="AL65" s="211"/>
      <c r="AM65" s="211"/>
      <c r="AN65" s="262">
        <f t="shared" si="10"/>
        <v>0</v>
      </c>
      <c r="AO65" s="263">
        <f t="shared" si="11"/>
        <v>0</v>
      </c>
      <c r="AP65" s="184"/>
      <c r="AQ65" s="263"/>
      <c r="AR65" s="184">
        <f t="shared" si="12"/>
        <v>0</v>
      </c>
      <c r="AS65" s="263">
        <f>IF(AN65-AO65&gt;0, " ",AO65-AN65)</f>
        <v>0</v>
      </c>
      <c r="AT65" s="36"/>
      <c r="AU65" s="36"/>
      <c r="AV65" s="36"/>
      <c r="AW65" s="36"/>
      <c r="AX65" s="36"/>
      <c r="AY65" s="36"/>
      <c r="AZ65" s="36"/>
    </row>
    <row r="66" spans="1:52" s="613" customFormat="1" ht="51" x14ac:dyDescent="0.2">
      <c r="C66" s="614" t="s">
        <v>1520</v>
      </c>
      <c r="D66" s="311"/>
      <c r="E66" s="202"/>
      <c r="F66" s="203"/>
      <c r="G66" s="802"/>
      <c r="H66" s="211"/>
      <c r="I66" s="802"/>
      <c r="J66" s="803"/>
      <c r="K66" s="211"/>
      <c r="L66" s="803"/>
      <c r="M66" s="211"/>
      <c r="N66" s="212"/>
      <c r="O66" s="211"/>
      <c r="P66" s="211"/>
      <c r="Q66" s="802"/>
      <c r="R66" s="803"/>
      <c r="S66" s="211"/>
      <c r="T66" s="212"/>
      <c r="U66" s="184"/>
      <c r="V66" s="184"/>
      <c r="W66" s="262"/>
      <c r="X66" s="263"/>
      <c r="Y66" s="294"/>
      <c r="Z66" s="295"/>
      <c r="AA66" s="261"/>
      <c r="AB66" s="45"/>
      <c r="AC66" s="761" t="s">
        <v>1642</v>
      </c>
      <c r="AD66" s="45">
        <f>'L. GASB 75 DIPNC'!C114+'K. GASB 75 RHBF'!C114</f>
        <v>0</v>
      </c>
      <c r="AE66" s="45"/>
      <c r="AF66" s="850" t="s">
        <v>1642</v>
      </c>
      <c r="AG66" s="44">
        <f>'L. GASB 75 DIPNC'!D114+'K. GASB 75 RHBF'!D114</f>
        <v>0</v>
      </c>
      <c r="AH66" s="256"/>
      <c r="AI66" s="45"/>
      <c r="AJ66" s="257"/>
      <c r="AK66" s="134"/>
      <c r="AL66" s="211"/>
      <c r="AM66" s="211"/>
      <c r="AN66" s="262">
        <f t="shared" si="10"/>
        <v>0</v>
      </c>
      <c r="AO66" s="263">
        <f t="shared" si="11"/>
        <v>0</v>
      </c>
      <c r="AP66" s="184"/>
      <c r="AQ66" s="263"/>
      <c r="AR66" s="184">
        <f t="shared" si="12"/>
        <v>0</v>
      </c>
      <c r="AS66" s="263">
        <f t="shared" si="13"/>
        <v>0</v>
      </c>
      <c r="AT66" s="36"/>
      <c r="AU66" s="36"/>
      <c r="AV66" s="36"/>
      <c r="AW66" s="36"/>
      <c r="AX66" s="36"/>
      <c r="AY66" s="36"/>
      <c r="AZ66" s="36"/>
    </row>
    <row r="67" spans="1:52" s="613" customFormat="1" ht="25.5" x14ac:dyDescent="0.2">
      <c r="C67" s="614" t="s">
        <v>1521</v>
      </c>
      <c r="D67" s="311"/>
      <c r="E67" s="202"/>
      <c r="F67" s="203"/>
      <c r="G67" s="802"/>
      <c r="H67" s="211"/>
      <c r="I67" s="802"/>
      <c r="J67" s="803"/>
      <c r="K67" s="211"/>
      <c r="L67" s="803"/>
      <c r="M67" s="211"/>
      <c r="N67" s="212"/>
      <c r="O67" s="211"/>
      <c r="P67" s="211"/>
      <c r="Q67" s="802"/>
      <c r="R67" s="803"/>
      <c r="S67" s="211"/>
      <c r="T67" s="212"/>
      <c r="U67" s="184"/>
      <c r="V67" s="184"/>
      <c r="W67" s="262"/>
      <c r="X67" s="263"/>
      <c r="Y67" s="294"/>
      <c r="Z67" s="295"/>
      <c r="AA67" s="261"/>
      <c r="AB67" s="45"/>
      <c r="AC67" s="761" t="s">
        <v>1642</v>
      </c>
      <c r="AD67" s="44">
        <f>'K. GASB 75 RHBF'!C111+'L. GASB 75 DIPNC'!C111</f>
        <v>0</v>
      </c>
      <c r="AE67" s="45"/>
      <c r="AF67" s="850" t="s">
        <v>1642</v>
      </c>
      <c r="AG67" s="44">
        <f>'K. GASB 75 RHBF'!D111+'L. GASB 75 DIPNC'!D111</f>
        <v>0</v>
      </c>
      <c r="AH67" s="256"/>
      <c r="AI67" s="45"/>
      <c r="AJ67" s="257"/>
      <c r="AK67" s="134"/>
      <c r="AL67" s="211"/>
      <c r="AM67" s="211"/>
      <c r="AN67" s="262">
        <f>W67+Y67+AA67+AD67+AI67+AL67</f>
        <v>0</v>
      </c>
      <c r="AO67" s="263">
        <f t="shared" si="11"/>
        <v>0</v>
      </c>
      <c r="AP67" s="184"/>
      <c r="AQ67" s="263"/>
      <c r="AR67" s="184">
        <f t="shared" si="12"/>
        <v>0</v>
      </c>
      <c r="AS67" s="263">
        <f t="shared" si="13"/>
        <v>0</v>
      </c>
      <c r="AT67" s="36"/>
      <c r="AU67" s="36"/>
      <c r="AV67" s="36"/>
      <c r="AW67" s="36"/>
      <c r="AX67" s="36"/>
      <c r="AY67" s="36"/>
      <c r="AZ67" s="36"/>
    </row>
    <row r="68" spans="1:52" s="613" customFormat="1" x14ac:dyDescent="0.2">
      <c r="C68" s="447" t="s">
        <v>1522</v>
      </c>
      <c r="D68" s="311"/>
      <c r="E68" s="202"/>
      <c r="F68" s="203"/>
      <c r="G68" s="802"/>
      <c r="H68" s="211"/>
      <c r="I68" s="802"/>
      <c r="J68" s="803"/>
      <c r="K68" s="211"/>
      <c r="L68" s="803"/>
      <c r="M68" s="211"/>
      <c r="N68" s="212"/>
      <c r="O68" s="211"/>
      <c r="P68" s="211"/>
      <c r="Q68" s="802"/>
      <c r="R68" s="803"/>
      <c r="S68" s="211"/>
      <c r="T68" s="212"/>
      <c r="U68" s="184"/>
      <c r="V68" s="184"/>
      <c r="W68" s="262"/>
      <c r="X68" s="263"/>
      <c r="Y68" s="294"/>
      <c r="Z68" s="295"/>
      <c r="AA68" s="261"/>
      <c r="AB68" s="45"/>
      <c r="AC68" s="761" t="s">
        <v>1642</v>
      </c>
      <c r="AD68" s="44">
        <f>'K. GASB 75 RHBF'!C113+'L. GASB 75 DIPNC'!C113</f>
        <v>0</v>
      </c>
      <c r="AE68" s="45"/>
      <c r="AF68" s="850" t="s">
        <v>1642</v>
      </c>
      <c r="AG68" s="44">
        <f>'K. GASB 75 RHBF'!D113+'L. GASB 75 DIPNC'!D113</f>
        <v>0</v>
      </c>
      <c r="AH68" s="256"/>
      <c r="AI68" s="45"/>
      <c r="AJ68" s="257"/>
      <c r="AK68" s="134"/>
      <c r="AL68" s="211"/>
      <c r="AM68" s="211"/>
      <c r="AN68" s="262">
        <f t="shared" si="10"/>
        <v>0</v>
      </c>
      <c r="AO68" s="263">
        <f t="shared" si="11"/>
        <v>0</v>
      </c>
      <c r="AP68" s="184"/>
      <c r="AQ68" s="263"/>
      <c r="AR68" s="184">
        <f t="shared" si="12"/>
        <v>0</v>
      </c>
      <c r="AS68" s="263">
        <f t="shared" si="13"/>
        <v>0</v>
      </c>
      <c r="AT68" s="36"/>
      <c r="AU68" s="36"/>
      <c r="AV68" s="36"/>
      <c r="AW68" s="36"/>
      <c r="AX68" s="36"/>
      <c r="AY68" s="36"/>
      <c r="AZ68" s="36"/>
    </row>
    <row r="69" spans="1:52" s="613" customFormat="1" ht="38.25" x14ac:dyDescent="0.2">
      <c r="C69" s="614" t="s">
        <v>1523</v>
      </c>
      <c r="D69" s="311"/>
      <c r="E69" s="202"/>
      <c r="F69" s="203"/>
      <c r="G69" s="802"/>
      <c r="H69" s="211"/>
      <c r="I69" s="802"/>
      <c r="J69" s="803"/>
      <c r="K69" s="211"/>
      <c r="L69" s="803"/>
      <c r="M69" s="211"/>
      <c r="N69" s="212"/>
      <c r="O69" s="211"/>
      <c r="P69" s="211"/>
      <c r="Q69" s="802"/>
      <c r="R69" s="803"/>
      <c r="S69" s="211"/>
      <c r="T69" s="212"/>
      <c r="U69" s="184"/>
      <c r="V69" s="184"/>
      <c r="W69" s="262"/>
      <c r="X69" s="263"/>
      <c r="Y69" s="294"/>
      <c r="Z69" s="295"/>
      <c r="AA69" s="261"/>
      <c r="AB69" s="45"/>
      <c r="AC69" s="761" t="s">
        <v>1642</v>
      </c>
      <c r="AD69" s="45">
        <f>'K. GASB 75 RHBF'!C112+'L. GASB 75 DIPNC'!C112</f>
        <v>0</v>
      </c>
      <c r="AE69" s="45"/>
      <c r="AF69" s="850" t="s">
        <v>1642</v>
      </c>
      <c r="AG69" s="44">
        <f>'K. GASB 75 RHBF'!D112+'L. GASB 75 DIPNC'!D112</f>
        <v>0</v>
      </c>
      <c r="AH69" s="256"/>
      <c r="AI69" s="45"/>
      <c r="AJ69" s="257"/>
      <c r="AK69" s="134"/>
      <c r="AL69" s="211"/>
      <c r="AM69" s="211"/>
      <c r="AN69" s="262">
        <f t="shared" si="10"/>
        <v>0</v>
      </c>
      <c r="AO69" s="263">
        <f t="shared" si="11"/>
        <v>0</v>
      </c>
      <c r="AP69" s="184"/>
      <c r="AQ69" s="263"/>
      <c r="AR69" s="184">
        <f t="shared" si="12"/>
        <v>0</v>
      </c>
      <c r="AS69" s="263">
        <f t="shared" si="13"/>
        <v>0</v>
      </c>
      <c r="AT69" s="36"/>
      <c r="AU69" s="36"/>
      <c r="AV69" s="36"/>
      <c r="AW69" s="36"/>
      <c r="AX69" s="36"/>
      <c r="AY69" s="36"/>
      <c r="AZ69" s="36"/>
    </row>
    <row r="70" spans="1:52" ht="13.5" customHeight="1" x14ac:dyDescent="0.2">
      <c r="C70" s="311"/>
      <c r="D70" s="311"/>
      <c r="E70" s="202"/>
      <c r="F70" s="203"/>
      <c r="G70" s="802"/>
      <c r="H70" s="211"/>
      <c r="I70" s="802"/>
      <c r="J70" s="803"/>
      <c r="K70" s="211"/>
      <c r="L70" s="803"/>
      <c r="M70" s="211"/>
      <c r="N70" s="212"/>
      <c r="O70" s="211"/>
      <c r="P70" s="211"/>
      <c r="Q70" s="802"/>
      <c r="R70" s="803"/>
      <c r="S70" s="211"/>
      <c r="T70" s="212"/>
      <c r="U70" s="184">
        <f t="shared" si="14"/>
        <v>0</v>
      </c>
      <c r="V70" s="184">
        <f t="shared" si="15"/>
        <v>0</v>
      </c>
      <c r="W70" s="262">
        <f t="shared" si="16"/>
        <v>0</v>
      </c>
      <c r="X70" s="263">
        <f t="shared" si="17"/>
        <v>0</v>
      </c>
      <c r="Y70" s="292"/>
      <c r="Z70" s="293"/>
      <c r="AA70" s="261"/>
      <c r="AB70" s="134"/>
      <c r="AC70" s="257"/>
      <c r="AD70" s="45"/>
      <c r="AE70" s="45"/>
      <c r="AF70" s="257"/>
      <c r="AG70" s="45"/>
      <c r="AH70" s="256"/>
      <c r="AI70" s="45"/>
      <c r="AJ70" s="257"/>
      <c r="AK70" s="134"/>
      <c r="AL70" s="211"/>
      <c r="AM70" s="211"/>
      <c r="AN70" s="262"/>
      <c r="AO70" s="263"/>
      <c r="AP70" s="184"/>
      <c r="AQ70" s="263"/>
      <c r="AR70" s="184"/>
      <c r="AS70" s="263"/>
      <c r="AT70" s="36"/>
      <c r="AU70" s="36"/>
      <c r="AV70" s="36"/>
      <c r="AW70" s="36"/>
      <c r="AX70" s="36"/>
      <c r="AY70" s="36"/>
      <c r="AZ70" s="36"/>
    </row>
    <row r="71" spans="1:52" ht="12.75" customHeight="1" x14ac:dyDescent="0.2">
      <c r="B71" s="4" t="s">
        <v>189</v>
      </c>
      <c r="C71" s="311"/>
      <c r="D71" s="311"/>
      <c r="E71" s="202"/>
      <c r="F71" s="203"/>
      <c r="G71" s="802"/>
      <c r="H71" s="211"/>
      <c r="I71" s="802"/>
      <c r="J71" s="803"/>
      <c r="K71" s="211"/>
      <c r="L71" s="803"/>
      <c r="M71" s="211"/>
      <c r="N71" s="212"/>
      <c r="O71" s="211"/>
      <c r="P71" s="211"/>
      <c r="Q71" s="802"/>
      <c r="R71" s="803"/>
      <c r="S71" s="211"/>
      <c r="T71" s="212"/>
      <c r="U71" s="184">
        <f t="shared" si="14"/>
        <v>0</v>
      </c>
      <c r="V71" s="184">
        <f t="shared" si="15"/>
        <v>0</v>
      </c>
      <c r="W71" s="262">
        <f t="shared" si="16"/>
        <v>0</v>
      </c>
      <c r="X71" s="263">
        <f t="shared" si="17"/>
        <v>0</v>
      </c>
      <c r="Y71" s="292"/>
      <c r="Z71" s="293"/>
      <c r="AA71" s="261"/>
      <c r="AB71" s="134"/>
      <c r="AC71" s="257"/>
      <c r="AD71" s="45"/>
      <c r="AE71" s="45"/>
      <c r="AF71" s="257"/>
      <c r="AG71" s="45"/>
      <c r="AH71" s="256"/>
      <c r="AI71" s="45"/>
      <c r="AJ71" s="257"/>
      <c r="AK71" s="134"/>
      <c r="AL71" s="211"/>
      <c r="AM71" s="211"/>
      <c r="AN71" s="262"/>
      <c r="AO71" s="263"/>
      <c r="AP71" s="184"/>
      <c r="AQ71" s="263"/>
      <c r="AR71" s="184"/>
      <c r="AS71" s="263"/>
      <c r="AT71" s="36"/>
      <c r="AU71" s="36"/>
      <c r="AV71" s="36"/>
      <c r="AW71" s="36"/>
      <c r="AX71" s="36"/>
      <c r="AY71" s="36"/>
      <c r="AZ71" s="36"/>
    </row>
    <row r="72" spans="1:52" x14ac:dyDescent="0.2">
      <c r="C72" s="303" t="s">
        <v>407</v>
      </c>
      <c r="D72" s="303"/>
      <c r="E72" s="202"/>
      <c r="F72" s="203">
        <v>4500</v>
      </c>
      <c r="G72" s="802"/>
      <c r="H72" s="211"/>
      <c r="I72" s="802"/>
      <c r="J72" s="803"/>
      <c r="K72" s="211"/>
      <c r="L72" s="803"/>
      <c r="M72" s="211"/>
      <c r="N72" s="212"/>
      <c r="O72" s="211"/>
      <c r="P72" s="211"/>
      <c r="Q72" s="802"/>
      <c r="R72" s="803"/>
      <c r="S72" s="211"/>
      <c r="T72" s="212"/>
      <c r="U72" s="184">
        <f t="shared" si="0"/>
        <v>0</v>
      </c>
      <c r="V72" s="184">
        <f t="shared" si="1"/>
        <v>0</v>
      </c>
      <c r="W72" s="262">
        <f>E72+G72+I72+K72+M72+U72</f>
        <v>0</v>
      </c>
      <c r="X72" s="263">
        <f>F72+H72+J72+L72+N72+V72</f>
        <v>4500</v>
      </c>
      <c r="Y72" s="292"/>
      <c r="Z72" s="293"/>
      <c r="AA72" s="261"/>
      <c r="AB72" s="134"/>
      <c r="AC72" s="257"/>
      <c r="AD72" s="45"/>
      <c r="AE72" s="45"/>
      <c r="AF72" s="257"/>
      <c r="AG72" s="45"/>
      <c r="AH72" s="256"/>
      <c r="AI72" s="45"/>
      <c r="AJ72" s="257"/>
      <c r="AK72" s="134"/>
      <c r="AL72" s="211"/>
      <c r="AM72" s="211"/>
      <c r="AN72" s="262">
        <f t="shared" ref="AN72:AN101" si="18">W72+Y72+AA72+AD72+AI72+AL72</f>
        <v>0</v>
      </c>
      <c r="AO72" s="263">
        <f t="shared" ref="AO72:AO125" si="19">X72+Z72+AB72+AG72+AK72+AM72</f>
        <v>4500</v>
      </c>
      <c r="AP72" s="184"/>
      <c r="AQ72" s="263"/>
      <c r="AR72" s="184" t="str">
        <f>IF(AN72-AO72&lt;0, " ",AN72-AO72)</f>
        <v xml:space="preserve"> </v>
      </c>
      <c r="AS72" s="263">
        <f>IF(AN72-AO72&gt;0, " ",AO72-AN72)</f>
        <v>4500</v>
      </c>
      <c r="AT72" s="36"/>
      <c r="AU72" s="36"/>
      <c r="AV72" s="36"/>
      <c r="AW72" s="36"/>
      <c r="AX72" s="36"/>
      <c r="AY72" s="36"/>
      <c r="AZ72" s="36"/>
    </row>
    <row r="73" spans="1:52" x14ac:dyDescent="0.2">
      <c r="C73" s="324" t="s">
        <v>408</v>
      </c>
      <c r="D73" s="324"/>
      <c r="E73" s="202"/>
      <c r="F73" s="203">
        <v>2232</v>
      </c>
      <c r="G73" s="802"/>
      <c r="H73" s="211">
        <v>84724</v>
      </c>
      <c r="I73" s="802"/>
      <c r="J73" s="803"/>
      <c r="K73" s="211"/>
      <c r="L73" s="803"/>
      <c r="M73" s="211"/>
      <c r="N73" s="212"/>
      <c r="O73" s="211"/>
      <c r="P73" s="211">
        <v>3696</v>
      </c>
      <c r="Q73" s="802"/>
      <c r="R73" s="803"/>
      <c r="S73" s="211"/>
      <c r="T73" s="212"/>
      <c r="U73" s="184">
        <f t="shared" si="0"/>
        <v>0</v>
      </c>
      <c r="V73" s="184">
        <f t="shared" si="1"/>
        <v>3696</v>
      </c>
      <c r="W73" s="262">
        <f>E73+G73+I73+K73+M73+U73</f>
        <v>0</v>
      </c>
      <c r="X73" s="263">
        <f>F73+H73+J73+L73+N73+V73</f>
        <v>90652</v>
      </c>
      <c r="Y73" s="293"/>
      <c r="Z73" s="293"/>
      <c r="AA73" s="261"/>
      <c r="AB73" s="134"/>
      <c r="AC73" s="257"/>
      <c r="AD73" s="45"/>
      <c r="AE73" s="45"/>
      <c r="AF73" s="257"/>
      <c r="AG73" s="45"/>
      <c r="AH73" s="256"/>
      <c r="AI73" s="45"/>
      <c r="AJ73" s="257"/>
      <c r="AK73" s="134"/>
      <c r="AL73" s="211"/>
      <c r="AM73" s="211"/>
      <c r="AN73" s="262">
        <f t="shared" si="18"/>
        <v>0</v>
      </c>
      <c r="AO73" s="263">
        <f t="shared" si="19"/>
        <v>90652</v>
      </c>
      <c r="AP73" s="184"/>
      <c r="AQ73" s="263"/>
      <c r="AR73" s="184" t="str">
        <f>IF(AN73-AO73&lt;0, " ",AN73-AO73)</f>
        <v xml:space="preserve"> </v>
      </c>
      <c r="AS73" s="263">
        <f>IF(AN73-AO73&gt;0, " ",AO73-AN73)</f>
        <v>90652</v>
      </c>
      <c r="AT73" s="36"/>
      <c r="AU73" s="36"/>
      <c r="AV73" s="36"/>
      <c r="AW73" s="36"/>
      <c r="AX73" s="36"/>
      <c r="AY73" s="36"/>
      <c r="AZ73" s="36"/>
    </row>
    <row r="74" spans="1:52" x14ac:dyDescent="0.2">
      <c r="A74" s="12"/>
      <c r="B74" s="12"/>
      <c r="C74" s="330" t="s">
        <v>358</v>
      </c>
      <c r="D74" s="330"/>
      <c r="E74" s="206"/>
      <c r="F74" s="207">
        <v>9000</v>
      </c>
      <c r="G74" s="806"/>
      <c r="H74" s="215"/>
      <c r="I74" s="806"/>
      <c r="J74" s="807"/>
      <c r="K74" s="215"/>
      <c r="L74" s="807"/>
      <c r="M74" s="215"/>
      <c r="N74" s="216"/>
      <c r="O74" s="215"/>
      <c r="P74" s="215"/>
      <c r="Q74" s="806"/>
      <c r="R74" s="807"/>
      <c r="S74" s="215"/>
      <c r="T74" s="216"/>
      <c r="U74" s="184">
        <f t="shared" si="0"/>
        <v>0</v>
      </c>
      <c r="V74" s="184">
        <f t="shared" si="1"/>
        <v>0</v>
      </c>
      <c r="W74" s="262">
        <f t="shared" si="5"/>
        <v>0</v>
      </c>
      <c r="X74" s="263">
        <f t="shared" si="6"/>
        <v>9000</v>
      </c>
      <c r="Y74" s="297"/>
      <c r="Z74" s="297"/>
      <c r="AA74" s="268"/>
      <c r="AB74" s="178"/>
      <c r="AC74" s="269"/>
      <c r="AD74" s="177"/>
      <c r="AE74" s="177"/>
      <c r="AF74" s="269"/>
      <c r="AG74" s="177"/>
      <c r="AH74" s="270" t="str">
        <f>'I. Eliminations-Consolidations'!A213</f>
        <v>I.2</v>
      </c>
      <c r="AI74" s="177">
        <f>'I. Eliminations-Consolidations'!J213</f>
        <v>9000</v>
      </c>
      <c r="AJ74" s="269"/>
      <c r="AK74" s="178"/>
      <c r="AL74" s="215"/>
      <c r="AM74" s="215"/>
      <c r="AN74" s="262">
        <f t="shared" si="18"/>
        <v>9000</v>
      </c>
      <c r="AO74" s="263">
        <f t="shared" si="19"/>
        <v>9000</v>
      </c>
      <c r="AP74" s="184"/>
      <c r="AQ74" s="263"/>
      <c r="AR74" s="184" t="str">
        <f>IF(AN74+AN75+AN76-AO74-AO75-AO76&lt;=0, " ",AN74+AN75+AN76-AO74-AO75-AO76)</f>
        <v xml:space="preserve"> </v>
      </c>
      <c r="AS74" s="263">
        <f>IF(AN74+AN75+AN76-AO74-AO75-AO76&gt;0, " ",AO74+AO75+AO76-AN74-AN75-AN76)</f>
        <v>0</v>
      </c>
      <c r="AT74" s="36"/>
      <c r="AU74" s="36"/>
      <c r="AV74" s="36"/>
      <c r="AW74" s="36"/>
      <c r="AX74" s="36"/>
      <c r="AY74" s="36"/>
      <c r="AZ74" s="36"/>
    </row>
    <row r="75" spans="1:52" x14ac:dyDescent="0.2">
      <c r="A75" s="12"/>
      <c r="B75" s="12"/>
      <c r="C75" s="330"/>
      <c r="D75" s="330"/>
      <c r="E75" s="206"/>
      <c r="F75" s="207"/>
      <c r="G75" s="806"/>
      <c r="H75" s="215"/>
      <c r="I75" s="806"/>
      <c r="J75" s="807"/>
      <c r="K75" s="215"/>
      <c r="L75" s="807"/>
      <c r="M75" s="215"/>
      <c r="N75" s="216"/>
      <c r="O75" s="215"/>
      <c r="P75" s="215"/>
      <c r="Q75" s="806"/>
      <c r="R75" s="807"/>
      <c r="S75" s="215"/>
      <c r="T75" s="216"/>
      <c r="U75" s="184">
        <f t="shared" si="0"/>
        <v>0</v>
      </c>
      <c r="V75" s="184">
        <f t="shared" si="1"/>
        <v>0</v>
      </c>
      <c r="W75" s="262">
        <f t="shared" si="5"/>
        <v>0</v>
      </c>
      <c r="X75" s="263">
        <f t="shared" si="6"/>
        <v>0</v>
      </c>
      <c r="Y75" s="297"/>
      <c r="Z75" s="297"/>
      <c r="AA75" s="268"/>
      <c r="AB75" s="178"/>
      <c r="AC75" s="269"/>
      <c r="AD75" s="177"/>
      <c r="AE75" s="177"/>
      <c r="AF75" s="269"/>
      <c r="AG75" s="177"/>
      <c r="AH75" s="270" t="str">
        <f>'I. Eliminations-Consolidations'!A218</f>
        <v>I.3</v>
      </c>
      <c r="AI75" s="177">
        <f>'I. Eliminations-Consolidations'!J219</f>
        <v>0</v>
      </c>
      <c r="AJ75" s="269"/>
      <c r="AK75" s="178"/>
      <c r="AL75" s="215"/>
      <c r="AM75" s="215"/>
      <c r="AN75" s="262">
        <f t="shared" si="18"/>
        <v>0</v>
      </c>
      <c r="AO75" s="263">
        <f t="shared" si="19"/>
        <v>0</v>
      </c>
      <c r="AP75" s="184"/>
      <c r="AQ75" s="263"/>
      <c r="AR75" s="184"/>
      <c r="AS75" s="263"/>
      <c r="AT75" s="36"/>
      <c r="AU75" s="36"/>
      <c r="AV75" s="36"/>
      <c r="AW75" s="36"/>
      <c r="AX75" s="36"/>
      <c r="AY75" s="36"/>
      <c r="AZ75" s="36"/>
    </row>
    <row r="76" spans="1:52" x14ac:dyDescent="0.2">
      <c r="A76" s="12"/>
      <c r="B76" s="12"/>
      <c r="C76" s="330"/>
      <c r="D76" s="330"/>
      <c r="E76" s="206"/>
      <c r="F76" s="207"/>
      <c r="G76" s="806"/>
      <c r="H76" s="215"/>
      <c r="I76" s="806"/>
      <c r="J76" s="807"/>
      <c r="K76" s="215"/>
      <c r="L76" s="807"/>
      <c r="M76" s="215"/>
      <c r="N76" s="216"/>
      <c r="O76" s="215"/>
      <c r="P76" s="215"/>
      <c r="Q76" s="806"/>
      <c r="R76" s="807"/>
      <c r="S76" s="215"/>
      <c r="T76" s="216"/>
      <c r="U76" s="184">
        <f t="shared" si="0"/>
        <v>0</v>
      </c>
      <c r="V76" s="184">
        <f t="shared" si="1"/>
        <v>0</v>
      </c>
      <c r="W76" s="262">
        <f t="shared" si="5"/>
        <v>0</v>
      </c>
      <c r="X76" s="263">
        <f t="shared" si="6"/>
        <v>0</v>
      </c>
      <c r="Y76" s="297"/>
      <c r="Z76" s="297"/>
      <c r="AA76" s="268"/>
      <c r="AB76" s="178"/>
      <c r="AC76" s="269"/>
      <c r="AD76" s="177"/>
      <c r="AE76" s="177"/>
      <c r="AF76" s="269"/>
      <c r="AG76" s="177"/>
      <c r="AH76" s="270" t="str">
        <f>'I. Eliminations-Consolidations'!A224</f>
        <v>I.4</v>
      </c>
      <c r="AI76" s="177">
        <f>'I. Eliminations-Consolidations'!J226</f>
        <v>0</v>
      </c>
      <c r="AJ76" s="269"/>
      <c r="AK76" s="178"/>
      <c r="AL76" s="215"/>
      <c r="AM76" s="215"/>
      <c r="AN76" s="262">
        <f t="shared" si="18"/>
        <v>0</v>
      </c>
      <c r="AO76" s="263">
        <f t="shared" si="19"/>
        <v>0</v>
      </c>
      <c r="AP76" s="184"/>
      <c r="AQ76" s="263"/>
      <c r="AR76" s="184"/>
      <c r="AS76" s="263"/>
      <c r="AT76" s="36"/>
      <c r="AU76" s="36"/>
      <c r="AV76" s="36"/>
      <c r="AW76" s="36"/>
      <c r="AX76" s="36"/>
      <c r="AY76" s="36"/>
      <c r="AZ76" s="36"/>
    </row>
    <row r="77" spans="1:52" x14ac:dyDescent="0.2">
      <c r="A77" s="12"/>
      <c r="B77" s="12"/>
      <c r="C77" s="327" t="s">
        <v>431</v>
      </c>
      <c r="D77" s="327"/>
      <c r="E77" s="202"/>
      <c r="F77" s="203"/>
      <c r="G77" s="802"/>
      <c r="H77" s="211"/>
      <c r="I77" s="802"/>
      <c r="J77" s="803"/>
      <c r="K77" s="211"/>
      <c r="L77" s="803"/>
      <c r="M77" s="211"/>
      <c r="N77" s="212"/>
      <c r="O77" s="211"/>
      <c r="P77" s="211"/>
      <c r="Q77" s="802"/>
      <c r="R77" s="803"/>
      <c r="S77" s="211"/>
      <c r="T77" s="212"/>
      <c r="U77" s="184">
        <f t="shared" si="0"/>
        <v>0</v>
      </c>
      <c r="V77" s="184">
        <f t="shared" si="1"/>
        <v>0</v>
      </c>
      <c r="W77" s="262">
        <f t="shared" si="5"/>
        <v>0</v>
      </c>
      <c r="X77" s="263">
        <f t="shared" si="6"/>
        <v>0</v>
      </c>
      <c r="Y77" s="293"/>
      <c r="Z77" s="293"/>
      <c r="AA77" s="261"/>
      <c r="AB77" s="134"/>
      <c r="AC77" s="257"/>
      <c r="AD77" s="45"/>
      <c r="AE77" s="45"/>
      <c r="AF77" s="257"/>
      <c r="AG77" s="45"/>
      <c r="AH77" s="256"/>
      <c r="AI77" s="45"/>
      <c r="AJ77" s="257" t="str">
        <f>'I. Eliminations-Consolidations'!A224</f>
        <v>I.4</v>
      </c>
      <c r="AK77" s="134">
        <f>'I. Eliminations-Consolidations'!L227</f>
        <v>0</v>
      </c>
      <c r="AL77" s="211"/>
      <c r="AM77" s="211"/>
      <c r="AN77" s="262">
        <f t="shared" si="18"/>
        <v>0</v>
      </c>
      <c r="AO77" s="263">
        <f t="shared" si="19"/>
        <v>0</v>
      </c>
      <c r="AP77" s="184"/>
      <c r="AQ77" s="263"/>
      <c r="AR77" s="184">
        <f>IF(AN77-AO77&lt;0, " ",AN77-AO77)</f>
        <v>0</v>
      </c>
      <c r="AS77" s="263">
        <f>IF(AN77-AO77&gt;0, " ",AO77-AN77)</f>
        <v>0</v>
      </c>
      <c r="AT77" s="36"/>
      <c r="AU77" s="36"/>
      <c r="AV77" s="36"/>
      <c r="AW77" s="36"/>
      <c r="AX77" s="36"/>
      <c r="AY77" s="36"/>
      <c r="AZ77" s="36"/>
    </row>
    <row r="78" spans="1:52" x14ac:dyDescent="0.2">
      <c r="A78" s="12"/>
      <c r="B78" s="12"/>
      <c r="C78" s="327" t="s">
        <v>752</v>
      </c>
      <c r="D78" s="327"/>
      <c r="E78" s="202"/>
      <c r="F78" s="203"/>
      <c r="G78" s="802"/>
      <c r="H78" s="211"/>
      <c r="I78" s="802"/>
      <c r="J78" s="803"/>
      <c r="K78" s="211"/>
      <c r="L78" s="803"/>
      <c r="M78" s="211"/>
      <c r="N78" s="212"/>
      <c r="O78" s="211"/>
      <c r="P78" s="211"/>
      <c r="Q78" s="802"/>
      <c r="R78" s="803"/>
      <c r="S78" s="211"/>
      <c r="T78" s="212"/>
      <c r="U78" s="184">
        <f>O78+Q78+S78</f>
        <v>0</v>
      </c>
      <c r="V78" s="184">
        <f>P78+R78+T78</f>
        <v>0</v>
      </c>
      <c r="W78" s="262">
        <f>E78+G78+I78+K78+M78+U78</f>
        <v>0</v>
      </c>
      <c r="X78" s="263">
        <f>F78+H78+J78+L78+N78+V78</f>
        <v>0</v>
      </c>
      <c r="Y78" s="293"/>
      <c r="Z78" s="293"/>
      <c r="AA78" s="261"/>
      <c r="AB78" s="134"/>
      <c r="AC78" s="257"/>
      <c r="AD78" s="45"/>
      <c r="AE78" s="45"/>
      <c r="AF78" s="257"/>
      <c r="AG78" s="45"/>
      <c r="AH78" s="256"/>
      <c r="AI78" s="45"/>
      <c r="AJ78" s="257"/>
      <c r="AK78" s="134"/>
      <c r="AL78" s="211"/>
      <c r="AM78" s="211"/>
      <c r="AN78" s="262"/>
      <c r="AO78" s="263"/>
      <c r="AP78" s="184"/>
      <c r="AQ78" s="263"/>
      <c r="AR78" s="184"/>
      <c r="AS78" s="263"/>
      <c r="AT78" s="36"/>
      <c r="AU78" s="36"/>
      <c r="AV78" s="36"/>
      <c r="AW78" s="36"/>
      <c r="AX78" s="36"/>
      <c r="AY78" s="36"/>
      <c r="AZ78" s="36"/>
    </row>
    <row r="79" spans="1:52" x14ac:dyDescent="0.2">
      <c r="C79" s="303" t="s">
        <v>337</v>
      </c>
      <c r="D79" s="303"/>
      <c r="E79" s="202"/>
      <c r="F79" s="203"/>
      <c r="G79" s="802"/>
      <c r="H79" s="211"/>
      <c r="I79" s="802"/>
      <c r="J79" s="803"/>
      <c r="K79" s="211"/>
      <c r="L79" s="803"/>
      <c r="M79" s="211"/>
      <c r="N79" s="212"/>
      <c r="O79" s="211"/>
      <c r="P79" s="211"/>
      <c r="Q79" s="802"/>
      <c r="R79" s="803"/>
      <c r="S79" s="211"/>
      <c r="T79" s="212"/>
      <c r="U79" s="184">
        <f t="shared" si="0"/>
        <v>0</v>
      </c>
      <c r="V79" s="184">
        <f t="shared" si="1"/>
        <v>0</v>
      </c>
      <c r="W79" s="262">
        <f t="shared" si="5"/>
        <v>0</v>
      </c>
      <c r="X79" s="263">
        <f t="shared" si="6"/>
        <v>0</v>
      </c>
      <c r="Y79" s="292"/>
      <c r="Z79" s="293"/>
      <c r="AA79" s="261"/>
      <c r="AB79" s="134"/>
      <c r="AC79" s="266"/>
      <c r="AD79" s="44"/>
      <c r="AE79" s="44"/>
      <c r="AF79" s="266"/>
      <c r="AG79" s="44"/>
      <c r="AH79" s="267"/>
      <c r="AI79" s="45"/>
      <c r="AJ79" s="257"/>
      <c r="AK79" s="134"/>
      <c r="AL79" s="211"/>
      <c r="AM79" s="211"/>
      <c r="AN79" s="262">
        <f t="shared" si="18"/>
        <v>0</v>
      </c>
      <c r="AO79" s="263">
        <f t="shared" si="19"/>
        <v>0</v>
      </c>
      <c r="AP79" s="184"/>
      <c r="AQ79" s="263"/>
      <c r="AR79" s="184">
        <f>IF(AN79-AO79&lt;0, " ",AN79-AO79)</f>
        <v>0</v>
      </c>
      <c r="AS79" s="263">
        <f>IF(AN79-AO79&gt;0, " ",AO79-AN79)</f>
        <v>0</v>
      </c>
      <c r="AT79" s="36"/>
      <c r="AU79" s="36"/>
      <c r="AV79" s="36"/>
      <c r="AW79" s="36"/>
      <c r="AX79" s="36"/>
      <c r="AY79" s="36"/>
      <c r="AZ79" s="36"/>
    </row>
    <row r="80" spans="1:52" x14ac:dyDescent="0.2">
      <c r="C80" s="328" t="s">
        <v>642</v>
      </c>
      <c r="D80" s="328"/>
      <c r="E80" s="206"/>
      <c r="F80" s="207"/>
      <c r="G80" s="806"/>
      <c r="H80" s="215"/>
      <c r="I80" s="806"/>
      <c r="J80" s="807"/>
      <c r="K80" s="215"/>
      <c r="L80" s="807"/>
      <c r="M80" s="215"/>
      <c r="N80" s="216"/>
      <c r="O80" s="215"/>
      <c r="P80" s="215"/>
      <c r="Q80" s="806"/>
      <c r="R80" s="807"/>
      <c r="S80" s="215"/>
      <c r="T80" s="216"/>
      <c r="U80" s="184">
        <f t="shared" si="0"/>
        <v>0</v>
      </c>
      <c r="V80" s="184">
        <f t="shared" si="1"/>
        <v>0</v>
      </c>
      <c r="W80" s="262">
        <f t="shared" si="5"/>
        <v>0</v>
      </c>
      <c r="X80" s="263">
        <f t="shared" si="6"/>
        <v>0</v>
      </c>
      <c r="Y80" s="296"/>
      <c r="Z80" s="297"/>
      <c r="AA80" s="268"/>
      <c r="AB80" s="178"/>
      <c r="AC80" s="269"/>
      <c r="AD80" s="177"/>
      <c r="AE80" s="177"/>
      <c r="AF80" s="269"/>
      <c r="AG80" s="177"/>
      <c r="AH80" s="270" t="str">
        <f>'I. Eliminations-Consolidations'!A213</f>
        <v>I.2</v>
      </c>
      <c r="AI80" s="177">
        <f>'I. Eliminations-Consolidations'!J214</f>
        <v>0</v>
      </c>
      <c r="AJ80" s="269"/>
      <c r="AK80" s="178"/>
      <c r="AL80" s="215"/>
      <c r="AM80" s="215"/>
      <c r="AN80" s="262">
        <f t="shared" si="18"/>
        <v>0</v>
      </c>
      <c r="AO80" s="263">
        <f t="shared" si="19"/>
        <v>0</v>
      </c>
      <c r="AP80" s="184"/>
      <c r="AQ80" s="263"/>
      <c r="AR80" s="184" t="str">
        <f>IF(AN80+AN81-AO80-AO81&lt;=0, " ",AN80+AN81-AO80-AO81)</f>
        <v xml:space="preserve"> </v>
      </c>
      <c r="AS80" s="263">
        <f>IF(AN80+AN81-AO80-AO81&gt;0, " ",AO80+AO81-AN80-AN81)</f>
        <v>0</v>
      </c>
      <c r="AT80" s="36"/>
      <c r="AU80" s="36"/>
      <c r="AV80" s="36"/>
      <c r="AW80" s="36"/>
      <c r="AX80" s="36"/>
      <c r="AY80" s="36"/>
      <c r="AZ80" s="36"/>
    </row>
    <row r="81" spans="3:52" x14ac:dyDescent="0.2">
      <c r="C81" s="328"/>
      <c r="D81" s="328"/>
      <c r="E81" s="206"/>
      <c r="F81" s="207"/>
      <c r="G81" s="806"/>
      <c r="H81" s="215"/>
      <c r="I81" s="806"/>
      <c r="J81" s="807"/>
      <c r="K81" s="215"/>
      <c r="L81" s="807"/>
      <c r="M81" s="215"/>
      <c r="N81" s="216"/>
      <c r="O81" s="215"/>
      <c r="P81" s="215"/>
      <c r="Q81" s="806"/>
      <c r="R81" s="807"/>
      <c r="S81" s="215"/>
      <c r="T81" s="216"/>
      <c r="U81" s="184">
        <f t="shared" si="0"/>
        <v>0</v>
      </c>
      <c r="V81" s="184">
        <f t="shared" si="1"/>
        <v>0</v>
      </c>
      <c r="W81" s="262">
        <f t="shared" si="5"/>
        <v>0</v>
      </c>
      <c r="X81" s="263">
        <f t="shared" si="6"/>
        <v>0</v>
      </c>
      <c r="Y81" s="296"/>
      <c r="Z81" s="297"/>
      <c r="AA81" s="268"/>
      <c r="AB81" s="178"/>
      <c r="AC81" s="269"/>
      <c r="AD81" s="177"/>
      <c r="AE81" s="177"/>
      <c r="AF81" s="269"/>
      <c r="AG81" s="177"/>
      <c r="AH81" s="270" t="str">
        <f>'I. Eliminations-Consolidations'!A218</f>
        <v>I.3</v>
      </c>
      <c r="AI81" s="177">
        <f>'I. Eliminations-Consolidations'!J218</f>
        <v>0</v>
      </c>
      <c r="AJ81" s="269"/>
      <c r="AK81" s="178"/>
      <c r="AL81" s="215"/>
      <c r="AM81" s="215"/>
      <c r="AN81" s="262">
        <f t="shared" si="18"/>
        <v>0</v>
      </c>
      <c r="AO81" s="263">
        <f t="shared" si="19"/>
        <v>0</v>
      </c>
      <c r="AP81" s="184"/>
      <c r="AQ81" s="263"/>
      <c r="AR81" s="184"/>
      <c r="AS81" s="263"/>
      <c r="AT81" s="36"/>
      <c r="AU81" s="36"/>
      <c r="AV81" s="36"/>
      <c r="AW81" s="36"/>
      <c r="AX81" s="36"/>
      <c r="AY81" s="36"/>
      <c r="AZ81" s="36"/>
    </row>
    <row r="82" spans="3:52" x14ac:dyDescent="0.2">
      <c r="C82" s="328" t="s">
        <v>341</v>
      </c>
      <c r="D82" s="328"/>
      <c r="E82" s="206"/>
      <c r="F82" s="207"/>
      <c r="G82" s="806"/>
      <c r="H82" s="215"/>
      <c r="I82" s="806"/>
      <c r="J82" s="807"/>
      <c r="K82" s="215"/>
      <c r="L82" s="807"/>
      <c r="M82" s="215"/>
      <c r="N82" s="216"/>
      <c r="O82" s="215"/>
      <c r="P82" s="215"/>
      <c r="Q82" s="806"/>
      <c r="R82" s="807"/>
      <c r="S82" s="215"/>
      <c r="T82" s="216"/>
      <c r="U82" s="184">
        <f t="shared" si="0"/>
        <v>0</v>
      </c>
      <c r="V82" s="184">
        <f t="shared" si="1"/>
        <v>0</v>
      </c>
      <c r="W82" s="262">
        <f t="shared" si="5"/>
        <v>0</v>
      </c>
      <c r="X82" s="263">
        <f t="shared" si="6"/>
        <v>0</v>
      </c>
      <c r="Y82" s="296"/>
      <c r="Z82" s="297"/>
      <c r="AA82" s="268"/>
      <c r="AB82" s="178"/>
      <c r="AC82" s="269"/>
      <c r="AD82" s="177"/>
      <c r="AE82" s="177"/>
      <c r="AF82" s="269" t="str">
        <f>'E. Debt Service'!D107</f>
        <v>E.3</v>
      </c>
      <c r="AG82" s="177">
        <f>'E. Debt Service'!N108</f>
        <v>1256</v>
      </c>
      <c r="AH82" s="270"/>
      <c r="AI82" s="177"/>
      <c r="AJ82" s="269"/>
      <c r="AK82" s="178"/>
      <c r="AL82" s="215"/>
      <c r="AM82" s="215"/>
      <c r="AN82" s="262">
        <f t="shared" si="18"/>
        <v>0</v>
      </c>
      <c r="AO82" s="263">
        <f t="shared" si="19"/>
        <v>1256</v>
      </c>
      <c r="AP82" s="184"/>
      <c r="AQ82" s="263"/>
      <c r="AR82" s="184" t="str">
        <f>IF(AN82+AN83-AO82-AO83&lt;0, " ",AN82+AN83-AO82-AO83)</f>
        <v xml:space="preserve"> </v>
      </c>
      <c r="AS82" s="263">
        <f>IF(AN82+AN83-AO82-AO83&gt;0, " ",AO82+AO83-AN82-AN83)</f>
        <v>1867</v>
      </c>
      <c r="AT82" s="36"/>
      <c r="AU82" s="36"/>
      <c r="AV82" s="36"/>
      <c r="AW82" s="36"/>
      <c r="AX82" s="36"/>
      <c r="AY82" s="36"/>
      <c r="AZ82" s="36"/>
    </row>
    <row r="83" spans="3:52" x14ac:dyDescent="0.2">
      <c r="C83" s="328"/>
      <c r="D83" s="328"/>
      <c r="E83" s="206"/>
      <c r="F83" s="207"/>
      <c r="G83" s="806"/>
      <c r="H83" s="215"/>
      <c r="I83" s="806"/>
      <c r="J83" s="807"/>
      <c r="K83" s="215"/>
      <c r="L83" s="807"/>
      <c r="M83" s="215"/>
      <c r="N83" s="216"/>
      <c r="O83" s="215"/>
      <c r="P83" s="215"/>
      <c r="Q83" s="806"/>
      <c r="R83" s="807"/>
      <c r="S83" s="215"/>
      <c r="T83" s="216"/>
      <c r="U83" s="184">
        <f>O83+Q83+S83</f>
        <v>0</v>
      </c>
      <c r="V83" s="184">
        <f>P83+R83+T83</f>
        <v>0</v>
      </c>
      <c r="W83" s="262">
        <f>E83+G83+I83+K83+M83+U83</f>
        <v>0</v>
      </c>
      <c r="X83" s="263">
        <f>F83+H83+J83+L83+N83+V83</f>
        <v>0</v>
      </c>
      <c r="Y83" s="296"/>
      <c r="Z83" s="297"/>
      <c r="AA83" s="268"/>
      <c r="AB83" s="178"/>
      <c r="AC83" s="269" t="str">
        <f>'E. Debt Service'!$D$110</f>
        <v>E.4</v>
      </c>
      <c r="AD83" s="177">
        <f>'E. Debt Service'!L110</f>
        <v>0</v>
      </c>
      <c r="AE83" s="177"/>
      <c r="AF83" s="269" t="str">
        <f>'E. Debt Service'!$D$110</f>
        <v>E.4</v>
      </c>
      <c r="AG83" s="177">
        <f>'E. Debt Service'!N110</f>
        <v>611</v>
      </c>
      <c r="AH83" s="270"/>
      <c r="AI83" s="177"/>
      <c r="AJ83" s="269"/>
      <c r="AK83" s="178"/>
      <c r="AL83" s="215"/>
      <c r="AM83" s="215"/>
      <c r="AN83" s="262">
        <f t="shared" si="18"/>
        <v>0</v>
      </c>
      <c r="AO83" s="263">
        <f t="shared" si="19"/>
        <v>611</v>
      </c>
      <c r="AP83" s="184"/>
      <c r="AQ83" s="263"/>
      <c r="AR83" s="184"/>
      <c r="AS83" s="263"/>
      <c r="AT83" s="36"/>
      <c r="AU83" s="36"/>
      <c r="AV83" s="36"/>
      <c r="AW83" s="36"/>
      <c r="AX83" s="36"/>
      <c r="AY83" s="36"/>
      <c r="AZ83" s="36"/>
    </row>
    <row r="84" spans="3:52" x14ac:dyDescent="0.2">
      <c r="C84" s="303" t="s">
        <v>123</v>
      </c>
      <c r="D84" s="332"/>
      <c r="E84" s="202"/>
      <c r="F84" s="203"/>
      <c r="G84" s="802"/>
      <c r="H84" s="211"/>
      <c r="I84" s="802"/>
      <c r="J84" s="803"/>
      <c r="K84" s="211"/>
      <c r="L84" s="803"/>
      <c r="M84" s="211"/>
      <c r="N84" s="212"/>
      <c r="O84" s="211"/>
      <c r="P84" s="211"/>
      <c r="Q84" s="802"/>
      <c r="R84" s="803"/>
      <c r="S84" s="211"/>
      <c r="T84" s="212"/>
      <c r="U84" s="184">
        <f t="shared" si="0"/>
        <v>0</v>
      </c>
      <c r="V84" s="184">
        <f t="shared" si="1"/>
        <v>0</v>
      </c>
      <c r="W84" s="262">
        <f t="shared" si="5"/>
        <v>0</v>
      </c>
      <c r="X84" s="263">
        <f t="shared" si="6"/>
        <v>0</v>
      </c>
      <c r="Y84" s="292"/>
      <c r="Z84" s="293"/>
      <c r="AA84" s="261"/>
      <c r="AB84" s="134"/>
      <c r="AC84" s="257"/>
      <c r="AD84" s="45"/>
      <c r="AE84" s="45"/>
      <c r="AF84" s="257"/>
      <c r="AG84" s="45"/>
      <c r="AH84" s="256"/>
      <c r="AI84" s="44"/>
      <c r="AJ84" s="266" t="str">
        <f>'I. Eliminations-Consolidations'!$A$233</f>
        <v>I.6</v>
      </c>
      <c r="AK84" s="135">
        <f>'I. Eliminations-Consolidations'!L241</f>
        <v>0</v>
      </c>
      <c r="AL84" s="211"/>
      <c r="AM84" s="211"/>
      <c r="AN84" s="262">
        <f t="shared" si="18"/>
        <v>0</v>
      </c>
      <c r="AO84" s="263">
        <f t="shared" si="19"/>
        <v>0</v>
      </c>
      <c r="AP84" s="184"/>
      <c r="AQ84" s="263"/>
      <c r="AR84" s="184">
        <f t="shared" ref="AR84:AR91" si="20">IF(AN84-AO84&lt;0, " ",AN84-AO84)</f>
        <v>0</v>
      </c>
      <c r="AS84" s="263">
        <f t="shared" ref="AS84:AS99" si="21">IF(AN84-AO84&gt;0, " ",AO84-AN84)</f>
        <v>0</v>
      </c>
      <c r="AT84" s="36"/>
      <c r="AU84" s="36"/>
      <c r="AV84" s="36"/>
      <c r="AW84" s="36"/>
      <c r="AX84" s="36"/>
      <c r="AY84" s="36"/>
      <c r="AZ84" s="36"/>
    </row>
    <row r="85" spans="3:52" x14ac:dyDescent="0.2">
      <c r="C85" s="303" t="s">
        <v>135</v>
      </c>
      <c r="D85" s="332"/>
      <c r="E85" s="202"/>
      <c r="F85" s="203"/>
      <c r="G85" s="802"/>
      <c r="H85" s="211"/>
      <c r="I85" s="802"/>
      <c r="J85" s="803"/>
      <c r="K85" s="211"/>
      <c r="L85" s="803"/>
      <c r="M85" s="211"/>
      <c r="N85" s="212"/>
      <c r="O85" s="211"/>
      <c r="P85" s="211"/>
      <c r="Q85" s="802"/>
      <c r="R85" s="803"/>
      <c r="S85" s="211"/>
      <c r="T85" s="212"/>
      <c r="U85" s="184">
        <f t="shared" ref="U85:U173" si="22">O85+Q85+S85</f>
        <v>0</v>
      </c>
      <c r="V85" s="184">
        <f t="shared" ref="V85:V173" si="23">P85+R85+T85</f>
        <v>0</v>
      </c>
      <c r="W85" s="262">
        <f t="shared" si="5"/>
        <v>0</v>
      </c>
      <c r="X85" s="263">
        <f t="shared" si="6"/>
        <v>0</v>
      </c>
      <c r="Y85" s="292"/>
      <c r="Z85" s="293"/>
      <c r="AA85" s="261"/>
      <c r="AB85" s="134"/>
      <c r="AC85" s="257"/>
      <c r="AD85" s="45"/>
      <c r="AE85" s="45"/>
      <c r="AF85" s="257"/>
      <c r="AG85" s="45"/>
      <c r="AH85" s="256"/>
      <c r="AI85" s="44"/>
      <c r="AJ85" s="266" t="str">
        <f>'I. Eliminations-Consolidations'!$A$233</f>
        <v>I.6</v>
      </c>
      <c r="AK85" s="135">
        <f>'I. Eliminations-Consolidations'!L246</f>
        <v>200</v>
      </c>
      <c r="AL85" s="211"/>
      <c r="AM85" s="211"/>
      <c r="AN85" s="262">
        <f t="shared" si="18"/>
        <v>0</v>
      </c>
      <c r="AO85" s="263">
        <f t="shared" si="19"/>
        <v>200</v>
      </c>
      <c r="AP85" s="184"/>
      <c r="AQ85" s="263"/>
      <c r="AR85" s="184" t="str">
        <f t="shared" si="20"/>
        <v xml:space="preserve"> </v>
      </c>
      <c r="AS85" s="263">
        <f t="shared" si="21"/>
        <v>200</v>
      </c>
      <c r="AT85" s="36"/>
      <c r="AU85" s="36"/>
      <c r="AV85" s="36"/>
      <c r="AW85" s="36"/>
      <c r="AX85" s="36"/>
      <c r="AY85" s="36"/>
      <c r="AZ85" s="36"/>
    </row>
    <row r="86" spans="3:52" x14ac:dyDescent="0.2">
      <c r="C86" s="303" t="s">
        <v>124</v>
      </c>
      <c r="D86" s="332"/>
      <c r="E86" s="202"/>
      <c r="F86" s="203"/>
      <c r="G86" s="802"/>
      <c r="H86" s="211"/>
      <c r="I86" s="802"/>
      <c r="J86" s="803"/>
      <c r="K86" s="211"/>
      <c r="L86" s="803"/>
      <c r="M86" s="211"/>
      <c r="N86" s="212"/>
      <c r="O86" s="211"/>
      <c r="P86" s="211"/>
      <c r="Q86" s="802"/>
      <c r="R86" s="803"/>
      <c r="S86" s="211"/>
      <c r="T86" s="212"/>
      <c r="U86" s="184">
        <f t="shared" si="22"/>
        <v>0</v>
      </c>
      <c r="V86" s="184">
        <f t="shared" si="23"/>
        <v>0</v>
      </c>
      <c r="W86" s="262">
        <f t="shared" ref="W86:W173" si="24">E86+G86+I86+K86+M86+U86</f>
        <v>0</v>
      </c>
      <c r="X86" s="263">
        <f t="shared" ref="X86:X173" si="25">F86+H86+J86+L86+N86+V86</f>
        <v>0</v>
      </c>
      <c r="Y86" s="292"/>
      <c r="Z86" s="293"/>
      <c r="AA86" s="261"/>
      <c r="AB86" s="134"/>
      <c r="AC86" s="257"/>
      <c r="AD86" s="45"/>
      <c r="AE86" s="45"/>
      <c r="AF86" s="257"/>
      <c r="AG86" s="45"/>
      <c r="AH86" s="256"/>
      <c r="AI86" s="44"/>
      <c r="AJ86" s="266" t="str">
        <f>'I. Eliminations-Consolidations'!$A$233</f>
        <v>I.6</v>
      </c>
      <c r="AK86" s="135">
        <f>'I. Eliminations-Consolidations'!L242</f>
        <v>27272</v>
      </c>
      <c r="AL86" s="211"/>
      <c r="AM86" s="211"/>
      <c r="AN86" s="262">
        <f t="shared" si="18"/>
        <v>0</v>
      </c>
      <c r="AO86" s="263">
        <f t="shared" si="19"/>
        <v>27272</v>
      </c>
      <c r="AP86" s="184"/>
      <c r="AQ86" s="263"/>
      <c r="AR86" s="184" t="str">
        <f t="shared" si="20"/>
        <v xml:space="preserve"> </v>
      </c>
      <c r="AS86" s="263">
        <f t="shared" si="21"/>
        <v>27272</v>
      </c>
      <c r="AT86" s="36"/>
      <c r="AU86" s="36"/>
      <c r="AV86" s="36"/>
      <c r="AW86" s="36"/>
      <c r="AX86" s="36"/>
      <c r="AY86" s="36"/>
      <c r="AZ86" s="36"/>
    </row>
    <row r="87" spans="3:52" x14ac:dyDescent="0.2">
      <c r="C87" s="311" t="s">
        <v>711</v>
      </c>
      <c r="D87" s="332"/>
      <c r="E87" s="202"/>
      <c r="F87" s="203"/>
      <c r="G87" s="802"/>
      <c r="H87" s="211"/>
      <c r="I87" s="802"/>
      <c r="J87" s="803"/>
      <c r="K87" s="211"/>
      <c r="L87" s="803"/>
      <c r="M87" s="211"/>
      <c r="N87" s="212"/>
      <c r="O87" s="211"/>
      <c r="P87" s="211"/>
      <c r="Q87" s="802"/>
      <c r="R87" s="803"/>
      <c r="S87" s="211"/>
      <c r="T87" s="212"/>
      <c r="U87" s="184">
        <f t="shared" ref="U87:V89" si="26">O87+Q87+S87</f>
        <v>0</v>
      </c>
      <c r="V87" s="184">
        <f t="shared" si="26"/>
        <v>0</v>
      </c>
      <c r="W87" s="262">
        <f t="shared" ref="W87:X89" si="27">E87+G87+I87+K87+M87+U87</f>
        <v>0</v>
      </c>
      <c r="X87" s="263">
        <f t="shared" si="27"/>
        <v>0</v>
      </c>
      <c r="Y87" s="292"/>
      <c r="Z87" s="293"/>
      <c r="AA87" s="261"/>
      <c r="AB87" s="134"/>
      <c r="AC87" s="257"/>
      <c r="AD87" s="45"/>
      <c r="AE87" s="45"/>
      <c r="AF87" s="257"/>
      <c r="AG87" s="45"/>
      <c r="AH87" s="256"/>
      <c r="AI87" s="44"/>
      <c r="AJ87" s="266" t="str">
        <f>'I. Eliminations-Consolidations'!$A$233</f>
        <v>I.6</v>
      </c>
      <c r="AK87" s="135">
        <f>'I. Eliminations-Consolidations'!L243</f>
        <v>25000</v>
      </c>
      <c r="AL87" s="211"/>
      <c r="AM87" s="211"/>
      <c r="AN87" s="262">
        <f>W87+Y87+AA87+AD87+AI87+AL87</f>
        <v>0</v>
      </c>
      <c r="AO87" s="263">
        <f>X87+Z87+AB87+AG87+AK87+AM87</f>
        <v>25000</v>
      </c>
      <c r="AP87" s="184"/>
      <c r="AQ87" s="263"/>
      <c r="AR87" s="184" t="str">
        <f>IF(AN87-AO87&lt;0, " ",AN87-AO87)</f>
        <v xml:space="preserve"> </v>
      </c>
      <c r="AS87" s="263">
        <f>IF(AN87-AO87&gt;0, " ",AO87-AN87)</f>
        <v>25000</v>
      </c>
      <c r="AT87" s="36"/>
      <c r="AU87" s="36"/>
      <c r="AV87" s="36"/>
      <c r="AW87" s="36"/>
      <c r="AX87" s="36"/>
      <c r="AY87" s="36"/>
      <c r="AZ87" s="36"/>
    </row>
    <row r="88" spans="3:52" x14ac:dyDescent="0.2">
      <c r="C88" s="445" t="s">
        <v>1646</v>
      </c>
      <c r="D88" s="332"/>
      <c r="E88" s="202"/>
      <c r="F88" s="203"/>
      <c r="G88" s="802"/>
      <c r="H88" s="211">
        <v>9000</v>
      </c>
      <c r="I88" s="802"/>
      <c r="J88" s="803"/>
      <c r="K88" s="211"/>
      <c r="L88" s="803"/>
      <c r="M88" s="211"/>
      <c r="N88" s="212"/>
      <c r="O88" s="211"/>
      <c r="P88" s="211"/>
      <c r="Q88" s="802"/>
      <c r="R88" s="803"/>
      <c r="S88" s="211"/>
      <c r="T88" s="212"/>
      <c r="U88" s="184">
        <f t="shared" si="26"/>
        <v>0</v>
      </c>
      <c r="V88" s="184">
        <f t="shared" si="26"/>
        <v>0</v>
      </c>
      <c r="W88" s="262">
        <f t="shared" si="27"/>
        <v>0</v>
      </c>
      <c r="X88" s="263">
        <f t="shared" si="27"/>
        <v>9000</v>
      </c>
      <c r="Y88" s="292"/>
      <c r="Z88" s="293"/>
      <c r="AA88" s="261"/>
      <c r="AB88" s="134"/>
      <c r="AC88" s="257"/>
      <c r="AD88" s="45"/>
      <c r="AE88" s="45"/>
      <c r="AF88" s="257"/>
      <c r="AG88" s="45"/>
      <c r="AH88" s="256"/>
      <c r="AI88" s="44"/>
      <c r="AJ88" s="266" t="str">
        <f>'I. Eliminations-Consolidations'!$A$233</f>
        <v>I.6</v>
      </c>
      <c r="AK88" s="135">
        <f>'I. Eliminations-Consolidations'!L244</f>
        <v>0</v>
      </c>
      <c r="AL88" s="211"/>
      <c r="AM88" s="211"/>
      <c r="AN88" s="262">
        <f>W88+Y88+AA88+AD88+AI88+AL88</f>
        <v>0</v>
      </c>
      <c r="AO88" s="263">
        <f>X88+Z88+AB88+AG88+AK88+AM88</f>
        <v>9000</v>
      </c>
      <c r="AP88" s="184"/>
      <c r="AQ88" s="263"/>
      <c r="AR88" s="184" t="str">
        <f>IF(AN88-AO88&lt;0, " ",AN88-AO88)</f>
        <v xml:space="preserve"> </v>
      </c>
      <c r="AS88" s="263">
        <f>IF(AN88-AO88&gt;0, " ",AO88-AN88)</f>
        <v>9000</v>
      </c>
      <c r="AT88" s="36"/>
      <c r="AU88" s="36"/>
      <c r="AV88" s="36"/>
      <c r="AW88" s="36"/>
      <c r="AX88" s="36"/>
      <c r="AY88" s="36"/>
      <c r="AZ88" s="36"/>
    </row>
    <row r="89" spans="3:52" x14ac:dyDescent="0.2">
      <c r="C89" s="303" t="s">
        <v>590</v>
      </c>
      <c r="D89" s="332"/>
      <c r="E89" s="202"/>
      <c r="F89" s="203"/>
      <c r="G89" s="802"/>
      <c r="H89" s="211"/>
      <c r="I89" s="802"/>
      <c r="J89" s="803"/>
      <c r="K89" s="211"/>
      <c r="L89" s="803"/>
      <c r="M89" s="211"/>
      <c r="N89" s="212"/>
      <c r="O89" s="211"/>
      <c r="P89" s="211"/>
      <c r="Q89" s="802"/>
      <c r="R89" s="803"/>
      <c r="S89" s="211"/>
      <c r="T89" s="212"/>
      <c r="U89" s="184">
        <f t="shared" si="26"/>
        <v>0</v>
      </c>
      <c r="V89" s="184">
        <f t="shared" si="26"/>
        <v>0</v>
      </c>
      <c r="W89" s="262">
        <f t="shared" si="27"/>
        <v>0</v>
      </c>
      <c r="X89" s="263">
        <f t="shared" si="27"/>
        <v>0</v>
      </c>
      <c r="Y89" s="292"/>
      <c r="Z89" s="293"/>
      <c r="AA89" s="261"/>
      <c r="AB89" s="134"/>
      <c r="AC89" s="257"/>
      <c r="AD89" s="45"/>
      <c r="AE89" s="45"/>
      <c r="AF89" s="257"/>
      <c r="AG89" s="45"/>
      <c r="AH89" s="256"/>
      <c r="AI89" s="44"/>
      <c r="AJ89" s="266" t="str">
        <f>'I. Eliminations-Consolidations'!$A$233</f>
        <v>I.6</v>
      </c>
      <c r="AK89" s="135">
        <f>'I. Eliminations-Consolidations'!L245</f>
        <v>0</v>
      </c>
      <c r="AL89" s="211"/>
      <c r="AM89" s="211"/>
      <c r="AN89" s="262">
        <f t="shared" si="18"/>
        <v>0</v>
      </c>
      <c r="AO89" s="263">
        <f t="shared" si="19"/>
        <v>0</v>
      </c>
      <c r="AP89" s="184"/>
      <c r="AQ89" s="263"/>
      <c r="AR89" s="184">
        <f>IF(AN89-AO89&lt;0, " ",AN89-AO89)</f>
        <v>0</v>
      </c>
      <c r="AS89" s="263">
        <f t="shared" si="21"/>
        <v>0</v>
      </c>
      <c r="AT89" s="36"/>
      <c r="AU89" s="36"/>
      <c r="AV89" s="36"/>
      <c r="AW89" s="36"/>
      <c r="AX89" s="36"/>
      <c r="AY89" s="36"/>
      <c r="AZ89" s="36"/>
    </row>
    <row r="90" spans="3:52" x14ac:dyDescent="0.2">
      <c r="C90" s="311" t="str">
        <f>C100</f>
        <v>Other long-term liability #1</v>
      </c>
      <c r="D90" s="332" t="s">
        <v>321</v>
      </c>
      <c r="E90" s="202"/>
      <c r="F90" s="203"/>
      <c r="G90" s="802"/>
      <c r="H90" s="211"/>
      <c r="I90" s="802"/>
      <c r="J90" s="803"/>
      <c r="K90" s="211"/>
      <c r="L90" s="803"/>
      <c r="M90" s="211"/>
      <c r="N90" s="212"/>
      <c r="O90" s="211"/>
      <c r="P90" s="211"/>
      <c r="Q90" s="802"/>
      <c r="R90" s="803"/>
      <c r="S90" s="211"/>
      <c r="T90" s="212"/>
      <c r="U90" s="184">
        <f t="shared" si="22"/>
        <v>0</v>
      </c>
      <c r="V90" s="184">
        <f t="shared" si="23"/>
        <v>0</v>
      </c>
      <c r="W90" s="262">
        <f t="shared" si="24"/>
        <v>0</v>
      </c>
      <c r="X90" s="263">
        <f t="shared" si="25"/>
        <v>0</v>
      </c>
      <c r="Y90" s="292"/>
      <c r="Z90" s="293"/>
      <c r="AA90" s="261"/>
      <c r="AB90" s="134"/>
      <c r="AC90" s="257"/>
      <c r="AD90" s="45"/>
      <c r="AE90" s="45"/>
      <c r="AF90" s="257"/>
      <c r="AG90" s="45"/>
      <c r="AH90" s="256"/>
      <c r="AI90" s="44"/>
      <c r="AJ90" s="266" t="str">
        <f>'I. Eliminations-Consolidations'!$A$233</f>
        <v>I.6</v>
      </c>
      <c r="AK90" s="135">
        <f>'I. Eliminations-Consolidations'!L247</f>
        <v>0</v>
      </c>
      <c r="AL90" s="211"/>
      <c r="AM90" s="211"/>
      <c r="AN90" s="262">
        <f t="shared" si="18"/>
        <v>0</v>
      </c>
      <c r="AO90" s="263">
        <f t="shared" si="19"/>
        <v>0</v>
      </c>
      <c r="AP90" s="184"/>
      <c r="AQ90" s="263"/>
      <c r="AR90" s="184">
        <f t="shared" si="20"/>
        <v>0</v>
      </c>
      <c r="AS90" s="263">
        <f t="shared" si="21"/>
        <v>0</v>
      </c>
      <c r="AT90" s="36"/>
      <c r="AU90" s="36"/>
      <c r="AV90" s="36"/>
      <c r="AW90" s="36"/>
      <c r="AX90" s="36"/>
      <c r="AY90" s="36"/>
      <c r="AZ90" s="36"/>
    </row>
    <row r="91" spans="3:52" x14ac:dyDescent="0.2">
      <c r="C91" s="311" t="str">
        <f>C101</f>
        <v>Other long-term liability #2</v>
      </c>
      <c r="D91" s="332" t="s">
        <v>321</v>
      </c>
      <c r="E91" s="202"/>
      <c r="F91" s="203"/>
      <c r="G91" s="802"/>
      <c r="H91" s="211"/>
      <c r="I91" s="802"/>
      <c r="J91" s="803"/>
      <c r="K91" s="211"/>
      <c r="L91" s="803"/>
      <c r="M91" s="211"/>
      <c r="N91" s="212"/>
      <c r="O91" s="211"/>
      <c r="P91" s="211"/>
      <c r="Q91" s="802"/>
      <c r="R91" s="803"/>
      <c r="S91" s="211"/>
      <c r="T91" s="212"/>
      <c r="U91" s="184">
        <f t="shared" si="22"/>
        <v>0</v>
      </c>
      <c r="V91" s="184">
        <f t="shared" si="23"/>
        <v>0</v>
      </c>
      <c r="W91" s="262">
        <f t="shared" si="24"/>
        <v>0</v>
      </c>
      <c r="X91" s="263">
        <f t="shared" si="25"/>
        <v>0</v>
      </c>
      <c r="Y91" s="292"/>
      <c r="Z91" s="293"/>
      <c r="AA91" s="261"/>
      <c r="AB91" s="134"/>
      <c r="AC91" s="257"/>
      <c r="AD91" s="45"/>
      <c r="AE91" s="45"/>
      <c r="AF91" s="257"/>
      <c r="AG91" s="45"/>
      <c r="AH91" s="256"/>
      <c r="AI91" s="44"/>
      <c r="AJ91" s="266" t="str">
        <f>'I. Eliminations-Consolidations'!$A$233</f>
        <v>I.6</v>
      </c>
      <c r="AK91" s="135">
        <f>'I. Eliminations-Consolidations'!L248</f>
        <v>0</v>
      </c>
      <c r="AL91" s="211"/>
      <c r="AM91" s="211"/>
      <c r="AN91" s="262">
        <f t="shared" si="18"/>
        <v>0</v>
      </c>
      <c r="AO91" s="263">
        <f t="shared" si="19"/>
        <v>0</v>
      </c>
      <c r="AP91" s="184"/>
      <c r="AQ91" s="263"/>
      <c r="AR91" s="184">
        <f t="shared" si="20"/>
        <v>0</v>
      </c>
      <c r="AS91" s="263">
        <f t="shared" si="21"/>
        <v>0</v>
      </c>
      <c r="AT91" s="36"/>
      <c r="AU91" s="36"/>
      <c r="AV91" s="36"/>
      <c r="AW91" s="36"/>
      <c r="AX91" s="36"/>
      <c r="AY91" s="36"/>
      <c r="AZ91" s="36"/>
    </row>
    <row r="92" spans="3:52" x14ac:dyDescent="0.2">
      <c r="C92" s="311" t="s">
        <v>116</v>
      </c>
      <c r="D92" s="311"/>
      <c r="E92" s="202"/>
      <c r="F92" s="203"/>
      <c r="G92" s="802"/>
      <c r="H92" s="211"/>
      <c r="I92" s="802"/>
      <c r="J92" s="803"/>
      <c r="K92" s="211"/>
      <c r="L92" s="803"/>
      <c r="M92" s="211"/>
      <c r="N92" s="212"/>
      <c r="O92" s="211"/>
      <c r="P92" s="211"/>
      <c r="Q92" s="802"/>
      <c r="R92" s="803"/>
      <c r="S92" s="211"/>
      <c r="T92" s="212"/>
      <c r="U92" s="184">
        <f t="shared" si="22"/>
        <v>0</v>
      </c>
      <c r="V92" s="184">
        <f t="shared" si="23"/>
        <v>0</v>
      </c>
      <c r="W92" s="262">
        <f t="shared" si="24"/>
        <v>0</v>
      </c>
      <c r="X92" s="263">
        <f t="shared" si="25"/>
        <v>0</v>
      </c>
      <c r="Y92" s="292"/>
      <c r="Z92" s="293">
        <f>'Beginning Capital Assets &amp; LTD'!K72</f>
        <v>155177</v>
      </c>
      <c r="AA92" s="261"/>
      <c r="AB92" s="134"/>
      <c r="AC92" s="257" t="str">
        <f>'E. Debt Service'!$D$101</f>
        <v>E.2</v>
      </c>
      <c r="AD92" s="44">
        <f>'E. Debt Service'!L101</f>
        <v>6439</v>
      </c>
      <c r="AE92" s="45"/>
      <c r="AF92" s="257" t="str">
        <f>'F. Debt Issues'!$D$34</f>
        <v>F.1</v>
      </c>
      <c r="AG92" s="44">
        <f>'F. Debt Issues'!N38</f>
        <v>400000</v>
      </c>
      <c r="AH92" s="256" t="str">
        <f>'I. Eliminations-Consolidations'!$A$233</f>
        <v>I.6</v>
      </c>
      <c r="AI92" s="44">
        <f>'I. Eliminations-Consolidations'!J234</f>
        <v>27272</v>
      </c>
      <c r="AJ92" s="266"/>
      <c r="AK92" s="135"/>
      <c r="AL92" s="211"/>
      <c r="AM92" s="211"/>
      <c r="AN92" s="262">
        <f t="shared" si="18"/>
        <v>33711</v>
      </c>
      <c r="AO92" s="263">
        <f t="shared" si="19"/>
        <v>555177</v>
      </c>
      <c r="AP92" s="184"/>
      <c r="AQ92" s="263"/>
      <c r="AR92" s="184" t="str">
        <f t="shared" ref="AR92:AR150" si="28">IF(AN92-AO92&lt;0, " ",AN92-AO92)</f>
        <v xml:space="preserve"> </v>
      </c>
      <c r="AS92" s="263">
        <f t="shared" si="21"/>
        <v>521466</v>
      </c>
      <c r="AT92" s="36"/>
      <c r="AU92" s="36"/>
      <c r="AV92" s="36"/>
      <c r="AW92" s="36"/>
      <c r="AX92" s="36"/>
      <c r="AY92" s="36"/>
      <c r="AZ92" s="36"/>
    </row>
    <row r="93" spans="3:52" x14ac:dyDescent="0.2">
      <c r="C93" s="311" t="s">
        <v>3</v>
      </c>
      <c r="D93" s="311"/>
      <c r="E93" s="202"/>
      <c r="F93" s="203">
        <v>25000</v>
      </c>
      <c r="G93" s="802"/>
      <c r="H93" s="211"/>
      <c r="I93" s="802"/>
      <c r="J93" s="803"/>
      <c r="K93" s="211"/>
      <c r="L93" s="803"/>
      <c r="M93" s="211"/>
      <c r="N93" s="212"/>
      <c r="O93" s="211"/>
      <c r="P93" s="211"/>
      <c r="Q93" s="802"/>
      <c r="R93" s="803"/>
      <c r="S93" s="211"/>
      <c r="T93" s="212"/>
      <c r="U93" s="184">
        <f t="shared" ref="U93:V95" si="29">O93+Q93+S93</f>
        <v>0</v>
      </c>
      <c r="V93" s="184">
        <f t="shared" si="29"/>
        <v>0</v>
      </c>
      <c r="W93" s="262">
        <f t="shared" ref="W93:X95" si="30">E93+G93+I93+K93+M93+U93</f>
        <v>0</v>
      </c>
      <c r="X93" s="263">
        <f t="shared" si="30"/>
        <v>25000</v>
      </c>
      <c r="Y93" s="292"/>
      <c r="Z93" s="293">
        <f>'Beginning Capital Assets &amp; LTD'!K75</f>
        <v>0</v>
      </c>
      <c r="AA93" s="261"/>
      <c r="AB93" s="134"/>
      <c r="AC93" s="257" t="str">
        <f>'E. Debt Service'!$D$101</f>
        <v>E.2</v>
      </c>
      <c r="AD93" s="44">
        <f>'E. Debt Service'!L102</f>
        <v>25000</v>
      </c>
      <c r="AE93" s="45"/>
      <c r="AF93" s="257" t="str">
        <f>'F. Debt Issues'!$D$34</f>
        <v>F.1</v>
      </c>
      <c r="AG93" s="44">
        <f>'F. Debt Issues'!N39</f>
        <v>25000</v>
      </c>
      <c r="AH93" s="256" t="str">
        <f>'I. Eliminations-Consolidations'!$A$233</f>
        <v>I.6</v>
      </c>
      <c r="AI93" s="44">
        <f>'I. Eliminations-Consolidations'!J235</f>
        <v>25000</v>
      </c>
      <c r="AJ93" s="266"/>
      <c r="AK93" s="135"/>
      <c r="AL93" s="211"/>
      <c r="AM93" s="211"/>
      <c r="AN93" s="262">
        <f>W93+Y93+AA93+AD93+AI93+AL93</f>
        <v>50000</v>
      </c>
      <c r="AO93" s="263">
        <f>X93+Z93+AB93+AG93+AK93+AM93</f>
        <v>50000</v>
      </c>
      <c r="AP93" s="184"/>
      <c r="AQ93" s="263"/>
      <c r="AR93" s="184">
        <f>IF(AN93-AO93&lt;0, " ",AN93-AO93)</f>
        <v>0</v>
      </c>
      <c r="AS93" s="263">
        <f>IF(AN93-AO93&gt;0, " ",AO93-AN93)</f>
        <v>0</v>
      </c>
      <c r="AT93" s="36"/>
      <c r="AU93" s="36"/>
      <c r="AV93" s="36"/>
      <c r="AW93" s="36"/>
      <c r="AX93" s="36"/>
      <c r="AY93" s="36"/>
      <c r="AZ93" s="36"/>
    </row>
    <row r="94" spans="3:52" x14ac:dyDescent="0.2">
      <c r="C94" s="445" t="s">
        <v>1655</v>
      </c>
      <c r="D94" s="311"/>
      <c r="E94" s="202"/>
      <c r="F94" s="203"/>
      <c r="G94" s="802"/>
      <c r="H94" s="211"/>
      <c r="I94" s="802"/>
      <c r="J94" s="803"/>
      <c r="K94" s="211"/>
      <c r="L94" s="803"/>
      <c r="M94" s="211"/>
      <c r="N94" s="212"/>
      <c r="O94" s="211"/>
      <c r="P94" s="211"/>
      <c r="Q94" s="802"/>
      <c r="R94" s="803"/>
      <c r="S94" s="211"/>
      <c r="T94" s="212"/>
      <c r="U94" s="184">
        <f t="shared" si="29"/>
        <v>0</v>
      </c>
      <c r="V94" s="184">
        <f t="shared" si="29"/>
        <v>0</v>
      </c>
      <c r="W94" s="262">
        <f t="shared" si="30"/>
        <v>0</v>
      </c>
      <c r="X94" s="263">
        <f t="shared" si="30"/>
        <v>0</v>
      </c>
      <c r="Y94" s="292"/>
      <c r="Z94" s="293"/>
      <c r="AA94" s="261"/>
      <c r="AB94" s="134"/>
      <c r="AC94" s="257" t="str">
        <f>'E. Debt Service'!$D$101</f>
        <v>E.2</v>
      </c>
      <c r="AD94" s="44">
        <f>'E. Debt Service'!L103</f>
        <v>0</v>
      </c>
      <c r="AE94" s="45"/>
      <c r="AF94" s="257" t="str">
        <f>'F. Debt Issues'!$D$34</f>
        <v>F.1</v>
      </c>
      <c r="AG94" s="44">
        <f>'F. Debt Issues'!N40</f>
        <v>0</v>
      </c>
      <c r="AH94" s="256" t="str">
        <f>'I. Eliminations-Consolidations'!$A$233</f>
        <v>I.6</v>
      </c>
      <c r="AI94" s="44">
        <f>'I. Eliminations-Consolidations'!J236</f>
        <v>0</v>
      </c>
      <c r="AJ94" s="266"/>
      <c r="AK94" s="135"/>
      <c r="AL94" s="211"/>
      <c r="AM94" s="211"/>
      <c r="AN94" s="262">
        <f>W94+Y94+AA94+AD94+AI94+AL94</f>
        <v>0</v>
      </c>
      <c r="AO94" s="263">
        <f>X94+Z94+AB94+AG94+AK94+AM94</f>
        <v>0</v>
      </c>
      <c r="AP94" s="184"/>
      <c r="AQ94" s="263"/>
      <c r="AR94" s="184">
        <f>IF(AN94-AO94&lt;0, " ",AN94-AO94)</f>
        <v>0</v>
      </c>
      <c r="AS94" s="263">
        <f>IF(AN94-AO94&gt;0, " ",AO94-AN94)</f>
        <v>0</v>
      </c>
      <c r="AT94" s="36"/>
      <c r="AU94" s="36"/>
      <c r="AV94" s="36"/>
      <c r="AW94" s="36"/>
      <c r="AX94" s="36"/>
      <c r="AY94" s="36"/>
      <c r="AZ94" s="36"/>
    </row>
    <row r="95" spans="3:52" x14ac:dyDescent="0.2">
      <c r="C95" s="303" t="s">
        <v>146</v>
      </c>
      <c r="D95" s="303"/>
      <c r="E95" s="202"/>
      <c r="F95" s="203"/>
      <c r="G95" s="802"/>
      <c r="H95" s="211"/>
      <c r="I95" s="802"/>
      <c r="J95" s="803"/>
      <c r="K95" s="211"/>
      <c r="L95" s="803"/>
      <c r="M95" s="211"/>
      <c r="N95" s="212"/>
      <c r="O95" s="211"/>
      <c r="P95" s="211"/>
      <c r="Q95" s="802"/>
      <c r="R95" s="803"/>
      <c r="S95" s="211"/>
      <c r="T95" s="212"/>
      <c r="U95" s="184">
        <f t="shared" si="29"/>
        <v>0</v>
      </c>
      <c r="V95" s="184">
        <f t="shared" si="29"/>
        <v>0</v>
      </c>
      <c r="W95" s="262">
        <f t="shared" si="30"/>
        <v>0</v>
      </c>
      <c r="X95" s="263">
        <f t="shared" si="30"/>
        <v>0</v>
      </c>
      <c r="Y95" s="292"/>
      <c r="Z95" s="293">
        <f>'Beginning Capital Assets &amp; LTD'!K73</f>
        <v>0</v>
      </c>
      <c r="AA95" s="261"/>
      <c r="AB95" s="134"/>
      <c r="AC95" s="257" t="str">
        <f>'E. Debt Service'!$D$101</f>
        <v>E.2</v>
      </c>
      <c r="AD95" s="44">
        <f>'E. Debt Service'!L104</f>
        <v>0</v>
      </c>
      <c r="AE95" s="45"/>
      <c r="AF95" s="257" t="str">
        <f>'F. Debt Issues'!$D$34</f>
        <v>F.1</v>
      </c>
      <c r="AG95" s="44">
        <f>'F. Debt Issues'!N41</f>
        <v>0</v>
      </c>
      <c r="AH95" s="256" t="str">
        <f>'I. Eliminations-Consolidations'!$A$233</f>
        <v>I.6</v>
      </c>
      <c r="AI95" s="44">
        <f>'I. Eliminations-Consolidations'!J237</f>
        <v>0</v>
      </c>
      <c r="AJ95" s="266"/>
      <c r="AK95" s="135"/>
      <c r="AL95" s="211"/>
      <c r="AM95" s="211"/>
      <c r="AN95" s="262">
        <f t="shared" si="18"/>
        <v>0</v>
      </c>
      <c r="AO95" s="263">
        <f t="shared" si="19"/>
        <v>0</v>
      </c>
      <c r="AP95" s="184"/>
      <c r="AQ95" s="263"/>
      <c r="AR95" s="184">
        <f>IF(AN95-AO95&lt;0, " ",AN95-AO95)</f>
        <v>0</v>
      </c>
      <c r="AS95" s="263">
        <f t="shared" si="21"/>
        <v>0</v>
      </c>
      <c r="AT95" s="36"/>
      <c r="AU95" s="36"/>
      <c r="AV95" s="36"/>
      <c r="AW95" s="36"/>
      <c r="AX95" s="36"/>
      <c r="AY95" s="36"/>
      <c r="AZ95" s="36"/>
    </row>
    <row r="96" spans="3:52" x14ac:dyDescent="0.2">
      <c r="C96" s="311" t="s">
        <v>359</v>
      </c>
      <c r="D96" s="311"/>
      <c r="E96" s="202"/>
      <c r="F96" s="203"/>
      <c r="G96" s="802"/>
      <c r="H96" s="211"/>
      <c r="I96" s="802"/>
      <c r="J96" s="803"/>
      <c r="K96" s="211"/>
      <c r="L96" s="803"/>
      <c r="M96" s="211"/>
      <c r="N96" s="212"/>
      <c r="O96" s="211"/>
      <c r="P96" s="211"/>
      <c r="Q96" s="802"/>
      <c r="R96" s="803"/>
      <c r="S96" s="211"/>
      <c r="T96" s="212"/>
      <c r="U96" s="184">
        <f t="shared" si="22"/>
        <v>0</v>
      </c>
      <c r="V96" s="184">
        <f t="shared" si="23"/>
        <v>0</v>
      </c>
      <c r="W96" s="262">
        <f t="shared" si="24"/>
        <v>0</v>
      </c>
      <c r="X96" s="263">
        <f t="shared" si="25"/>
        <v>0</v>
      </c>
      <c r="Y96" s="292"/>
      <c r="Z96" s="293">
        <f>'Beginning Capital Assets &amp; LTD'!K74</f>
        <v>0</v>
      </c>
      <c r="AA96" s="261"/>
      <c r="AB96" s="134"/>
      <c r="AC96" s="257"/>
      <c r="AD96" s="45"/>
      <c r="AE96" s="45"/>
      <c r="AF96" s="257"/>
      <c r="AG96" s="45"/>
      <c r="AH96" s="256"/>
      <c r="AI96" s="44"/>
      <c r="AJ96" s="266"/>
      <c r="AK96" s="135"/>
      <c r="AL96" s="211"/>
      <c r="AM96" s="211"/>
      <c r="AN96" s="262">
        <f t="shared" si="18"/>
        <v>0</v>
      </c>
      <c r="AO96" s="263">
        <f t="shared" si="19"/>
        <v>0</v>
      </c>
      <c r="AP96" s="184"/>
      <c r="AQ96" s="263"/>
      <c r="AR96" s="184">
        <f t="shared" si="28"/>
        <v>0</v>
      </c>
      <c r="AS96" s="263">
        <f t="shared" si="21"/>
        <v>0</v>
      </c>
      <c r="AT96" s="36"/>
      <c r="AU96" s="36"/>
      <c r="AV96" s="36"/>
      <c r="AW96" s="36"/>
      <c r="AX96" s="36"/>
      <c r="AY96" s="36"/>
      <c r="AZ96" s="36"/>
    </row>
    <row r="97" spans="2:52" x14ac:dyDescent="0.2">
      <c r="C97" s="311" t="s">
        <v>423</v>
      </c>
      <c r="D97" s="311"/>
      <c r="E97" s="202"/>
      <c r="F97" s="203"/>
      <c r="G97" s="802"/>
      <c r="H97" s="211"/>
      <c r="I97" s="802"/>
      <c r="J97" s="803"/>
      <c r="K97" s="211"/>
      <c r="L97" s="803"/>
      <c r="M97" s="211"/>
      <c r="N97" s="212"/>
      <c r="O97" s="211"/>
      <c r="P97" s="211"/>
      <c r="Q97" s="802"/>
      <c r="R97" s="803"/>
      <c r="S97" s="211"/>
      <c r="T97" s="212"/>
      <c r="U97" s="184">
        <f>O97+Q97+S97</f>
        <v>0</v>
      </c>
      <c r="V97" s="184">
        <f>P97+R97+T97</f>
        <v>0</v>
      </c>
      <c r="W97" s="262">
        <f>E97+G97+I97+K97+M97+U97</f>
        <v>0</v>
      </c>
      <c r="X97" s="263">
        <f>F97+H97+J97+L97+N97+V97</f>
        <v>0</v>
      </c>
      <c r="Y97" s="292"/>
      <c r="Z97" s="293">
        <f>'Beginning Capital Assets &amp; LTD'!K76</f>
        <v>0</v>
      </c>
      <c r="AA97" s="261"/>
      <c r="AB97" s="134"/>
      <c r="AC97" s="257" t="str">
        <f>'H. Other Liabilities &amp; Expenses'!D235</f>
        <v>H.1</v>
      </c>
      <c r="AD97" s="45">
        <f>'H. Other Liabilities &amp; Expenses'!L255</f>
        <v>0</v>
      </c>
      <c r="AE97" s="45"/>
      <c r="AF97" s="257" t="str">
        <f>'H. Other Liabilities &amp; Expenses'!D235</f>
        <v>H.1</v>
      </c>
      <c r="AG97" s="45">
        <f>'H. Other Liabilities &amp; Expenses'!N255</f>
        <v>0</v>
      </c>
      <c r="AH97" s="256"/>
      <c r="AI97" s="44"/>
      <c r="AJ97" s="266"/>
      <c r="AK97" s="135"/>
      <c r="AL97" s="211"/>
      <c r="AM97" s="211"/>
      <c r="AN97" s="262">
        <f>W97+Y97+AA97+AD97+AI97+AL97</f>
        <v>0</v>
      </c>
      <c r="AO97" s="263">
        <f>X97+Z97+AB97+AG97+AK97+AM97</f>
        <v>0</v>
      </c>
      <c r="AP97" s="184"/>
      <c r="AQ97" s="263"/>
      <c r="AR97" s="184">
        <f>IF(AN97-AO97&lt;0, " ",AN97-AO97)</f>
        <v>0</v>
      </c>
      <c r="AS97" s="263">
        <f>IF(AN97-AO97&gt;0, " ",AO97-AN97)</f>
        <v>0</v>
      </c>
      <c r="AT97" s="36"/>
      <c r="AU97" s="36"/>
      <c r="AV97" s="36"/>
      <c r="AW97" s="36"/>
      <c r="AX97" s="36"/>
      <c r="AY97" s="36"/>
      <c r="AZ97" s="36"/>
    </row>
    <row r="98" spans="2:52" x14ac:dyDescent="0.2">
      <c r="C98" s="311" t="s">
        <v>360</v>
      </c>
      <c r="D98" s="311"/>
      <c r="E98" s="202"/>
      <c r="F98" s="203"/>
      <c r="G98" s="802"/>
      <c r="H98" s="211"/>
      <c r="I98" s="802"/>
      <c r="J98" s="803"/>
      <c r="K98" s="211"/>
      <c r="L98" s="803"/>
      <c r="M98" s="211"/>
      <c r="N98" s="212"/>
      <c r="O98" s="211"/>
      <c r="P98" s="211"/>
      <c r="Q98" s="802"/>
      <c r="R98" s="803"/>
      <c r="S98" s="211"/>
      <c r="T98" s="212"/>
      <c r="U98" s="184">
        <f t="shared" si="22"/>
        <v>0</v>
      </c>
      <c r="V98" s="184">
        <f t="shared" si="23"/>
        <v>0</v>
      </c>
      <c r="W98" s="262">
        <f t="shared" si="24"/>
        <v>0</v>
      </c>
      <c r="X98" s="263">
        <f t="shared" si="25"/>
        <v>0</v>
      </c>
      <c r="Y98" s="292"/>
      <c r="Z98" s="293">
        <f>'Beginning Capital Assets &amp; LTD'!K77</f>
        <v>0</v>
      </c>
      <c r="AA98" s="261"/>
      <c r="AB98" s="134"/>
      <c r="AC98" s="257" t="str">
        <f>'H. Other Liabilities &amp; Expenses'!D235</f>
        <v>H.1</v>
      </c>
      <c r="AD98" s="45">
        <f>'H. Other Liabilities &amp; Expenses'!L256</f>
        <v>8653</v>
      </c>
      <c r="AE98" s="45"/>
      <c r="AF98" s="257" t="str">
        <f>'H. Other Liabilities &amp; Expenses'!D235</f>
        <v>H.1</v>
      </c>
      <c r="AG98" s="45">
        <f>'H. Other Liabilities &amp; Expenses'!N256</f>
        <v>10700</v>
      </c>
      <c r="AH98" s="256" t="str">
        <f>'I. Eliminations-Consolidations'!A233</f>
        <v>I.6</v>
      </c>
      <c r="AI98" s="45">
        <f>'I. Eliminations-Consolidations'!J238</f>
        <v>200</v>
      </c>
      <c r="AJ98" s="257"/>
      <c r="AK98" s="134"/>
      <c r="AL98" s="211"/>
      <c r="AM98" s="211"/>
      <c r="AN98" s="262">
        <f t="shared" si="18"/>
        <v>8853</v>
      </c>
      <c r="AO98" s="263">
        <f t="shared" si="19"/>
        <v>10700</v>
      </c>
      <c r="AP98" s="184"/>
      <c r="AQ98" s="263"/>
      <c r="AR98" s="184" t="str">
        <f t="shared" si="28"/>
        <v xml:space="preserve"> </v>
      </c>
      <c r="AS98" s="263">
        <f t="shared" si="21"/>
        <v>1847</v>
      </c>
      <c r="AT98" s="36"/>
      <c r="AU98" s="36"/>
      <c r="AV98" s="36"/>
      <c r="AW98" s="36"/>
      <c r="AX98" s="36"/>
      <c r="AY98" s="36"/>
      <c r="AZ98" s="36"/>
    </row>
    <row r="99" spans="2:52" x14ac:dyDescent="0.2">
      <c r="C99" s="311" t="s">
        <v>610</v>
      </c>
      <c r="D99" s="311"/>
      <c r="E99" s="202"/>
      <c r="F99" s="203"/>
      <c r="G99" s="802"/>
      <c r="H99" s="211"/>
      <c r="I99" s="802"/>
      <c r="J99" s="803"/>
      <c r="K99" s="211"/>
      <c r="L99" s="803"/>
      <c r="M99" s="211"/>
      <c r="N99" s="212"/>
      <c r="O99" s="211"/>
      <c r="P99" s="211"/>
      <c r="Q99" s="802"/>
      <c r="R99" s="803"/>
      <c r="S99" s="211"/>
      <c r="T99" s="212"/>
      <c r="U99" s="184">
        <f t="shared" si="22"/>
        <v>0</v>
      </c>
      <c r="V99" s="184">
        <f t="shared" si="23"/>
        <v>0</v>
      </c>
      <c r="W99" s="262">
        <f t="shared" si="24"/>
        <v>0</v>
      </c>
      <c r="X99" s="263">
        <f t="shared" si="25"/>
        <v>0</v>
      </c>
      <c r="Y99" s="292"/>
      <c r="Z99" s="293">
        <f>'Beginning Capital Assets &amp; LTD'!K78</f>
        <v>0</v>
      </c>
      <c r="AA99" s="261"/>
      <c r="AB99" s="134"/>
      <c r="AC99" s="257"/>
      <c r="AD99" s="45"/>
      <c r="AE99" s="45"/>
      <c r="AF99" s="257" t="str">
        <f>'H. Other Liabilities &amp; Expenses'!D235</f>
        <v>H.1</v>
      </c>
      <c r="AG99" s="45">
        <f>'H. Other Liabilities &amp; Expenses'!N257</f>
        <v>0</v>
      </c>
      <c r="AH99" s="256" t="str">
        <f>'I. Eliminations-Consolidations'!A233</f>
        <v>I.6</v>
      </c>
      <c r="AI99" s="45">
        <f>'I. Eliminations-Consolidations'!J233</f>
        <v>0</v>
      </c>
      <c r="AJ99" s="257"/>
      <c r="AK99" s="134"/>
      <c r="AL99" s="211"/>
      <c r="AM99" s="211"/>
      <c r="AN99" s="262">
        <f t="shared" si="18"/>
        <v>0</v>
      </c>
      <c r="AO99" s="263">
        <f t="shared" si="19"/>
        <v>0</v>
      </c>
      <c r="AP99" s="184"/>
      <c r="AQ99" s="263"/>
      <c r="AR99" s="184">
        <f t="shared" si="28"/>
        <v>0</v>
      </c>
      <c r="AS99" s="263">
        <f t="shared" si="21"/>
        <v>0</v>
      </c>
      <c r="AT99" s="36"/>
      <c r="AU99" s="36"/>
      <c r="AV99" s="36"/>
      <c r="AW99" s="36"/>
      <c r="AX99" s="36"/>
      <c r="AY99" s="36"/>
      <c r="AZ99" s="36"/>
    </row>
    <row r="100" spans="2:52" x14ac:dyDescent="0.2">
      <c r="C100" s="225" t="s">
        <v>24</v>
      </c>
      <c r="D100" s="219"/>
      <c r="E100" s="202"/>
      <c r="F100" s="203"/>
      <c r="G100" s="802"/>
      <c r="H100" s="211"/>
      <c r="I100" s="802"/>
      <c r="J100" s="803"/>
      <c r="K100" s="211"/>
      <c r="L100" s="803"/>
      <c r="M100" s="211"/>
      <c r="N100" s="212"/>
      <c r="O100" s="211"/>
      <c r="P100" s="211"/>
      <c r="Q100" s="802"/>
      <c r="R100" s="803"/>
      <c r="S100" s="211"/>
      <c r="T100" s="212"/>
      <c r="U100" s="184">
        <f t="shared" si="22"/>
        <v>0</v>
      </c>
      <c r="V100" s="184">
        <f t="shared" si="23"/>
        <v>0</v>
      </c>
      <c r="W100" s="262">
        <f t="shared" si="24"/>
        <v>0</v>
      </c>
      <c r="X100" s="263">
        <f t="shared" si="25"/>
        <v>0</v>
      </c>
      <c r="Y100" s="292"/>
      <c r="Z100" s="293">
        <f>'Beginning Capital Assets &amp; LTD'!K79</f>
        <v>0</v>
      </c>
      <c r="AA100" s="261"/>
      <c r="AB100" s="134"/>
      <c r="AC100" s="257"/>
      <c r="AD100" s="45"/>
      <c r="AE100" s="45"/>
      <c r="AF100" s="257" t="str">
        <f>'H. Other Liabilities &amp; Expenses'!D235</f>
        <v>H.1</v>
      </c>
      <c r="AG100" s="45">
        <f>'H. Other Liabilities &amp; Expenses'!N258</f>
        <v>0</v>
      </c>
      <c r="AH100" s="256" t="str">
        <f>'I. Eliminations-Consolidations'!A233</f>
        <v>I.6</v>
      </c>
      <c r="AI100" s="45">
        <f>'I. Eliminations-Consolidations'!J239</f>
        <v>0</v>
      </c>
      <c r="AJ100" s="257"/>
      <c r="AK100" s="134"/>
      <c r="AL100" s="211"/>
      <c r="AM100" s="211"/>
      <c r="AN100" s="262">
        <f t="shared" si="18"/>
        <v>0</v>
      </c>
      <c r="AO100" s="263">
        <f t="shared" si="19"/>
        <v>0</v>
      </c>
      <c r="AP100" s="184"/>
      <c r="AQ100" s="263"/>
      <c r="AR100" s="184">
        <f t="shared" si="28"/>
        <v>0</v>
      </c>
      <c r="AS100" s="263">
        <f t="shared" ref="AS100:AS150" si="31">IF(AN100-AO100&gt;0, " ",AO100-AN100)</f>
        <v>0</v>
      </c>
      <c r="AT100" s="36"/>
      <c r="AU100" s="36"/>
      <c r="AV100" s="36"/>
      <c r="AW100" s="36"/>
      <c r="AX100" s="36"/>
      <c r="AY100" s="36"/>
      <c r="AZ100" s="36"/>
    </row>
    <row r="101" spans="2:52" x14ac:dyDescent="0.2">
      <c r="C101" s="225" t="s">
        <v>25</v>
      </c>
      <c r="D101" s="219"/>
      <c r="E101" s="202"/>
      <c r="F101" s="203"/>
      <c r="G101" s="802"/>
      <c r="H101" s="211"/>
      <c r="I101" s="802"/>
      <c r="J101" s="803"/>
      <c r="K101" s="211"/>
      <c r="L101" s="803"/>
      <c r="M101" s="211"/>
      <c r="N101" s="212"/>
      <c r="O101" s="211"/>
      <c r="P101" s="211"/>
      <c r="Q101" s="802"/>
      <c r="R101" s="803"/>
      <c r="S101" s="211"/>
      <c r="T101" s="212"/>
      <c r="U101" s="184">
        <f t="shared" si="22"/>
        <v>0</v>
      </c>
      <c r="V101" s="184">
        <f t="shared" si="23"/>
        <v>0</v>
      </c>
      <c r="W101" s="262">
        <f t="shared" si="24"/>
        <v>0</v>
      </c>
      <c r="X101" s="263">
        <f t="shared" si="25"/>
        <v>0</v>
      </c>
      <c r="Y101" s="292"/>
      <c r="Z101" s="293">
        <f>'Beginning Capital Assets &amp; LTD'!K80</f>
        <v>0</v>
      </c>
      <c r="AA101" s="261"/>
      <c r="AB101" s="134"/>
      <c r="AC101" s="257"/>
      <c r="AD101" s="45"/>
      <c r="AE101" s="45"/>
      <c r="AF101" s="257" t="str">
        <f>'H. Other Liabilities &amp; Expenses'!D235</f>
        <v>H.1</v>
      </c>
      <c r="AG101" s="45">
        <f>'H. Other Liabilities &amp; Expenses'!N259</f>
        <v>0</v>
      </c>
      <c r="AH101" s="256" t="str">
        <f>'I. Eliminations-Consolidations'!A233</f>
        <v>I.6</v>
      </c>
      <c r="AI101" s="45">
        <f>'I. Eliminations-Consolidations'!J240</f>
        <v>0</v>
      </c>
      <c r="AJ101" s="257"/>
      <c r="AK101" s="134"/>
      <c r="AL101" s="211"/>
      <c r="AM101" s="211"/>
      <c r="AN101" s="262">
        <f t="shared" si="18"/>
        <v>0</v>
      </c>
      <c r="AO101" s="263">
        <f t="shared" si="19"/>
        <v>0</v>
      </c>
      <c r="AP101" s="184"/>
      <c r="AQ101" s="263"/>
      <c r="AR101" s="184">
        <f t="shared" si="28"/>
        <v>0</v>
      </c>
      <c r="AS101" s="263">
        <f t="shared" si="31"/>
        <v>0</v>
      </c>
      <c r="AT101" s="36"/>
      <c r="AU101" s="36"/>
      <c r="AV101" s="36"/>
      <c r="AW101" s="36"/>
      <c r="AX101" s="36"/>
      <c r="AY101" s="36"/>
      <c r="AZ101" s="36"/>
    </row>
    <row r="102" spans="2:52" s="454" customFormat="1" x14ac:dyDescent="0.2">
      <c r="C102" s="219" t="s">
        <v>1078</v>
      </c>
      <c r="D102" s="219"/>
      <c r="E102" s="202"/>
      <c r="F102" s="203"/>
      <c r="G102" s="802"/>
      <c r="H102" s="211"/>
      <c r="I102" s="802"/>
      <c r="J102" s="803"/>
      <c r="K102" s="211"/>
      <c r="L102" s="803"/>
      <c r="M102" s="211"/>
      <c r="N102" s="212"/>
      <c r="O102" s="211"/>
      <c r="P102" s="211"/>
      <c r="Q102" s="802"/>
      <c r="R102" s="803"/>
      <c r="S102" s="211"/>
      <c r="T102" s="212"/>
      <c r="U102" s="184">
        <f>O102+Q102+S102</f>
        <v>0</v>
      </c>
      <c r="V102" s="184">
        <f>P102+R102+T102</f>
        <v>0</v>
      </c>
      <c r="W102" s="262">
        <f>E102+G102+I102+K102+M102+U102</f>
        <v>0</v>
      </c>
      <c r="X102" s="263">
        <f>F102+H102+J102+L102+N102+V102</f>
        <v>0</v>
      </c>
      <c r="Y102" s="293"/>
      <c r="Z102" s="293">
        <f>'J. GASB 68 TSERS'!C65*'J. GASB 68 TSERS'!H29</f>
        <v>0</v>
      </c>
      <c r="AA102" s="261"/>
      <c r="AB102" s="134"/>
      <c r="AC102" s="257" t="s">
        <v>1080</v>
      </c>
      <c r="AD102" s="45">
        <f>'J. GASB 68 TSERS'!C92</f>
        <v>0</v>
      </c>
      <c r="AE102" s="45"/>
      <c r="AF102" s="257" t="s">
        <v>1080</v>
      </c>
      <c r="AG102" s="45">
        <f>'J. GASB 68 TSERS'!D92</f>
        <v>0</v>
      </c>
      <c r="AH102" s="256"/>
      <c r="AI102" s="45"/>
      <c r="AJ102" s="257"/>
      <c r="AK102" s="134"/>
      <c r="AL102" s="211"/>
      <c r="AM102" s="211"/>
      <c r="AN102" s="262">
        <f>W102+Y102+AA102+AD102+AI102+AL102</f>
        <v>0</v>
      </c>
      <c r="AO102" s="263">
        <f>X102+Z102+AB102+AG102+AK102+AM102</f>
        <v>0</v>
      </c>
      <c r="AP102" s="184"/>
      <c r="AQ102" s="263"/>
      <c r="AR102" s="184">
        <f>IF(AN102-AO102&lt;0, " ",AN102-AO102)</f>
        <v>0</v>
      </c>
      <c r="AS102" s="263">
        <f>IF(AN102-AO102&gt;0, " ",AO102-AN102)</f>
        <v>0</v>
      </c>
      <c r="AT102" s="36"/>
      <c r="AU102" s="36"/>
      <c r="AV102" s="36"/>
      <c r="AW102" s="36"/>
      <c r="AX102" s="36"/>
      <c r="AY102" s="36"/>
      <c r="AZ102" s="36"/>
    </row>
    <row r="103" spans="2:52" s="613" customFormat="1" x14ac:dyDescent="0.2">
      <c r="C103" s="744" t="s">
        <v>1664</v>
      </c>
      <c r="D103" s="219"/>
      <c r="E103" s="202"/>
      <c r="F103" s="203"/>
      <c r="G103" s="802"/>
      <c r="H103" s="211"/>
      <c r="I103" s="802"/>
      <c r="J103" s="803"/>
      <c r="K103" s="211"/>
      <c r="L103" s="803"/>
      <c r="M103" s="211"/>
      <c r="N103" s="212"/>
      <c r="O103" s="211"/>
      <c r="P103" s="211"/>
      <c r="Q103" s="802"/>
      <c r="R103" s="803"/>
      <c r="S103" s="211"/>
      <c r="T103" s="212"/>
      <c r="U103" s="184"/>
      <c r="V103" s="184"/>
      <c r="W103" s="262"/>
      <c r="X103" s="263"/>
      <c r="Y103" s="293"/>
      <c r="Z103" s="293"/>
      <c r="AA103" s="261"/>
      <c r="AB103" s="134"/>
      <c r="AC103" s="257" t="s">
        <v>1518</v>
      </c>
      <c r="AD103" s="45"/>
      <c r="AF103" s="673" t="s">
        <v>1518</v>
      </c>
      <c r="AG103" s="45">
        <f>'K. GASB 75 RHBF'!D93</f>
        <v>0</v>
      </c>
      <c r="AH103" s="256"/>
      <c r="AI103" s="45"/>
      <c r="AJ103" s="257"/>
      <c r="AK103" s="134"/>
      <c r="AL103" s="211"/>
      <c r="AM103" s="211"/>
      <c r="AN103" s="262">
        <f>W103+Y103+AA103+AD103+AI103+AL103</f>
        <v>0</v>
      </c>
      <c r="AO103" s="263">
        <f>X103+Z103+AB103+AG103+AK103+AM103</f>
        <v>0</v>
      </c>
      <c r="AP103" s="184"/>
      <c r="AQ103" s="263"/>
      <c r="AR103" s="184">
        <f>IF(AN103-AO103&lt;0, " ",AN103-AO103)</f>
        <v>0</v>
      </c>
      <c r="AS103" s="263">
        <f>IF(AN103-AO103&gt;0, " ",AO103-AN103)</f>
        <v>0</v>
      </c>
      <c r="AT103" s="36"/>
      <c r="AU103" s="36"/>
      <c r="AV103" s="36"/>
      <c r="AW103" s="36"/>
      <c r="AX103" s="36"/>
      <c r="AY103" s="36"/>
      <c r="AZ103" s="36"/>
    </row>
    <row r="104" spans="2:52" s="743" customFormat="1" x14ac:dyDescent="0.2">
      <c r="C104" s="744" t="s">
        <v>1665</v>
      </c>
      <c r="D104" s="219"/>
      <c r="E104" s="202"/>
      <c r="F104" s="203"/>
      <c r="G104" s="802"/>
      <c r="H104" s="211"/>
      <c r="I104" s="802"/>
      <c r="J104" s="803"/>
      <c r="K104" s="211"/>
      <c r="L104" s="803"/>
      <c r="M104" s="211"/>
      <c r="N104" s="212"/>
      <c r="O104" s="211"/>
      <c r="P104" s="211"/>
      <c r="Q104" s="802"/>
      <c r="R104" s="803"/>
      <c r="S104" s="211"/>
      <c r="T104" s="212"/>
      <c r="U104" s="184"/>
      <c r="V104" s="184"/>
      <c r="W104" s="262"/>
      <c r="X104" s="263"/>
      <c r="Y104" s="293"/>
      <c r="Z104" s="293"/>
      <c r="AA104" s="261"/>
      <c r="AB104" s="134"/>
      <c r="AC104" s="257"/>
      <c r="AD104" s="45"/>
      <c r="AF104" s="673"/>
      <c r="AG104" s="45"/>
      <c r="AH104" s="256"/>
      <c r="AI104" s="45"/>
      <c r="AJ104" s="257"/>
      <c r="AK104" s="134"/>
      <c r="AL104" s="211"/>
      <c r="AM104" s="211"/>
      <c r="AN104" s="262"/>
      <c r="AO104" s="263"/>
      <c r="AP104" s="184"/>
      <c r="AQ104" s="263"/>
      <c r="AR104" s="184"/>
      <c r="AS104" s="263"/>
      <c r="AT104" s="36"/>
      <c r="AU104" s="36"/>
      <c r="AV104" s="36"/>
      <c r="AW104" s="36"/>
      <c r="AX104" s="36"/>
      <c r="AY104" s="36"/>
      <c r="AZ104" s="36"/>
    </row>
    <row r="105" spans="2:52" x14ac:dyDescent="0.2">
      <c r="C105" s="219"/>
      <c r="D105" s="219"/>
      <c r="E105" s="202"/>
      <c r="F105" s="203"/>
      <c r="G105" s="802"/>
      <c r="H105" s="211"/>
      <c r="I105" s="802"/>
      <c r="J105" s="803"/>
      <c r="K105" s="211"/>
      <c r="L105" s="803"/>
      <c r="M105" s="211"/>
      <c r="N105" s="212"/>
      <c r="O105" s="211"/>
      <c r="P105" s="211"/>
      <c r="Q105" s="802"/>
      <c r="R105" s="803"/>
      <c r="S105" s="211"/>
      <c r="T105" s="212"/>
      <c r="U105" s="184"/>
      <c r="V105" s="184"/>
      <c r="W105" s="262"/>
      <c r="X105" s="263"/>
      <c r="Y105" s="293"/>
      <c r="Z105" s="293"/>
      <c r="AA105" s="261"/>
      <c r="AB105" s="134"/>
      <c r="AC105" s="257"/>
      <c r="AD105" s="45"/>
      <c r="AE105" s="45"/>
      <c r="AF105" s="257"/>
      <c r="AG105" s="45"/>
      <c r="AH105" s="256"/>
      <c r="AI105" s="45"/>
      <c r="AJ105" s="257"/>
      <c r="AK105" s="134"/>
      <c r="AL105" s="211"/>
      <c r="AM105" s="211"/>
      <c r="AN105" s="262"/>
      <c r="AO105" s="263"/>
      <c r="AP105" s="184"/>
      <c r="AQ105" s="263"/>
      <c r="AR105" s="184"/>
      <c r="AS105" s="263"/>
      <c r="AT105" s="36"/>
      <c r="AU105" s="36"/>
      <c r="AV105" s="36"/>
      <c r="AW105" s="36"/>
      <c r="AX105" s="36"/>
      <c r="AY105" s="36"/>
      <c r="AZ105" s="36"/>
    </row>
    <row r="106" spans="2:52" x14ac:dyDescent="0.2">
      <c r="B106" s="4" t="s">
        <v>730</v>
      </c>
      <c r="C106" s="219"/>
      <c r="D106" s="219"/>
      <c r="E106" s="202"/>
      <c r="F106" s="203"/>
      <c r="G106" s="802"/>
      <c r="H106" s="211"/>
      <c r="I106" s="802"/>
      <c r="J106" s="803"/>
      <c r="K106" s="211"/>
      <c r="L106" s="803"/>
      <c r="M106" s="211"/>
      <c r="N106" s="212"/>
      <c r="O106" s="211"/>
      <c r="P106" s="211"/>
      <c r="Q106" s="802"/>
      <c r="R106" s="803"/>
      <c r="S106" s="211"/>
      <c r="T106" s="212"/>
      <c r="U106" s="184">
        <f t="shared" ref="U106:V112" si="32">O106+Q106+S106</f>
        <v>0</v>
      </c>
      <c r="V106" s="184">
        <f t="shared" si="32"/>
        <v>0</v>
      </c>
      <c r="W106" s="262">
        <f t="shared" ref="W106:X112" si="33">E106+G106+I106+K106+M106+U106</f>
        <v>0</v>
      </c>
      <c r="X106" s="263">
        <f t="shared" si="33"/>
        <v>0</v>
      </c>
      <c r="Y106" s="293"/>
      <c r="Z106" s="293"/>
      <c r="AA106" s="261"/>
      <c r="AB106" s="134"/>
      <c r="AC106" s="257"/>
      <c r="AD106" s="45"/>
      <c r="AE106" s="45"/>
      <c r="AF106" s="257"/>
      <c r="AG106" s="45"/>
      <c r="AH106" s="256"/>
      <c r="AI106" s="45"/>
      <c r="AJ106" s="257"/>
      <c r="AK106" s="134"/>
      <c r="AL106" s="211"/>
      <c r="AM106" s="211"/>
      <c r="AN106" s="262"/>
      <c r="AO106" s="263"/>
      <c r="AP106" s="184"/>
      <c r="AQ106" s="263"/>
      <c r="AR106" s="184"/>
      <c r="AS106" s="263"/>
      <c r="AT106" s="36"/>
      <c r="AU106" s="36"/>
      <c r="AV106" s="36"/>
      <c r="AW106" s="36"/>
      <c r="AX106" s="36"/>
      <c r="AY106" s="36"/>
      <c r="AZ106" s="36"/>
    </row>
    <row r="107" spans="2:52" x14ac:dyDescent="0.2">
      <c r="C107" s="445" t="s">
        <v>731</v>
      </c>
      <c r="D107" s="311"/>
      <c r="E107" s="204"/>
      <c r="F107" s="205">
        <v>1500</v>
      </c>
      <c r="G107" s="804"/>
      <c r="H107" s="213"/>
      <c r="I107" s="804"/>
      <c r="J107" s="805"/>
      <c r="K107" s="213"/>
      <c r="L107" s="805"/>
      <c r="M107" s="213"/>
      <c r="N107" s="214"/>
      <c r="O107" s="213"/>
      <c r="P107" s="213"/>
      <c r="Q107" s="804"/>
      <c r="R107" s="805"/>
      <c r="S107" s="213"/>
      <c r="T107" s="214"/>
      <c r="U107" s="184">
        <f t="shared" si="32"/>
        <v>0</v>
      </c>
      <c r="V107" s="184">
        <f t="shared" si="32"/>
        <v>0</v>
      </c>
      <c r="W107" s="262">
        <f t="shared" si="33"/>
        <v>0</v>
      </c>
      <c r="X107" s="263">
        <f t="shared" si="33"/>
        <v>1500</v>
      </c>
      <c r="Y107" s="294"/>
      <c r="Z107" s="295"/>
      <c r="AA107" s="265"/>
      <c r="AB107" s="135"/>
      <c r="AC107" s="266"/>
      <c r="AD107" s="44"/>
      <c r="AE107" s="44"/>
      <c r="AF107" s="266"/>
      <c r="AG107" s="44"/>
      <c r="AH107" s="267"/>
      <c r="AI107" s="44"/>
      <c r="AJ107" s="266"/>
      <c r="AK107" s="135"/>
      <c r="AL107" s="213"/>
      <c r="AM107" s="213"/>
      <c r="AN107" s="262">
        <f t="shared" ref="AN107:AN116" si="34">W107+Y107+AA107+AD107+AI107+AL107</f>
        <v>0</v>
      </c>
      <c r="AO107" s="263">
        <f t="shared" ref="AO107:AO116" si="35">X107+Z107+AB107+AG107+AK107+AM107</f>
        <v>1500</v>
      </c>
      <c r="AP107" s="184"/>
      <c r="AQ107" s="263"/>
      <c r="AR107" s="184" t="str">
        <f t="shared" ref="AR107:AR116" si="36">IF(AN107-AO107&lt;0, " ",AN107-AO107)</f>
        <v xml:space="preserve"> </v>
      </c>
      <c r="AS107" s="263">
        <f t="shared" ref="AS107:AS116" si="37">IF(AN107-AO107&gt;0, " ",AO107-AN107)</f>
        <v>1500</v>
      </c>
      <c r="AT107" s="36"/>
      <c r="AU107" s="36"/>
      <c r="AV107" s="36"/>
      <c r="AW107" s="36"/>
      <c r="AX107" s="36"/>
      <c r="AY107" s="36"/>
      <c r="AZ107" s="36"/>
    </row>
    <row r="108" spans="2:52" x14ac:dyDescent="0.2">
      <c r="C108" s="219" t="s">
        <v>752</v>
      </c>
      <c r="D108" s="219"/>
      <c r="E108" s="202"/>
      <c r="F108" s="203"/>
      <c r="G108" s="802"/>
      <c r="H108" s="211"/>
      <c r="I108" s="802"/>
      <c r="J108" s="803"/>
      <c r="K108" s="211"/>
      <c r="L108" s="803"/>
      <c r="M108" s="211"/>
      <c r="N108" s="212"/>
      <c r="O108" s="211"/>
      <c r="P108" s="211"/>
      <c r="Q108" s="802"/>
      <c r="R108" s="803"/>
      <c r="S108" s="211"/>
      <c r="T108" s="212"/>
      <c r="U108" s="184">
        <f t="shared" si="32"/>
        <v>0</v>
      </c>
      <c r="V108" s="184">
        <f t="shared" si="32"/>
        <v>0</v>
      </c>
      <c r="W108" s="262">
        <f t="shared" si="33"/>
        <v>0</v>
      </c>
      <c r="X108" s="263">
        <f t="shared" si="33"/>
        <v>0</v>
      </c>
      <c r="Y108" s="293"/>
      <c r="Z108" s="293"/>
      <c r="AA108" s="261"/>
      <c r="AB108" s="134"/>
      <c r="AC108" s="257"/>
      <c r="AD108" s="45"/>
      <c r="AE108" s="45"/>
      <c r="AF108" s="257"/>
      <c r="AG108" s="45"/>
      <c r="AH108" s="256"/>
      <c r="AI108" s="45"/>
      <c r="AJ108" s="257"/>
      <c r="AK108" s="134"/>
      <c r="AL108" s="211"/>
      <c r="AM108" s="211"/>
      <c r="AN108" s="262">
        <f t="shared" si="34"/>
        <v>0</v>
      </c>
      <c r="AO108" s="263">
        <f t="shared" si="35"/>
        <v>0</v>
      </c>
      <c r="AP108" s="184"/>
      <c r="AQ108" s="263"/>
      <c r="AR108" s="184">
        <f t="shared" si="36"/>
        <v>0</v>
      </c>
      <c r="AS108" s="263">
        <f t="shared" si="37"/>
        <v>0</v>
      </c>
      <c r="AT108" s="36"/>
      <c r="AU108" s="36"/>
      <c r="AV108" s="36"/>
      <c r="AW108" s="36"/>
      <c r="AX108" s="36"/>
      <c r="AY108" s="36"/>
      <c r="AZ108" s="36"/>
    </row>
    <row r="109" spans="2:52" s="525" customFormat="1" ht="51" x14ac:dyDescent="0.2">
      <c r="C109" s="524" t="s">
        <v>1187</v>
      </c>
      <c r="D109" s="219"/>
      <c r="E109" s="202"/>
      <c r="F109" s="203"/>
      <c r="G109" s="802"/>
      <c r="H109" s="211"/>
      <c r="I109" s="802"/>
      <c r="J109" s="803"/>
      <c r="K109" s="211"/>
      <c r="L109" s="803"/>
      <c r="M109" s="211"/>
      <c r="N109" s="212"/>
      <c r="O109" s="211"/>
      <c r="P109" s="211"/>
      <c r="Q109" s="802"/>
      <c r="R109" s="803"/>
      <c r="S109" s="211"/>
      <c r="T109" s="212"/>
      <c r="U109" s="184">
        <f t="shared" si="32"/>
        <v>0</v>
      </c>
      <c r="V109" s="184">
        <f t="shared" si="32"/>
        <v>0</v>
      </c>
      <c r="W109" s="262">
        <f t="shared" si="33"/>
        <v>0</v>
      </c>
      <c r="X109" s="263">
        <f t="shared" si="33"/>
        <v>0</v>
      </c>
      <c r="Y109" s="293"/>
      <c r="Z109" s="293">
        <f>'J. GASB 68 TSERS'!C65*'J. GASB 68 TSERS'!R29</f>
        <v>0</v>
      </c>
      <c r="AA109" s="261"/>
      <c r="AB109" s="134"/>
      <c r="AC109" s="257" t="s">
        <v>1080</v>
      </c>
      <c r="AD109" s="45">
        <f>'J. GASB 68 TSERS'!C117</f>
        <v>0</v>
      </c>
      <c r="AE109" s="45"/>
      <c r="AF109" s="257" t="s">
        <v>1080</v>
      </c>
      <c r="AG109" s="45">
        <f>'J. GASB 68 TSERS'!D117</f>
        <v>0</v>
      </c>
      <c r="AH109" s="256"/>
      <c r="AI109" s="45"/>
      <c r="AJ109" s="257"/>
      <c r="AK109" s="134"/>
      <c r="AL109" s="211"/>
      <c r="AM109" s="211"/>
      <c r="AN109" s="262">
        <f t="shared" si="34"/>
        <v>0</v>
      </c>
      <c r="AO109" s="263">
        <f t="shared" si="35"/>
        <v>0</v>
      </c>
      <c r="AP109" s="184"/>
      <c r="AQ109" s="263"/>
      <c r="AR109" s="184">
        <f t="shared" si="36"/>
        <v>0</v>
      </c>
      <c r="AS109" s="263">
        <f t="shared" si="37"/>
        <v>0</v>
      </c>
      <c r="AT109" s="36"/>
      <c r="AU109" s="36"/>
      <c r="AV109" s="36"/>
      <c r="AW109" s="36"/>
      <c r="AX109" s="36"/>
      <c r="AY109" s="36"/>
      <c r="AZ109" s="36"/>
    </row>
    <row r="110" spans="2:52" s="525" customFormat="1" ht="25.5" x14ac:dyDescent="0.2">
      <c r="C110" s="524" t="s">
        <v>1186</v>
      </c>
      <c r="D110" s="219"/>
      <c r="E110" s="202"/>
      <c r="F110" s="203"/>
      <c r="G110" s="802"/>
      <c r="H110" s="211"/>
      <c r="I110" s="802"/>
      <c r="J110" s="803"/>
      <c r="K110" s="211"/>
      <c r="L110" s="803"/>
      <c r="M110" s="211"/>
      <c r="N110" s="212"/>
      <c r="O110" s="211"/>
      <c r="P110" s="211"/>
      <c r="Q110" s="802"/>
      <c r="R110" s="803"/>
      <c r="S110" s="211"/>
      <c r="T110" s="212"/>
      <c r="U110" s="184">
        <f t="shared" si="32"/>
        <v>0</v>
      </c>
      <c r="V110" s="184">
        <f t="shared" si="32"/>
        <v>0</v>
      </c>
      <c r="W110" s="262">
        <f t="shared" si="33"/>
        <v>0</v>
      </c>
      <c r="X110" s="263">
        <f t="shared" si="33"/>
        <v>0</v>
      </c>
      <c r="Y110" s="293"/>
      <c r="Z110" s="293">
        <f>'J. GASB 68 TSERS'!C65*'J. GASB 68 TSERS'!O29</f>
        <v>0</v>
      </c>
      <c r="AA110" s="261"/>
      <c r="AB110" s="134"/>
      <c r="AC110" s="257" t="s">
        <v>1080</v>
      </c>
      <c r="AD110" s="45">
        <f>'J. GASB 68 TSERS'!C114</f>
        <v>0</v>
      </c>
      <c r="AE110" s="45"/>
      <c r="AF110" s="257" t="s">
        <v>1080</v>
      </c>
      <c r="AG110" s="45">
        <f>'J. GASB 68 TSERS'!D114</f>
        <v>0</v>
      </c>
      <c r="AH110" s="256"/>
      <c r="AI110" s="45"/>
      <c r="AJ110" s="257"/>
      <c r="AK110" s="134"/>
      <c r="AL110" s="211"/>
      <c r="AM110" s="211"/>
      <c r="AN110" s="262">
        <f t="shared" si="34"/>
        <v>0</v>
      </c>
      <c r="AO110" s="263">
        <f t="shared" si="35"/>
        <v>0</v>
      </c>
      <c r="AP110" s="184"/>
      <c r="AQ110" s="263"/>
      <c r="AR110" s="184">
        <f t="shared" si="36"/>
        <v>0</v>
      </c>
      <c r="AS110" s="263">
        <f t="shared" si="37"/>
        <v>0</v>
      </c>
      <c r="AT110" s="36"/>
      <c r="AU110" s="36"/>
      <c r="AV110" s="36"/>
      <c r="AW110" s="36"/>
      <c r="AX110" s="36"/>
      <c r="AY110" s="36"/>
      <c r="AZ110" s="36"/>
    </row>
    <row r="111" spans="2:52" s="525" customFormat="1" x14ac:dyDescent="0.2">
      <c r="C111" s="525" t="s">
        <v>1185</v>
      </c>
      <c r="D111" s="219"/>
      <c r="E111" s="202"/>
      <c r="F111" s="203"/>
      <c r="G111" s="802"/>
      <c r="H111" s="211"/>
      <c r="I111" s="802"/>
      <c r="J111" s="803"/>
      <c r="K111" s="211"/>
      <c r="L111" s="803"/>
      <c r="M111" s="211"/>
      <c r="N111" s="212"/>
      <c r="O111" s="211"/>
      <c r="P111" s="211"/>
      <c r="Q111" s="802"/>
      <c r="R111" s="803"/>
      <c r="S111" s="211"/>
      <c r="T111" s="212"/>
      <c r="U111" s="184">
        <f t="shared" si="32"/>
        <v>0</v>
      </c>
      <c r="V111" s="184">
        <f t="shared" si="32"/>
        <v>0</v>
      </c>
      <c r="W111" s="262">
        <f t="shared" si="33"/>
        <v>0</v>
      </c>
      <c r="X111" s="263">
        <f t="shared" si="33"/>
        <v>0</v>
      </c>
      <c r="Y111" s="293"/>
      <c r="Z111" s="293">
        <f>'J. GASB 68 TSERS'!C65*'J. GASB 68 TSERS'!Q29</f>
        <v>0</v>
      </c>
      <c r="AA111" s="261"/>
      <c r="AB111" s="134"/>
      <c r="AC111" s="257" t="s">
        <v>1080</v>
      </c>
      <c r="AD111" s="45">
        <f>'J. GASB 68 TSERS'!C116</f>
        <v>0</v>
      </c>
      <c r="AE111" s="45"/>
      <c r="AF111" s="257" t="s">
        <v>1080</v>
      </c>
      <c r="AG111" s="45">
        <f>'J. GASB 68 TSERS'!D116</f>
        <v>0</v>
      </c>
      <c r="AH111" s="256"/>
      <c r="AI111" s="45"/>
      <c r="AJ111" s="257"/>
      <c r="AK111" s="134"/>
      <c r="AL111" s="211"/>
      <c r="AM111" s="211"/>
      <c r="AN111" s="262">
        <f t="shared" si="34"/>
        <v>0</v>
      </c>
      <c r="AO111" s="263">
        <f t="shared" si="35"/>
        <v>0</v>
      </c>
      <c r="AP111" s="184"/>
      <c r="AQ111" s="263"/>
      <c r="AR111" s="184">
        <f t="shared" si="36"/>
        <v>0</v>
      </c>
      <c r="AS111" s="263">
        <f t="shared" si="37"/>
        <v>0</v>
      </c>
      <c r="AT111" s="36"/>
      <c r="AU111" s="36"/>
      <c r="AV111" s="36"/>
      <c r="AW111" s="36"/>
      <c r="AX111" s="36"/>
      <c r="AY111" s="36"/>
      <c r="AZ111" s="36"/>
    </row>
    <row r="112" spans="2:52" s="454" customFormat="1" ht="38.25" x14ac:dyDescent="0.2">
      <c r="C112" s="477" t="s">
        <v>1077</v>
      </c>
      <c r="D112" s="219"/>
      <c r="E112" s="202"/>
      <c r="F112" s="203"/>
      <c r="G112" s="802"/>
      <c r="H112" s="211"/>
      <c r="I112" s="802"/>
      <c r="J112" s="803"/>
      <c r="K112" s="211"/>
      <c r="L112" s="803"/>
      <c r="M112" s="211"/>
      <c r="N112" s="212"/>
      <c r="O112" s="211"/>
      <c r="P112" s="211"/>
      <c r="Q112" s="802"/>
      <c r="R112" s="803"/>
      <c r="S112" s="211"/>
      <c r="T112" s="212"/>
      <c r="U112" s="184">
        <f t="shared" si="32"/>
        <v>0</v>
      </c>
      <c r="V112" s="184">
        <f t="shared" si="32"/>
        <v>0</v>
      </c>
      <c r="W112" s="262">
        <f t="shared" si="33"/>
        <v>0</v>
      </c>
      <c r="X112" s="263">
        <f t="shared" si="33"/>
        <v>0</v>
      </c>
      <c r="Y112" s="293"/>
      <c r="Z112" s="293">
        <f>IF('J. GASB 68 TSERS'!K33&lt;0,'J. GASB 68 TSERS'!C65*-'J. GASB 68 TSERS'!K33,0)</f>
        <v>0</v>
      </c>
      <c r="AA112" s="261"/>
      <c r="AB112" s="134"/>
      <c r="AC112" s="257" t="s">
        <v>1080</v>
      </c>
      <c r="AD112" s="45">
        <f>'J. GASB 68 TSERS'!C115</f>
        <v>0</v>
      </c>
      <c r="AE112" s="45"/>
      <c r="AF112" s="257" t="s">
        <v>1080</v>
      </c>
      <c r="AG112" s="45">
        <f>'J. GASB 68 TSERS'!D115</f>
        <v>0</v>
      </c>
      <c r="AH112" s="256"/>
      <c r="AI112" s="45"/>
      <c r="AJ112" s="257"/>
      <c r="AK112" s="134"/>
      <c r="AL112" s="211"/>
      <c r="AM112" s="211"/>
      <c r="AN112" s="262">
        <f t="shared" si="34"/>
        <v>0</v>
      </c>
      <c r="AO112" s="263">
        <f t="shared" si="35"/>
        <v>0</v>
      </c>
      <c r="AP112" s="184"/>
      <c r="AQ112" s="263"/>
      <c r="AR112" s="184">
        <f t="shared" si="36"/>
        <v>0</v>
      </c>
      <c r="AS112" s="263">
        <f t="shared" si="37"/>
        <v>0</v>
      </c>
      <c r="AT112" s="36"/>
      <c r="AU112" s="36"/>
      <c r="AV112" s="36"/>
      <c r="AW112" s="36"/>
      <c r="AX112" s="36"/>
      <c r="AY112" s="36"/>
      <c r="AZ112" s="36"/>
    </row>
    <row r="113" spans="1:52" s="613" customFormat="1" ht="51" x14ac:dyDescent="0.2">
      <c r="C113" s="614" t="s">
        <v>1520</v>
      </c>
      <c r="D113" s="219"/>
      <c r="E113" s="202"/>
      <c r="F113" s="203"/>
      <c r="G113" s="802"/>
      <c r="H113" s="211"/>
      <c r="I113" s="802"/>
      <c r="J113" s="803"/>
      <c r="K113" s="211"/>
      <c r="L113" s="803"/>
      <c r="M113" s="211"/>
      <c r="N113" s="212"/>
      <c r="O113" s="211"/>
      <c r="P113" s="211"/>
      <c r="Q113" s="802"/>
      <c r="R113" s="803"/>
      <c r="S113" s="211"/>
      <c r="T113" s="212"/>
      <c r="U113" s="184"/>
      <c r="V113" s="184"/>
      <c r="W113" s="262"/>
      <c r="X113" s="263"/>
      <c r="Y113" s="293"/>
      <c r="Z113" s="293"/>
      <c r="AA113" s="261"/>
      <c r="AB113" s="134"/>
      <c r="AC113" s="761" t="s">
        <v>1642</v>
      </c>
      <c r="AD113" s="44">
        <f>'K. GASB 75 RHBF'!C118+'L. GASB 75 DIPNC'!C118</f>
        <v>0</v>
      </c>
      <c r="AE113" s="45"/>
      <c r="AF113" s="850" t="s">
        <v>1642</v>
      </c>
      <c r="AG113" s="45">
        <f>'K. GASB 75 RHBF'!D118+'L. GASB 75 DIPNC'!D118</f>
        <v>0</v>
      </c>
      <c r="AH113" s="256"/>
      <c r="AI113" s="45"/>
      <c r="AJ113" s="257"/>
      <c r="AK113" s="134"/>
      <c r="AL113" s="211"/>
      <c r="AM113" s="211"/>
      <c r="AN113" s="262">
        <f t="shared" si="34"/>
        <v>0</v>
      </c>
      <c r="AO113" s="263">
        <f t="shared" si="35"/>
        <v>0</v>
      </c>
      <c r="AP113" s="184"/>
      <c r="AQ113" s="263"/>
      <c r="AR113" s="184">
        <f t="shared" si="36"/>
        <v>0</v>
      </c>
      <c r="AS113" s="263">
        <f t="shared" si="37"/>
        <v>0</v>
      </c>
      <c r="AT113" s="36"/>
      <c r="AU113" s="36"/>
      <c r="AV113" s="36"/>
      <c r="AW113" s="36"/>
      <c r="AX113" s="36"/>
      <c r="AY113" s="36"/>
      <c r="AZ113" s="36"/>
    </row>
    <row r="114" spans="1:52" s="613" customFormat="1" ht="25.5" x14ac:dyDescent="0.2">
      <c r="C114" s="614" t="s">
        <v>1521</v>
      </c>
      <c r="D114" s="219"/>
      <c r="E114" s="202"/>
      <c r="F114" s="203"/>
      <c r="G114" s="802"/>
      <c r="H114" s="211"/>
      <c r="I114" s="802"/>
      <c r="J114" s="803"/>
      <c r="K114" s="211"/>
      <c r="L114" s="803"/>
      <c r="M114" s="211"/>
      <c r="N114" s="212"/>
      <c r="O114" s="211"/>
      <c r="P114" s="211"/>
      <c r="Q114" s="802"/>
      <c r="R114" s="803"/>
      <c r="S114" s="211"/>
      <c r="T114" s="212"/>
      <c r="U114" s="184"/>
      <c r="V114" s="184"/>
      <c r="W114" s="262"/>
      <c r="X114" s="263"/>
      <c r="Y114" s="293"/>
      <c r="Z114" s="293"/>
      <c r="AA114" s="261"/>
      <c r="AB114" s="134"/>
      <c r="AC114" s="761" t="s">
        <v>1642</v>
      </c>
      <c r="AD114" s="851">
        <f>'K. GASB 75 RHBF'!C115+'L. GASB 75 DIPNC'!C115</f>
        <v>0</v>
      </c>
      <c r="AE114" s="45"/>
      <c r="AF114" s="850" t="s">
        <v>1642</v>
      </c>
      <c r="AG114" s="676">
        <f>'K. GASB 75 RHBF'!D115+'L. GASB 75 DIPNC'!D115</f>
        <v>0</v>
      </c>
      <c r="AH114" s="256"/>
      <c r="AI114" s="45"/>
      <c r="AJ114" s="257"/>
      <c r="AK114" s="134"/>
      <c r="AL114" s="211"/>
      <c r="AM114" s="211"/>
      <c r="AN114" s="262">
        <f t="shared" si="34"/>
        <v>0</v>
      </c>
      <c r="AO114" s="263">
        <f t="shared" si="35"/>
        <v>0</v>
      </c>
      <c r="AP114" s="184"/>
      <c r="AQ114" s="263"/>
      <c r="AR114" s="184">
        <f t="shared" si="36"/>
        <v>0</v>
      </c>
      <c r="AS114" s="263">
        <f t="shared" si="37"/>
        <v>0</v>
      </c>
      <c r="AT114" s="36"/>
      <c r="AU114" s="36"/>
      <c r="AV114" s="36"/>
      <c r="AW114" s="36"/>
      <c r="AX114" s="36"/>
      <c r="AY114" s="36"/>
      <c r="AZ114" s="36"/>
    </row>
    <row r="115" spans="1:52" s="613" customFormat="1" x14ac:dyDescent="0.2">
      <c r="C115" s="447" t="s">
        <v>1522</v>
      </c>
      <c r="D115" s="219"/>
      <c r="E115" s="202"/>
      <c r="F115" s="203"/>
      <c r="G115" s="802"/>
      <c r="H115" s="211"/>
      <c r="I115" s="802"/>
      <c r="J115" s="803"/>
      <c r="K115" s="211"/>
      <c r="L115" s="803"/>
      <c r="M115" s="211"/>
      <c r="N115" s="212"/>
      <c r="O115" s="211"/>
      <c r="P115" s="211"/>
      <c r="Q115" s="802"/>
      <c r="R115" s="803"/>
      <c r="S115" s="211"/>
      <c r="T115" s="212"/>
      <c r="U115" s="184"/>
      <c r="V115" s="184"/>
      <c r="W115" s="262"/>
      <c r="X115" s="263"/>
      <c r="Y115" s="293"/>
      <c r="Z115" s="293"/>
      <c r="AA115" s="261"/>
      <c r="AB115" s="134"/>
      <c r="AC115" s="761" t="s">
        <v>1642</v>
      </c>
      <c r="AD115" s="44">
        <f>'K. GASB 75 RHBF'!C117+'L. GASB 75 DIPNC'!C117</f>
        <v>0</v>
      </c>
      <c r="AE115" s="45"/>
      <c r="AF115" s="850" t="s">
        <v>1642</v>
      </c>
      <c r="AG115" s="45">
        <f>'K. GASB 75 RHBF'!D117+'L. GASB 75 DIPNC'!D117</f>
        <v>0</v>
      </c>
      <c r="AH115" s="256"/>
      <c r="AI115" s="45"/>
      <c r="AJ115" s="257"/>
      <c r="AK115" s="134"/>
      <c r="AL115" s="211"/>
      <c r="AM115" s="211"/>
      <c r="AN115" s="262">
        <f t="shared" si="34"/>
        <v>0</v>
      </c>
      <c r="AO115" s="263">
        <f t="shared" si="35"/>
        <v>0</v>
      </c>
      <c r="AP115" s="184"/>
      <c r="AQ115" s="263"/>
      <c r="AR115" s="184">
        <f t="shared" si="36"/>
        <v>0</v>
      </c>
      <c r="AS115" s="263">
        <f t="shared" si="37"/>
        <v>0</v>
      </c>
      <c r="AT115" s="36"/>
      <c r="AU115" s="36"/>
      <c r="AV115" s="36"/>
      <c r="AW115" s="36"/>
      <c r="AX115" s="36"/>
      <c r="AY115" s="36"/>
      <c r="AZ115" s="36"/>
    </row>
    <row r="116" spans="1:52" s="613" customFormat="1" ht="38.25" x14ac:dyDescent="0.2">
      <c r="C116" s="614" t="s">
        <v>1523</v>
      </c>
      <c r="D116" s="219"/>
      <c r="E116" s="202"/>
      <c r="F116" s="203"/>
      <c r="G116" s="802"/>
      <c r="H116" s="211"/>
      <c r="I116" s="802"/>
      <c r="J116" s="803"/>
      <c r="K116" s="211"/>
      <c r="L116" s="803"/>
      <c r="M116" s="211"/>
      <c r="N116" s="212"/>
      <c r="O116" s="211"/>
      <c r="P116" s="211"/>
      <c r="Q116" s="802"/>
      <c r="R116" s="803"/>
      <c r="S116" s="211"/>
      <c r="T116" s="212"/>
      <c r="U116" s="184"/>
      <c r="V116" s="184"/>
      <c r="W116" s="262"/>
      <c r="X116" s="263"/>
      <c r="Y116" s="293"/>
      <c r="Z116" s="293"/>
      <c r="AA116" s="261"/>
      <c r="AB116" s="134"/>
      <c r="AC116" s="761" t="s">
        <v>1642</v>
      </c>
      <c r="AD116" s="44">
        <f>'K. GASB 75 RHBF'!C116+'L. GASB 75 DIPNC'!C116</f>
        <v>0</v>
      </c>
      <c r="AE116" s="45"/>
      <c r="AF116" s="850" t="s">
        <v>1642</v>
      </c>
      <c r="AG116" s="45">
        <f>'K. GASB 75 RHBF'!D116+'L. GASB 75 DIPNC'!D116</f>
        <v>0</v>
      </c>
      <c r="AH116" s="256"/>
      <c r="AI116" s="45"/>
      <c r="AJ116" s="257"/>
      <c r="AK116" s="134"/>
      <c r="AL116" s="211"/>
      <c r="AM116" s="211"/>
      <c r="AN116" s="262">
        <f t="shared" si="34"/>
        <v>0</v>
      </c>
      <c r="AO116" s="263">
        <f t="shared" si="35"/>
        <v>0</v>
      </c>
      <c r="AP116" s="184"/>
      <c r="AQ116" s="263"/>
      <c r="AR116" s="184">
        <f t="shared" si="36"/>
        <v>0</v>
      </c>
      <c r="AS116" s="263">
        <f t="shared" si="37"/>
        <v>0</v>
      </c>
      <c r="AT116" s="36"/>
      <c r="AU116" s="36"/>
      <c r="AV116" s="36"/>
      <c r="AW116" s="36"/>
      <c r="AX116" s="36"/>
      <c r="AY116" s="36"/>
      <c r="AZ116" s="36"/>
    </row>
    <row r="117" spans="1:52" s="454" customFormat="1" x14ac:dyDescent="0.2">
      <c r="C117" s="219"/>
      <c r="D117" s="219"/>
      <c r="E117" s="202"/>
      <c r="F117" s="203"/>
      <c r="G117" s="802"/>
      <c r="H117" s="211"/>
      <c r="I117" s="802"/>
      <c r="J117" s="803"/>
      <c r="K117" s="211"/>
      <c r="L117" s="803"/>
      <c r="M117" s="211"/>
      <c r="N117" s="212"/>
      <c r="O117" s="211"/>
      <c r="P117" s="211"/>
      <c r="Q117" s="802"/>
      <c r="R117" s="803"/>
      <c r="S117" s="211"/>
      <c r="T117" s="212"/>
      <c r="U117" s="184"/>
      <c r="V117" s="184"/>
      <c r="W117" s="262"/>
      <c r="X117" s="263"/>
      <c r="Y117" s="293"/>
      <c r="Z117" s="293"/>
      <c r="AA117" s="261"/>
      <c r="AB117" s="134"/>
      <c r="AC117" s="257"/>
      <c r="AD117" s="45"/>
      <c r="AE117" s="45"/>
      <c r="AF117" s="257"/>
      <c r="AG117" s="45"/>
      <c r="AH117" s="256"/>
      <c r="AI117" s="45"/>
      <c r="AJ117" s="257"/>
      <c r="AK117" s="134"/>
      <c r="AL117" s="211"/>
      <c r="AM117" s="211"/>
      <c r="AN117" s="262"/>
      <c r="AO117" s="263"/>
      <c r="AP117" s="184"/>
      <c r="AQ117" s="263"/>
      <c r="AR117" s="184"/>
      <c r="AS117" s="263"/>
      <c r="AT117" s="36"/>
      <c r="AU117" s="36"/>
      <c r="AV117" s="36"/>
      <c r="AW117" s="36"/>
      <c r="AX117" s="36"/>
      <c r="AY117" s="36"/>
      <c r="AZ117" s="36"/>
    </row>
    <row r="118" spans="1:52" x14ac:dyDescent="0.2">
      <c r="A118" s="11"/>
      <c r="B118" s="11"/>
      <c r="C118" s="328" t="s">
        <v>37</v>
      </c>
      <c r="D118" s="328"/>
      <c r="E118" s="206"/>
      <c r="F118" s="207">
        <v>15034</v>
      </c>
      <c r="G118" s="806"/>
      <c r="H118" s="215">
        <v>0</v>
      </c>
      <c r="I118" s="806"/>
      <c r="J118" s="807"/>
      <c r="K118" s="215"/>
      <c r="L118" s="807"/>
      <c r="M118" s="215"/>
      <c r="N118" s="216"/>
      <c r="O118" s="215"/>
      <c r="P118" s="215">
        <v>0</v>
      </c>
      <c r="Q118" s="806"/>
      <c r="R118" s="807">
        <v>562</v>
      </c>
      <c r="S118" s="215"/>
      <c r="T118" s="216"/>
      <c r="U118" s="184">
        <f t="shared" si="22"/>
        <v>0</v>
      </c>
      <c r="V118" s="184">
        <f t="shared" si="23"/>
        <v>562</v>
      </c>
      <c r="W118" s="262">
        <f t="shared" si="24"/>
        <v>0</v>
      </c>
      <c r="X118" s="263">
        <f t="shared" si="25"/>
        <v>15596</v>
      </c>
      <c r="Y118" s="298">
        <f>'Beginning Capital Assets &amp; LTD'!I81</f>
        <v>155177</v>
      </c>
      <c r="Z118" s="298">
        <f>'Beginning Capital Assets &amp; LTD'!K69</f>
        <v>566936</v>
      </c>
      <c r="AA118" s="268"/>
      <c r="AB118" s="178"/>
      <c r="AC118" s="269" t="str">
        <f>'E. Debt Service'!D107</f>
        <v>E.3</v>
      </c>
      <c r="AD118" s="177">
        <f>'E. Debt Service'!L107</f>
        <v>1256</v>
      </c>
      <c r="AE118" s="177"/>
      <c r="AF118" s="275" t="str">
        <f>'G.  Other Asset Entries'!B90</f>
        <v>G.1</v>
      </c>
      <c r="AG118" s="177">
        <f>'G.  Other Asset Entries'!N111</f>
        <v>0</v>
      </c>
      <c r="AH118" s="270"/>
      <c r="AI118" s="177"/>
      <c r="AJ118" s="269"/>
      <c r="AK118" s="178"/>
      <c r="AL118" s="215"/>
      <c r="AM118" s="215"/>
      <c r="AN118" s="262">
        <f>W118+Y118+AA118+AD118+AL118</f>
        <v>156433</v>
      </c>
      <c r="AO118" s="263">
        <f>X118+Z118+AB118+AG118+AK118+AM118</f>
        <v>582532</v>
      </c>
      <c r="AP118" s="184"/>
      <c r="AQ118" s="263"/>
      <c r="AR118" s="184">
        <f>IF(SUM(AN118:AN124)&gt;SUM(AO118:AO124), SUM(AN118:AN124)-SUM(AO118:AO124),0)</f>
        <v>0</v>
      </c>
      <c r="AS118" s="263">
        <f>IF(SUM(AO118:AO124)-SUM(AN118:AN124)&gt;0,SUM(AO118:AO124)-SUM(AN118:AN124),0)</f>
        <v>426099</v>
      </c>
      <c r="AT118" s="36"/>
      <c r="AU118" s="36"/>
      <c r="AV118" s="36"/>
      <c r="AW118" s="36"/>
      <c r="AX118" s="36"/>
      <c r="AY118" s="36"/>
      <c r="AZ118" s="36"/>
    </row>
    <row r="119" spans="1:52" s="454" customFormat="1" x14ac:dyDescent="0.2">
      <c r="A119" s="458"/>
      <c r="B119" s="458"/>
      <c r="C119" s="328"/>
      <c r="D119" s="328"/>
      <c r="E119" s="206"/>
      <c r="F119" s="207"/>
      <c r="G119" s="806"/>
      <c r="H119" s="215"/>
      <c r="I119" s="806"/>
      <c r="J119" s="807"/>
      <c r="K119" s="215"/>
      <c r="L119" s="807"/>
      <c r="M119" s="215"/>
      <c r="N119" s="216"/>
      <c r="O119" s="215"/>
      <c r="P119" s="215"/>
      <c r="Q119" s="806"/>
      <c r="R119" s="807"/>
      <c r="S119" s="215"/>
      <c r="T119" s="216"/>
      <c r="U119" s="184">
        <f>O119+Q119+S119</f>
        <v>0</v>
      </c>
      <c r="V119" s="184">
        <f>P119+R119+T119</f>
        <v>0</v>
      </c>
      <c r="W119" s="262">
        <f>E119+G119+I119+K119+M119+U119</f>
        <v>0</v>
      </c>
      <c r="X119" s="263">
        <f>F119+H119+J119+L119+N119+V119</f>
        <v>0</v>
      </c>
      <c r="Y119" s="298"/>
      <c r="Z119" s="298"/>
      <c r="AA119" s="268"/>
      <c r="AB119" s="178"/>
      <c r="AC119" s="269" t="s">
        <v>1080</v>
      </c>
      <c r="AD119" s="177">
        <f>'J. GASB 68 TSERS'!C91</f>
        <v>0</v>
      </c>
      <c r="AE119" s="177"/>
      <c r="AF119" s="275" t="s">
        <v>1080</v>
      </c>
      <c r="AG119" s="177">
        <f>'J. GASB 68 TSERS'!D91</f>
        <v>0</v>
      </c>
      <c r="AH119" s="270"/>
      <c r="AI119" s="177"/>
      <c r="AJ119" s="269"/>
      <c r="AK119" s="178"/>
      <c r="AL119" s="215"/>
      <c r="AM119" s="215"/>
      <c r="AN119" s="262">
        <f>W119+Y119+AA119+AD119+AL119</f>
        <v>0</v>
      </c>
      <c r="AO119" s="263">
        <f>X119+Z119+AB119+AG119+AK119+AM119</f>
        <v>0</v>
      </c>
      <c r="AP119" s="184"/>
      <c r="AQ119" s="263"/>
      <c r="AR119" s="184"/>
      <c r="AS119" s="263"/>
      <c r="AT119" s="36"/>
      <c r="AU119" s="36"/>
      <c r="AV119" s="36"/>
      <c r="AW119" s="36"/>
      <c r="AX119" s="36"/>
      <c r="AY119" s="36"/>
      <c r="AZ119" s="36"/>
    </row>
    <row r="120" spans="1:52" s="613" customFormat="1" x14ac:dyDescent="0.2">
      <c r="A120" s="615"/>
      <c r="B120" s="615"/>
      <c r="C120" s="328"/>
      <c r="D120" s="328"/>
      <c r="E120" s="206"/>
      <c r="F120" s="207"/>
      <c r="G120" s="806"/>
      <c r="H120" s="215"/>
      <c r="I120" s="806"/>
      <c r="J120" s="807"/>
      <c r="K120" s="215"/>
      <c r="L120" s="807"/>
      <c r="M120" s="215"/>
      <c r="N120" s="216"/>
      <c r="O120" s="215"/>
      <c r="P120" s="215"/>
      <c r="Q120" s="806"/>
      <c r="R120" s="807"/>
      <c r="S120" s="215"/>
      <c r="T120" s="216"/>
      <c r="U120" s="184"/>
      <c r="V120" s="184"/>
      <c r="W120" s="262"/>
      <c r="X120" s="263"/>
      <c r="Y120" s="298"/>
      <c r="Z120" s="298"/>
      <c r="AA120" s="268"/>
      <c r="AB120" s="178"/>
      <c r="AC120" s="674" t="s">
        <v>1519</v>
      </c>
      <c r="AD120" s="177">
        <f>'K. GASB 75 RHBF'!C92</f>
        <v>0</v>
      </c>
      <c r="AE120" s="177"/>
      <c r="AF120" s="674" t="s">
        <v>1519</v>
      </c>
      <c r="AG120" s="177">
        <f>'K. GASB 75 RHBF'!D92</f>
        <v>0</v>
      </c>
      <c r="AH120" s="270"/>
      <c r="AI120" s="177"/>
      <c r="AJ120" s="269"/>
      <c r="AK120" s="178"/>
      <c r="AL120" s="215"/>
      <c r="AM120" s="215"/>
      <c r="AN120" s="262">
        <f>W120+Y120+AA120+AD120+AL120</f>
        <v>0</v>
      </c>
      <c r="AO120" s="263">
        <f>X120+Z120+AB120+AG120+AK120+AM120</f>
        <v>0</v>
      </c>
      <c r="AP120" s="184"/>
      <c r="AQ120" s="263"/>
      <c r="AR120" s="184"/>
      <c r="AS120" s="263"/>
      <c r="AT120" s="36"/>
      <c r="AU120" s="36"/>
      <c r="AV120" s="36"/>
      <c r="AW120" s="36"/>
      <c r="AX120" s="36"/>
      <c r="AY120" s="36"/>
      <c r="AZ120" s="36"/>
    </row>
    <row r="121" spans="1:52" s="841" customFormat="1" x14ac:dyDescent="0.2">
      <c r="A121" s="842"/>
      <c r="B121" s="842"/>
      <c r="C121" s="328"/>
      <c r="D121" s="328"/>
      <c r="E121" s="206"/>
      <c r="F121" s="207"/>
      <c r="G121" s="806"/>
      <c r="H121" s="215"/>
      <c r="I121" s="806"/>
      <c r="J121" s="807"/>
      <c r="K121" s="215"/>
      <c r="L121" s="807"/>
      <c r="M121" s="215"/>
      <c r="N121" s="216"/>
      <c r="O121" s="215"/>
      <c r="P121" s="215"/>
      <c r="Q121" s="806"/>
      <c r="R121" s="807"/>
      <c r="S121" s="215"/>
      <c r="T121" s="216"/>
      <c r="U121" s="184"/>
      <c r="V121" s="184"/>
      <c r="W121" s="262"/>
      <c r="X121" s="263"/>
      <c r="Y121" s="298"/>
      <c r="Z121" s="298"/>
      <c r="AA121" s="268"/>
      <c r="AB121" s="178"/>
      <c r="AC121" s="674" t="s">
        <v>1633</v>
      </c>
      <c r="AD121" s="177">
        <f>'L. GASB 75 DIPNC'!C92</f>
        <v>0</v>
      </c>
      <c r="AE121" s="177"/>
      <c r="AF121" s="674" t="s">
        <v>1633</v>
      </c>
      <c r="AG121" s="177">
        <f>'L. GASB 75 DIPNC'!D92</f>
        <v>0</v>
      </c>
      <c r="AH121" s="270"/>
      <c r="AI121" s="177"/>
      <c r="AJ121" s="269"/>
      <c r="AK121" s="178"/>
      <c r="AL121" s="215"/>
      <c r="AM121" s="215"/>
      <c r="AN121" s="262">
        <f>W121+Y121+AA121+AD121+AL121</f>
        <v>0</v>
      </c>
      <c r="AO121" s="263">
        <f>X121+Z121+AB121+AG121+AK121+AM121</f>
        <v>0</v>
      </c>
      <c r="AP121" s="184"/>
      <c r="AQ121" s="263"/>
      <c r="AR121" s="184"/>
      <c r="AS121" s="263"/>
      <c r="AT121" s="36"/>
      <c r="AU121" s="36"/>
      <c r="AV121" s="36"/>
      <c r="AW121" s="36"/>
      <c r="AX121" s="36"/>
      <c r="AY121" s="36"/>
      <c r="AZ121" s="36"/>
    </row>
    <row r="122" spans="1:52" s="558" customFormat="1" x14ac:dyDescent="0.2">
      <c r="A122" s="559"/>
      <c r="B122" s="559"/>
      <c r="C122" s="560" t="s">
        <v>1143</v>
      </c>
      <c r="D122" s="328"/>
      <c r="E122" s="206"/>
      <c r="F122" s="207"/>
      <c r="G122" s="806"/>
      <c r="H122" s="215"/>
      <c r="I122" s="806"/>
      <c r="J122" s="807"/>
      <c r="K122" s="215"/>
      <c r="L122" s="807"/>
      <c r="M122" s="215"/>
      <c r="N122" s="216"/>
      <c r="O122" s="215"/>
      <c r="P122" s="215"/>
      <c r="Q122" s="806"/>
      <c r="R122" s="807"/>
      <c r="S122" s="215"/>
      <c r="T122" s="216"/>
      <c r="U122" s="184">
        <f>O122+Q122+S122</f>
        <v>0</v>
      </c>
      <c r="V122" s="184">
        <f>P122+R122+T122</f>
        <v>0</v>
      </c>
      <c r="W122" s="262">
        <f>E122+G122+I122+K122+M122+U122</f>
        <v>0</v>
      </c>
      <c r="X122" s="263">
        <f>F122+H122+J122+L122+N122+V122</f>
        <v>0</v>
      </c>
      <c r="Y122" s="206">
        <f>Z112+Z111+Z110+Z109+Z102</f>
        <v>0</v>
      </c>
      <c r="Z122" s="207">
        <f>Y64+Y63+Y62+Y61+Y60+Y23</f>
        <v>0</v>
      </c>
      <c r="AA122" s="268"/>
      <c r="AB122" s="178"/>
      <c r="AC122" s="269"/>
      <c r="AD122" s="177"/>
      <c r="AE122" s="177"/>
      <c r="AF122" s="275"/>
      <c r="AG122" s="177"/>
      <c r="AH122" s="270"/>
      <c r="AI122" s="177"/>
      <c r="AJ122" s="269"/>
      <c r="AK122" s="178"/>
      <c r="AL122" s="215"/>
      <c r="AM122" s="215"/>
      <c r="AN122" s="262">
        <f>W122+Y122+AA122+AD122+AL122</f>
        <v>0</v>
      </c>
      <c r="AO122" s="263">
        <f>X122+Z122+AB122+AG122+AK122+AM122</f>
        <v>0</v>
      </c>
      <c r="AP122" s="184"/>
      <c r="AQ122" s="263"/>
      <c r="AR122" s="184"/>
      <c r="AS122" s="263"/>
      <c r="AT122" s="36"/>
      <c r="AU122" s="36"/>
      <c r="AV122" s="36"/>
      <c r="AW122" s="36"/>
      <c r="AX122" s="36"/>
      <c r="AY122" s="36"/>
      <c r="AZ122" s="36"/>
    </row>
    <row r="123" spans="1:52" s="558" customFormat="1" x14ac:dyDescent="0.2">
      <c r="A123" s="559"/>
      <c r="B123" s="559"/>
      <c r="C123" s="328" t="s">
        <v>1632</v>
      </c>
      <c r="D123" s="328"/>
      <c r="E123" s="206"/>
      <c r="F123" s="207"/>
      <c r="G123" s="806"/>
      <c r="H123" s="215"/>
      <c r="I123" s="806"/>
      <c r="J123" s="807"/>
      <c r="K123" s="215"/>
      <c r="L123" s="807"/>
      <c r="M123" s="215"/>
      <c r="N123" s="216"/>
      <c r="O123" s="215"/>
      <c r="P123" s="215"/>
      <c r="Q123" s="806"/>
      <c r="R123" s="807"/>
      <c r="S123" s="215"/>
      <c r="T123" s="216"/>
      <c r="U123" s="184"/>
      <c r="V123" s="184"/>
      <c r="W123" s="262"/>
      <c r="X123" s="263"/>
      <c r="Y123" s="298"/>
      <c r="Z123" s="298"/>
      <c r="AA123" s="268"/>
      <c r="AB123" s="178"/>
      <c r="AC123" s="269"/>
      <c r="AD123" s="177"/>
      <c r="AE123" s="177"/>
      <c r="AF123" s="275"/>
      <c r="AG123" s="177"/>
      <c r="AH123" s="270"/>
      <c r="AI123" s="177"/>
      <c r="AJ123" s="269"/>
      <c r="AK123" s="178"/>
      <c r="AL123" s="215"/>
      <c r="AM123" s="215"/>
      <c r="AN123" s="262"/>
      <c r="AO123" s="263"/>
      <c r="AP123" s="184"/>
      <c r="AQ123" s="263"/>
      <c r="AR123" s="184"/>
      <c r="AS123" s="263"/>
      <c r="AT123" s="36"/>
      <c r="AU123" s="36"/>
      <c r="AV123" s="36"/>
      <c r="AW123" s="36"/>
      <c r="AX123" s="36"/>
      <c r="AY123" s="36"/>
      <c r="AZ123" s="36"/>
    </row>
    <row r="124" spans="1:52" x14ac:dyDescent="0.2">
      <c r="A124" s="11"/>
      <c r="B124" s="11"/>
      <c r="C124" s="328" t="s">
        <v>727</v>
      </c>
      <c r="D124" s="328"/>
      <c r="E124" s="206"/>
      <c r="F124" s="207"/>
      <c r="G124" s="806"/>
      <c r="H124" s="215"/>
      <c r="I124" s="806"/>
      <c r="J124" s="807"/>
      <c r="K124" s="215"/>
      <c r="L124" s="807"/>
      <c r="M124" s="215"/>
      <c r="N124" s="216"/>
      <c r="O124" s="215"/>
      <c r="P124" s="215"/>
      <c r="Q124" s="806"/>
      <c r="R124" s="807"/>
      <c r="S124" s="215"/>
      <c r="T124" s="216"/>
      <c r="U124" s="184">
        <f t="shared" si="22"/>
        <v>0</v>
      </c>
      <c r="V124" s="184">
        <f t="shared" si="23"/>
        <v>0</v>
      </c>
      <c r="W124" s="262">
        <f t="shared" si="24"/>
        <v>0</v>
      </c>
      <c r="X124" s="263">
        <f t="shared" si="25"/>
        <v>0</v>
      </c>
      <c r="Y124" s="298"/>
      <c r="Z124" s="298"/>
      <c r="AA124" s="268"/>
      <c r="AB124" s="178"/>
      <c r="AC124" s="269"/>
      <c r="AD124" s="177"/>
      <c r="AE124" s="177"/>
      <c r="AF124" s="269"/>
      <c r="AG124" s="177"/>
      <c r="AH124" s="270"/>
      <c r="AI124" s="177"/>
      <c r="AJ124" s="269"/>
      <c r="AK124" s="178"/>
      <c r="AL124" s="215"/>
      <c r="AM124" s="215"/>
      <c r="AN124" s="262">
        <f>W124+Y124+AA124+AD124+AI124+AL124</f>
        <v>0</v>
      </c>
      <c r="AO124" s="263">
        <f>X124+Z124+AB124+AG124+AK124+AM124</f>
        <v>0</v>
      </c>
      <c r="AP124" s="184"/>
      <c r="AQ124" s="263"/>
      <c r="AR124" s="69">
        <f>AQ445</f>
        <v>369</v>
      </c>
      <c r="AS124" s="263" t="str">
        <f>AP445</f>
        <v xml:space="preserve"> </v>
      </c>
      <c r="AT124" s="36"/>
      <c r="AU124" s="36"/>
      <c r="AV124" s="36"/>
      <c r="AW124" s="36"/>
      <c r="AX124" s="36"/>
      <c r="AY124" s="36"/>
      <c r="AZ124" s="36"/>
    </row>
    <row r="125" spans="1:52" x14ac:dyDescent="0.2">
      <c r="A125" s="11"/>
      <c r="B125" s="11"/>
      <c r="C125" s="328" t="s">
        <v>728</v>
      </c>
      <c r="D125" s="328"/>
      <c r="E125" s="206"/>
      <c r="F125" s="207"/>
      <c r="G125" s="806"/>
      <c r="H125" s="215"/>
      <c r="I125" s="806"/>
      <c r="J125" s="807"/>
      <c r="K125" s="215"/>
      <c r="L125" s="807"/>
      <c r="M125" s="215"/>
      <c r="N125" s="216"/>
      <c r="O125" s="215"/>
      <c r="P125" s="215"/>
      <c r="Q125" s="806"/>
      <c r="R125" s="807"/>
      <c r="S125" s="215"/>
      <c r="T125" s="216"/>
      <c r="U125" s="184">
        <f t="shared" si="22"/>
        <v>0</v>
      </c>
      <c r="V125" s="184">
        <f t="shared" si="23"/>
        <v>0</v>
      </c>
      <c r="W125" s="262">
        <f t="shared" si="24"/>
        <v>0</v>
      </c>
      <c r="X125" s="263">
        <f t="shared" si="25"/>
        <v>0</v>
      </c>
      <c r="Y125" s="298"/>
      <c r="Z125" s="298"/>
      <c r="AA125" s="268"/>
      <c r="AB125" s="178"/>
      <c r="AC125" s="269"/>
      <c r="AD125" s="177"/>
      <c r="AE125" s="177"/>
      <c r="AF125" s="273"/>
      <c r="AG125" s="179"/>
      <c r="AH125" s="270" t="str">
        <f>'I. Eliminations-Consolidations'!A308</f>
        <v>I.9</v>
      </c>
      <c r="AI125" s="177">
        <f>'I. Eliminations-Consolidations'!J308</f>
        <v>425730</v>
      </c>
      <c r="AJ125" s="269"/>
      <c r="AK125" s="178"/>
      <c r="AL125" s="215"/>
      <c r="AM125" s="215"/>
      <c r="AN125" s="262">
        <f>W125+Y125+AA125+AD125+AI125+AL125</f>
        <v>425730</v>
      </c>
      <c r="AO125" s="263">
        <f t="shared" si="19"/>
        <v>0</v>
      </c>
      <c r="AP125" s="184"/>
      <c r="AQ125" s="263"/>
      <c r="AR125" s="184">
        <f>IF(AN125-AO125&lt;0, " ",AN125-AO125)</f>
        <v>425730</v>
      </c>
      <c r="AS125" s="263" t="str">
        <f t="shared" si="31"/>
        <v xml:space="preserve"> </v>
      </c>
      <c r="AT125" s="36"/>
      <c r="AU125" s="36"/>
      <c r="AV125" s="36"/>
      <c r="AW125" s="36"/>
      <c r="AX125" s="36"/>
      <c r="AY125" s="36"/>
      <c r="AZ125" s="36"/>
    </row>
    <row r="126" spans="1:52" x14ac:dyDescent="0.2">
      <c r="C126" s="303"/>
      <c r="D126" s="303"/>
      <c r="E126" s="202"/>
      <c r="F126" s="203"/>
      <c r="G126" s="808"/>
      <c r="H126" s="203"/>
      <c r="I126" s="808"/>
      <c r="J126" s="809"/>
      <c r="K126" s="203"/>
      <c r="L126" s="809"/>
      <c r="M126" s="211"/>
      <c r="N126" s="212"/>
      <c r="O126" s="211"/>
      <c r="P126" s="211"/>
      <c r="Q126" s="802"/>
      <c r="R126" s="803"/>
      <c r="S126" s="211"/>
      <c r="T126" s="212"/>
      <c r="U126" s="184"/>
      <c r="V126" s="184"/>
      <c r="W126" s="262"/>
      <c r="X126" s="263"/>
      <c r="Y126" s="292"/>
      <c r="Z126" s="293"/>
      <c r="AA126" s="261"/>
      <c r="AB126" s="134"/>
      <c r="AC126" s="257"/>
      <c r="AD126" s="45"/>
      <c r="AE126" s="45"/>
      <c r="AF126" s="276"/>
      <c r="AH126" s="256"/>
      <c r="AI126" s="45"/>
      <c r="AJ126" s="257"/>
      <c r="AK126" s="134"/>
      <c r="AL126" s="211"/>
      <c r="AM126" s="211"/>
      <c r="AN126" s="262"/>
      <c r="AO126" s="263"/>
      <c r="AP126" s="184"/>
      <c r="AQ126" s="263"/>
      <c r="AR126" s="184"/>
      <c r="AS126" s="263"/>
      <c r="AT126" s="36"/>
      <c r="AU126" s="36"/>
      <c r="AV126" s="36"/>
      <c r="AW126" s="36"/>
      <c r="AX126" s="36"/>
      <c r="AY126" s="36"/>
      <c r="AZ126" s="36"/>
    </row>
    <row r="127" spans="1:52" x14ac:dyDescent="0.2">
      <c r="B127" s="4" t="s">
        <v>726</v>
      </c>
      <c r="C127" s="303"/>
      <c r="D127" s="303"/>
      <c r="E127" s="202"/>
      <c r="F127" s="203"/>
      <c r="G127" s="808"/>
      <c r="H127" s="203"/>
      <c r="I127" s="808"/>
      <c r="J127" s="809"/>
      <c r="K127" s="203"/>
      <c r="L127" s="809"/>
      <c r="M127" s="211"/>
      <c r="N127" s="212"/>
      <c r="O127" s="211"/>
      <c r="P127" s="211"/>
      <c r="Q127" s="802"/>
      <c r="R127" s="803"/>
      <c r="S127" s="211"/>
      <c r="T127" s="212"/>
      <c r="U127" s="184"/>
      <c r="V127" s="184"/>
      <c r="W127" s="262"/>
      <c r="X127" s="263"/>
      <c r="Y127" s="292"/>
      <c r="Z127" s="293"/>
      <c r="AA127" s="261"/>
      <c r="AB127" s="134"/>
      <c r="AC127" s="257"/>
      <c r="AD127" s="45"/>
      <c r="AE127" s="45"/>
      <c r="AF127" s="276"/>
      <c r="AH127" s="256"/>
      <c r="AI127" s="45"/>
      <c r="AJ127" s="257"/>
      <c r="AK127" s="134"/>
      <c r="AL127" s="211"/>
      <c r="AM127" s="211"/>
      <c r="AN127" s="262"/>
      <c r="AO127" s="263"/>
      <c r="AP127" s="184"/>
      <c r="AQ127" s="263"/>
      <c r="AR127" s="184"/>
      <c r="AS127" s="263"/>
      <c r="AT127" s="36"/>
      <c r="AU127" s="36"/>
      <c r="AV127" s="36"/>
      <c r="AW127" s="36"/>
      <c r="AX127" s="36"/>
      <c r="AY127" s="36"/>
      <c r="AZ127" s="36"/>
    </row>
    <row r="128" spans="1:52" ht="14.25" customHeight="1" x14ac:dyDescent="0.2">
      <c r="B128" s="925" t="s">
        <v>111</v>
      </c>
      <c r="C128" s="303" t="s">
        <v>729</v>
      </c>
      <c r="D128" s="303"/>
      <c r="E128" s="202"/>
      <c r="F128" s="203"/>
      <c r="G128" s="808"/>
      <c r="H128" s="203"/>
      <c r="I128" s="808"/>
      <c r="J128" s="809"/>
      <c r="K128" s="203"/>
      <c r="L128" s="809"/>
      <c r="M128" s="211"/>
      <c r="N128" s="212"/>
      <c r="O128" s="211"/>
      <c r="P128" s="211"/>
      <c r="Q128" s="802"/>
      <c r="R128" s="803"/>
      <c r="S128" s="211"/>
      <c r="T128" s="212"/>
      <c r="U128" s="184">
        <f t="shared" si="22"/>
        <v>0</v>
      </c>
      <c r="V128" s="184">
        <f t="shared" si="23"/>
        <v>0</v>
      </c>
      <c r="W128" s="262">
        <f t="shared" si="24"/>
        <v>0</v>
      </c>
      <c r="X128" s="263">
        <f t="shared" si="25"/>
        <v>0</v>
      </c>
      <c r="Y128" s="292"/>
      <c r="Z128" s="293"/>
      <c r="AA128" s="261"/>
      <c r="AB128" s="134"/>
      <c r="AC128" s="257"/>
      <c r="AD128" s="45"/>
      <c r="AE128" s="45"/>
      <c r="AF128" s="276"/>
      <c r="AH128" s="256"/>
      <c r="AI128" s="45"/>
      <c r="AJ128" s="257" t="str">
        <f>'I. Eliminations-Consolidations'!$A$308</f>
        <v>I.9</v>
      </c>
      <c r="AK128" s="134">
        <f>'I. Eliminations-Consolidations'!L309</f>
        <v>366045</v>
      </c>
      <c r="AL128" s="211"/>
      <c r="AM128" s="211"/>
      <c r="AN128" s="262">
        <f t="shared" ref="AN128:AN150" si="38">W128+Y128+AA128+AD128+AI128+AL128</f>
        <v>0</v>
      </c>
      <c r="AO128" s="263">
        <f t="shared" ref="AO128:AO148" si="39">X128+Z128+AB128+AG128+AK128+AM128</f>
        <v>366045</v>
      </c>
      <c r="AP128" s="184"/>
      <c r="AQ128" s="263"/>
      <c r="AR128" s="184" t="str">
        <f t="shared" si="28"/>
        <v xml:space="preserve"> </v>
      </c>
      <c r="AS128" s="263">
        <f t="shared" si="31"/>
        <v>366045</v>
      </c>
      <c r="AT128" s="36"/>
      <c r="AU128" s="36"/>
      <c r="AV128" s="36"/>
      <c r="AW128" s="36"/>
      <c r="AX128" s="36"/>
      <c r="AY128" s="36"/>
      <c r="AZ128" s="36"/>
    </row>
    <row r="129" spans="2:52" ht="14.25" customHeight="1" x14ac:dyDescent="0.2">
      <c r="B129" s="925"/>
      <c r="C129" s="303" t="s">
        <v>718</v>
      </c>
      <c r="D129" s="303"/>
      <c r="E129" s="202"/>
      <c r="F129" s="203"/>
      <c r="G129" s="808"/>
      <c r="H129" s="203"/>
      <c r="I129" s="808"/>
      <c r="J129" s="809"/>
      <c r="K129" s="203"/>
      <c r="L129" s="809"/>
      <c r="M129" s="211"/>
      <c r="N129" s="212"/>
      <c r="O129" s="211"/>
      <c r="P129" s="211"/>
      <c r="Q129" s="802"/>
      <c r="R129" s="803"/>
      <c r="S129" s="211"/>
      <c r="T129" s="212"/>
      <c r="U129" s="184">
        <f>O129+Q129+S129</f>
        <v>0</v>
      </c>
      <c r="V129" s="184">
        <f>P129+R129+T129</f>
        <v>0</v>
      </c>
      <c r="W129" s="262">
        <f>E129+G129+I129+K129+M129+U129</f>
        <v>0</v>
      </c>
      <c r="X129" s="263">
        <f>F129+H129+J129+L129+N129+V129</f>
        <v>0</v>
      </c>
      <c r="Y129" s="292"/>
      <c r="Z129" s="293"/>
      <c r="AA129" s="261"/>
      <c r="AB129" s="134"/>
      <c r="AC129" s="257"/>
      <c r="AD129" s="45"/>
      <c r="AE129" s="45"/>
      <c r="AF129" s="276"/>
      <c r="AH129" s="256"/>
      <c r="AI129" s="45"/>
      <c r="AJ129" s="257" t="str">
        <f>'I. Eliminations-Consolidations'!$A$308</f>
        <v>I.9</v>
      </c>
      <c r="AK129" s="134">
        <f>'I. Eliminations-Consolidations'!L312</f>
        <v>0</v>
      </c>
      <c r="AL129" s="211"/>
      <c r="AM129" s="211"/>
      <c r="AN129" s="262">
        <f>W129+Y129+AA129+AD129+AI129+AL129</f>
        <v>0</v>
      </c>
      <c r="AO129" s="263">
        <f>X129+Z129+AB129+AG129+AK129+AM129</f>
        <v>0</v>
      </c>
      <c r="AP129" s="184"/>
      <c r="AQ129" s="263"/>
      <c r="AR129" s="184">
        <f>IF(AN129-AO129&lt;0, " ",AN129-AO129)</f>
        <v>0</v>
      </c>
      <c r="AS129" s="263">
        <f>IF(AN129-AO129&gt;0, " ",AO129-AN129)</f>
        <v>0</v>
      </c>
      <c r="AT129" s="36"/>
      <c r="AU129" s="36"/>
      <c r="AV129" s="36"/>
      <c r="AW129" s="36"/>
      <c r="AX129" s="36"/>
      <c r="AY129" s="36"/>
      <c r="AZ129" s="36"/>
    </row>
    <row r="130" spans="2:52" ht="14.25" customHeight="1" x14ac:dyDescent="0.2">
      <c r="B130" s="925"/>
      <c r="C130" s="303" t="s">
        <v>110</v>
      </c>
      <c r="D130" s="303"/>
      <c r="E130" s="202"/>
      <c r="F130" s="203"/>
      <c r="G130" s="808"/>
      <c r="H130" s="203"/>
      <c r="I130" s="808"/>
      <c r="J130" s="809"/>
      <c r="K130" s="203"/>
      <c r="L130" s="809"/>
      <c r="M130" s="211"/>
      <c r="N130" s="212"/>
      <c r="O130" s="211"/>
      <c r="P130" s="211"/>
      <c r="Q130" s="802"/>
      <c r="R130" s="803"/>
      <c r="S130" s="211"/>
      <c r="T130" s="212"/>
      <c r="U130" s="184">
        <f t="shared" si="22"/>
        <v>0</v>
      </c>
      <c r="V130" s="184">
        <f t="shared" si="23"/>
        <v>0</v>
      </c>
      <c r="W130" s="262">
        <f t="shared" si="24"/>
        <v>0</v>
      </c>
      <c r="X130" s="263">
        <f t="shared" si="25"/>
        <v>0</v>
      </c>
      <c r="Y130" s="292"/>
      <c r="Z130" s="293"/>
      <c r="AA130" s="261"/>
      <c r="AB130" s="134"/>
      <c r="AC130" s="257"/>
      <c r="AD130" s="45"/>
      <c r="AE130" s="45"/>
      <c r="AF130" s="276"/>
      <c r="AH130" s="256"/>
      <c r="AI130" s="45"/>
      <c r="AJ130" s="257" t="str">
        <f>'I. Eliminations-Consolidations'!$A$308</f>
        <v>I.9</v>
      </c>
      <c r="AK130" s="134">
        <f>'I. Eliminations-Consolidations'!L310</f>
        <v>0</v>
      </c>
      <c r="AL130" s="211"/>
      <c r="AM130" s="211"/>
      <c r="AN130" s="262">
        <f t="shared" si="38"/>
        <v>0</v>
      </c>
      <c r="AO130" s="263">
        <f t="shared" si="39"/>
        <v>0</v>
      </c>
      <c r="AP130" s="184"/>
      <c r="AQ130" s="263"/>
      <c r="AR130" s="184">
        <f t="shared" si="28"/>
        <v>0</v>
      </c>
      <c r="AS130" s="263">
        <f t="shared" si="31"/>
        <v>0</v>
      </c>
      <c r="AT130" s="36"/>
      <c r="AU130" s="36"/>
      <c r="AV130" s="36"/>
      <c r="AW130" s="36"/>
      <c r="AX130" s="36"/>
      <c r="AY130" s="36"/>
      <c r="AZ130" s="36"/>
    </row>
    <row r="131" spans="2:52" ht="14.25" customHeight="1" x14ac:dyDescent="0.2">
      <c r="B131" s="925"/>
      <c r="C131" s="303" t="s">
        <v>564</v>
      </c>
      <c r="D131" s="303"/>
      <c r="E131" s="202"/>
      <c r="F131" s="203"/>
      <c r="G131" s="808"/>
      <c r="H131" s="203"/>
      <c r="I131" s="808"/>
      <c r="J131" s="809"/>
      <c r="K131" s="203"/>
      <c r="L131" s="809"/>
      <c r="M131" s="211"/>
      <c r="N131" s="212"/>
      <c r="O131" s="211"/>
      <c r="P131" s="211"/>
      <c r="Q131" s="802"/>
      <c r="R131" s="803"/>
      <c r="S131" s="211"/>
      <c r="T131" s="212"/>
      <c r="U131" s="184">
        <f t="shared" si="22"/>
        <v>0</v>
      </c>
      <c r="V131" s="184">
        <f t="shared" si="23"/>
        <v>0</v>
      </c>
      <c r="W131" s="262">
        <f t="shared" si="24"/>
        <v>0</v>
      </c>
      <c r="X131" s="263">
        <f t="shared" si="25"/>
        <v>0</v>
      </c>
      <c r="Y131" s="292"/>
      <c r="Z131" s="293"/>
      <c r="AA131" s="261"/>
      <c r="AB131" s="134"/>
      <c r="AC131" s="257"/>
      <c r="AD131" s="45"/>
      <c r="AE131" s="45"/>
      <c r="AF131" s="276"/>
      <c r="AH131" s="256"/>
      <c r="AI131" s="45"/>
      <c r="AJ131" s="257" t="str">
        <f>'I. Eliminations-Consolidations'!$A$308</f>
        <v>I.9</v>
      </c>
      <c r="AK131" s="134">
        <f>'I. Eliminations-Consolidations'!L311</f>
        <v>0</v>
      </c>
      <c r="AL131" s="211"/>
      <c r="AM131" s="211"/>
      <c r="AN131" s="262">
        <f t="shared" si="38"/>
        <v>0</v>
      </c>
      <c r="AO131" s="263">
        <f t="shared" si="39"/>
        <v>0</v>
      </c>
      <c r="AP131" s="184"/>
      <c r="AQ131" s="263"/>
      <c r="AR131" s="184">
        <f t="shared" si="28"/>
        <v>0</v>
      </c>
      <c r="AS131" s="263">
        <f t="shared" si="31"/>
        <v>0</v>
      </c>
      <c r="AT131" s="36"/>
      <c r="AU131" s="36"/>
      <c r="AV131" s="36"/>
      <c r="AW131" s="36"/>
      <c r="AX131" s="36"/>
      <c r="AY131" s="36"/>
      <c r="AZ131" s="36"/>
    </row>
    <row r="132" spans="2:52" ht="14.25" customHeight="1" x14ac:dyDescent="0.2">
      <c r="B132" s="925"/>
      <c r="C132" t="s">
        <v>482</v>
      </c>
      <c r="D132" s="324"/>
      <c r="E132" s="202"/>
      <c r="F132" s="203"/>
      <c r="G132" s="808"/>
      <c r="H132" s="203"/>
      <c r="I132" s="808"/>
      <c r="J132" s="809"/>
      <c r="K132" s="203"/>
      <c r="L132" s="809"/>
      <c r="M132" s="211"/>
      <c r="N132" s="212"/>
      <c r="O132" s="211"/>
      <c r="P132" s="211"/>
      <c r="Q132" s="802"/>
      <c r="R132" s="803"/>
      <c r="S132" s="211"/>
      <c r="T132" s="212"/>
      <c r="U132" s="184">
        <f t="shared" si="22"/>
        <v>0</v>
      </c>
      <c r="V132" s="184">
        <f t="shared" si="23"/>
        <v>0</v>
      </c>
      <c r="W132" s="262">
        <f t="shared" si="24"/>
        <v>0</v>
      </c>
      <c r="X132" s="263">
        <f t="shared" si="25"/>
        <v>0</v>
      </c>
      <c r="Y132" s="292"/>
      <c r="Z132" s="293"/>
      <c r="AA132" s="261"/>
      <c r="AB132" s="134"/>
      <c r="AC132" s="257"/>
      <c r="AD132" s="45"/>
      <c r="AE132" s="45"/>
      <c r="AF132" s="276"/>
      <c r="AH132" s="256"/>
      <c r="AI132" s="45"/>
      <c r="AJ132" s="257" t="str">
        <f>'I. Eliminations-Consolidations'!$A$308</f>
        <v>I.9</v>
      </c>
      <c r="AK132" s="134">
        <f>'I. Eliminations-Consolidations'!L313</f>
        <v>0</v>
      </c>
      <c r="AL132" s="211"/>
      <c r="AM132" s="211"/>
      <c r="AN132" s="262">
        <f t="shared" si="38"/>
        <v>0</v>
      </c>
      <c r="AO132" s="263">
        <f t="shared" si="39"/>
        <v>0</v>
      </c>
      <c r="AP132" s="184"/>
      <c r="AQ132" s="263"/>
      <c r="AR132" s="184">
        <f t="shared" si="28"/>
        <v>0</v>
      </c>
      <c r="AS132" s="263">
        <f t="shared" si="31"/>
        <v>0</v>
      </c>
      <c r="AT132" s="36"/>
      <c r="AU132" s="36"/>
      <c r="AV132" s="36"/>
      <c r="AW132" s="36"/>
      <c r="AX132" s="36"/>
      <c r="AY132" s="36"/>
      <c r="AZ132" s="36"/>
    </row>
    <row r="133" spans="2:52" ht="14.25" customHeight="1" x14ac:dyDescent="0.2">
      <c r="B133" s="925"/>
      <c r="C133" t="s">
        <v>483</v>
      </c>
      <c r="D133" s="303"/>
      <c r="E133" s="202"/>
      <c r="F133" s="203"/>
      <c r="G133" s="808"/>
      <c r="H133" s="203"/>
      <c r="I133" s="808"/>
      <c r="J133" s="809"/>
      <c r="K133" s="203"/>
      <c r="L133" s="809"/>
      <c r="M133" s="211"/>
      <c r="N133" s="212"/>
      <c r="O133" s="211"/>
      <c r="P133" s="211"/>
      <c r="Q133" s="802"/>
      <c r="R133" s="803"/>
      <c r="S133" s="211"/>
      <c r="T133" s="212"/>
      <c r="U133" s="184">
        <f t="shared" si="22"/>
        <v>0</v>
      </c>
      <c r="V133" s="184">
        <f t="shared" si="23"/>
        <v>0</v>
      </c>
      <c r="W133" s="262">
        <f t="shared" si="24"/>
        <v>0</v>
      </c>
      <c r="X133" s="263">
        <f t="shared" si="25"/>
        <v>0</v>
      </c>
      <c r="Y133" s="292"/>
      <c r="Z133" s="293"/>
      <c r="AA133" s="261"/>
      <c r="AB133" s="134"/>
      <c r="AC133" s="257"/>
      <c r="AD133" s="45"/>
      <c r="AE133" s="45"/>
      <c r="AF133" s="276"/>
      <c r="AH133" s="256"/>
      <c r="AI133" s="45"/>
      <c r="AJ133" s="257" t="str">
        <f>'I. Eliminations-Consolidations'!$A$308</f>
        <v>I.9</v>
      </c>
      <c r="AK133" s="134">
        <f>'I. Eliminations-Consolidations'!L314</f>
        <v>0</v>
      </c>
      <c r="AL133" s="211"/>
      <c r="AM133" s="211"/>
      <c r="AN133" s="262">
        <f t="shared" si="38"/>
        <v>0</v>
      </c>
      <c r="AO133" s="263">
        <f t="shared" si="39"/>
        <v>0</v>
      </c>
      <c r="AP133" s="184"/>
      <c r="AQ133" s="263"/>
      <c r="AR133" s="184">
        <f t="shared" si="28"/>
        <v>0</v>
      </c>
      <c r="AS133" s="263">
        <f t="shared" si="31"/>
        <v>0</v>
      </c>
      <c r="AT133" s="36"/>
      <c r="AU133" s="36"/>
      <c r="AV133" s="36"/>
      <c r="AW133" s="36"/>
      <c r="AX133" s="36"/>
      <c r="AY133" s="36"/>
      <c r="AZ133" s="36"/>
    </row>
    <row r="134" spans="2:52" ht="14.25" customHeight="1" x14ac:dyDescent="0.2">
      <c r="B134" s="925"/>
      <c r="C134" t="s">
        <v>484</v>
      </c>
      <c r="D134" s="303"/>
      <c r="E134" s="202"/>
      <c r="F134" s="203"/>
      <c r="G134" s="808"/>
      <c r="H134" s="203"/>
      <c r="I134" s="808"/>
      <c r="J134" s="809"/>
      <c r="K134" s="203"/>
      <c r="L134" s="809"/>
      <c r="M134" s="211"/>
      <c r="N134" s="212"/>
      <c r="O134" s="211"/>
      <c r="P134" s="211"/>
      <c r="Q134" s="802"/>
      <c r="R134" s="803"/>
      <c r="S134" s="211"/>
      <c r="T134" s="212"/>
      <c r="U134" s="184">
        <f t="shared" si="22"/>
        <v>0</v>
      </c>
      <c r="V134" s="184">
        <f t="shared" si="23"/>
        <v>0</v>
      </c>
      <c r="W134" s="262">
        <f t="shared" si="24"/>
        <v>0</v>
      </c>
      <c r="X134" s="263">
        <f t="shared" si="25"/>
        <v>0</v>
      </c>
      <c r="Y134" s="292"/>
      <c r="Z134" s="293"/>
      <c r="AA134" s="261"/>
      <c r="AB134" s="134"/>
      <c r="AC134" s="257"/>
      <c r="AD134" s="45"/>
      <c r="AE134" s="45"/>
      <c r="AF134" s="276"/>
      <c r="AH134" s="256"/>
      <c r="AI134" s="45"/>
      <c r="AJ134" s="257" t="str">
        <f>'I. Eliminations-Consolidations'!$A$308</f>
        <v>I.9</v>
      </c>
      <c r="AK134" s="134">
        <f>'I. Eliminations-Consolidations'!L315</f>
        <v>0</v>
      </c>
      <c r="AL134" s="211"/>
      <c r="AM134" s="211"/>
      <c r="AN134" s="262">
        <f t="shared" si="38"/>
        <v>0</v>
      </c>
      <c r="AO134" s="263">
        <f t="shared" si="39"/>
        <v>0</v>
      </c>
      <c r="AP134" s="184"/>
      <c r="AQ134" s="263"/>
      <c r="AR134" s="184">
        <f t="shared" si="28"/>
        <v>0</v>
      </c>
      <c r="AS134" s="263">
        <f t="shared" si="31"/>
        <v>0</v>
      </c>
      <c r="AT134" s="36"/>
      <c r="AU134" s="36"/>
      <c r="AV134" s="36"/>
      <c r="AW134" s="36"/>
      <c r="AX134" s="36"/>
      <c r="AY134" s="36"/>
      <c r="AZ134" s="36"/>
    </row>
    <row r="135" spans="2:52" ht="14.25" customHeight="1" x14ac:dyDescent="0.2">
      <c r="B135" s="925"/>
      <c r="C135" t="s">
        <v>485</v>
      </c>
      <c r="D135" s="303"/>
      <c r="E135" s="202"/>
      <c r="F135" s="203"/>
      <c r="G135" s="808"/>
      <c r="H135" s="203"/>
      <c r="I135" s="808"/>
      <c r="J135" s="809"/>
      <c r="K135" s="203"/>
      <c r="L135" s="809"/>
      <c r="M135" s="211"/>
      <c r="N135" s="212"/>
      <c r="O135" s="211"/>
      <c r="P135" s="211"/>
      <c r="Q135" s="802"/>
      <c r="R135" s="803"/>
      <c r="S135" s="211"/>
      <c r="T135" s="212"/>
      <c r="U135" s="184">
        <f t="shared" si="22"/>
        <v>0</v>
      </c>
      <c r="V135" s="184">
        <f t="shared" si="23"/>
        <v>0</v>
      </c>
      <c r="W135" s="262">
        <f t="shared" si="24"/>
        <v>0</v>
      </c>
      <c r="X135" s="263">
        <f t="shared" si="25"/>
        <v>0</v>
      </c>
      <c r="Y135" s="292"/>
      <c r="Z135" s="293"/>
      <c r="AA135" s="261"/>
      <c r="AB135" s="134"/>
      <c r="AC135" s="257"/>
      <c r="AD135" s="45"/>
      <c r="AE135" s="45"/>
      <c r="AF135" s="276"/>
      <c r="AH135" s="256"/>
      <c r="AI135" s="45"/>
      <c r="AJ135" s="257" t="str">
        <f>'I. Eliminations-Consolidations'!$A$308</f>
        <v>I.9</v>
      </c>
      <c r="AK135" s="134">
        <f>'I. Eliminations-Consolidations'!L316</f>
        <v>0</v>
      </c>
      <c r="AL135" s="211"/>
      <c r="AM135" s="211"/>
      <c r="AN135" s="262">
        <f t="shared" si="38"/>
        <v>0</v>
      </c>
      <c r="AO135" s="263">
        <f t="shared" si="39"/>
        <v>0</v>
      </c>
      <c r="AP135" s="184"/>
      <c r="AQ135" s="263"/>
      <c r="AR135" s="184">
        <f t="shared" si="28"/>
        <v>0</v>
      </c>
      <c r="AS135" s="263">
        <f t="shared" si="31"/>
        <v>0</v>
      </c>
      <c r="AT135" s="36"/>
      <c r="AU135" s="36"/>
      <c r="AV135" s="36"/>
      <c r="AW135" s="36"/>
      <c r="AX135" s="36"/>
      <c r="AY135" s="36"/>
      <c r="AZ135" s="36"/>
    </row>
    <row r="136" spans="2:52" ht="14.25" customHeight="1" x14ac:dyDescent="0.2">
      <c r="B136" s="925"/>
      <c r="C136" t="s">
        <v>486</v>
      </c>
      <c r="D136" s="303"/>
      <c r="E136" s="202"/>
      <c r="F136" s="203"/>
      <c r="G136" s="808"/>
      <c r="H136" s="203"/>
      <c r="I136" s="808"/>
      <c r="J136" s="809"/>
      <c r="K136" s="203"/>
      <c r="L136" s="809"/>
      <c r="M136" s="211"/>
      <c r="N136" s="212"/>
      <c r="O136" s="211"/>
      <c r="P136" s="211"/>
      <c r="Q136" s="802"/>
      <c r="R136" s="803"/>
      <c r="S136" s="211"/>
      <c r="T136" s="212"/>
      <c r="U136" s="184">
        <f t="shared" si="22"/>
        <v>0</v>
      </c>
      <c r="V136" s="184">
        <f t="shared" si="23"/>
        <v>0</v>
      </c>
      <c r="W136" s="262">
        <f t="shared" si="24"/>
        <v>0</v>
      </c>
      <c r="X136" s="263">
        <f t="shared" si="25"/>
        <v>0</v>
      </c>
      <c r="Y136" s="292"/>
      <c r="Z136" s="293"/>
      <c r="AA136" s="261"/>
      <c r="AB136" s="134"/>
      <c r="AC136" s="257"/>
      <c r="AD136" s="45"/>
      <c r="AE136" s="45"/>
      <c r="AF136" s="276"/>
      <c r="AH136" s="256"/>
      <c r="AI136" s="45"/>
      <c r="AJ136" s="257" t="str">
        <f>'I. Eliminations-Consolidations'!$A$308</f>
        <v>I.9</v>
      </c>
      <c r="AK136" s="134">
        <f>'I. Eliminations-Consolidations'!L317</f>
        <v>0</v>
      </c>
      <c r="AL136" s="211"/>
      <c r="AM136" s="211"/>
      <c r="AN136" s="262">
        <f t="shared" si="38"/>
        <v>0</v>
      </c>
      <c r="AO136" s="263">
        <f t="shared" si="39"/>
        <v>0</v>
      </c>
      <c r="AP136" s="184"/>
      <c r="AQ136" s="263"/>
      <c r="AR136" s="184">
        <f t="shared" si="28"/>
        <v>0</v>
      </c>
      <c r="AS136" s="263">
        <f t="shared" si="31"/>
        <v>0</v>
      </c>
      <c r="AT136" s="36"/>
      <c r="AU136" s="36"/>
      <c r="AV136" s="36"/>
      <c r="AW136" s="36"/>
      <c r="AX136" s="36"/>
      <c r="AY136" s="36"/>
      <c r="AZ136" s="36"/>
    </row>
    <row r="137" spans="2:52" ht="13.5" customHeight="1" x14ac:dyDescent="0.2">
      <c r="B137" s="925"/>
      <c r="C137" t="s">
        <v>487</v>
      </c>
      <c r="D137" s="303"/>
      <c r="E137" s="202"/>
      <c r="F137" s="203"/>
      <c r="G137" s="808"/>
      <c r="H137" s="203"/>
      <c r="I137" s="808"/>
      <c r="J137" s="809"/>
      <c r="K137" s="203"/>
      <c r="L137" s="809"/>
      <c r="M137" s="211"/>
      <c r="N137" s="212"/>
      <c r="O137" s="211"/>
      <c r="P137" s="211"/>
      <c r="Q137" s="802"/>
      <c r="R137" s="803"/>
      <c r="S137" s="211"/>
      <c r="T137" s="212"/>
      <c r="U137" s="184">
        <f t="shared" si="22"/>
        <v>0</v>
      </c>
      <c r="V137" s="184">
        <f t="shared" si="23"/>
        <v>0</v>
      </c>
      <c r="W137" s="262">
        <f t="shared" si="24"/>
        <v>0</v>
      </c>
      <c r="X137" s="263">
        <f t="shared" si="25"/>
        <v>0</v>
      </c>
      <c r="Y137" s="292"/>
      <c r="Z137" s="293"/>
      <c r="AA137" s="261"/>
      <c r="AB137" s="134"/>
      <c r="AC137" s="257"/>
      <c r="AD137" s="45"/>
      <c r="AE137" s="45"/>
      <c r="AF137" s="276"/>
      <c r="AH137" s="256"/>
      <c r="AI137" s="45"/>
      <c r="AJ137" s="257" t="str">
        <f>'I. Eliminations-Consolidations'!$A$308</f>
        <v>I.9</v>
      </c>
      <c r="AK137" s="134">
        <f>'I. Eliminations-Consolidations'!L318</f>
        <v>0</v>
      </c>
      <c r="AL137" s="211"/>
      <c r="AM137" s="211"/>
      <c r="AN137" s="262">
        <f t="shared" si="38"/>
        <v>0</v>
      </c>
      <c r="AO137" s="263">
        <f t="shared" si="39"/>
        <v>0</v>
      </c>
      <c r="AP137" s="184"/>
      <c r="AQ137" s="263"/>
      <c r="AR137" s="184">
        <f t="shared" si="28"/>
        <v>0</v>
      </c>
      <c r="AS137" s="263">
        <f t="shared" si="31"/>
        <v>0</v>
      </c>
      <c r="AT137" s="36"/>
      <c r="AU137" s="36"/>
      <c r="AV137" s="36"/>
      <c r="AW137" s="36"/>
      <c r="AX137" s="36"/>
      <c r="AY137" s="36"/>
      <c r="AZ137" s="36"/>
    </row>
    <row r="138" spans="2:52" ht="13.5" customHeight="1" x14ac:dyDescent="0.2">
      <c r="B138" s="925"/>
      <c r="C138" t="s">
        <v>488</v>
      </c>
      <c r="D138" s="303"/>
      <c r="E138" s="202"/>
      <c r="F138" s="203"/>
      <c r="G138" s="808"/>
      <c r="H138" s="203"/>
      <c r="I138" s="808"/>
      <c r="J138" s="809"/>
      <c r="K138" s="203"/>
      <c r="L138" s="809"/>
      <c r="M138" s="211"/>
      <c r="N138" s="212"/>
      <c r="O138" s="211"/>
      <c r="P138" s="211"/>
      <c r="Q138" s="802"/>
      <c r="R138" s="803"/>
      <c r="S138" s="211"/>
      <c r="T138" s="212"/>
      <c r="U138" s="184">
        <f t="shared" si="22"/>
        <v>0</v>
      </c>
      <c r="V138" s="184">
        <f t="shared" si="23"/>
        <v>0</v>
      </c>
      <c r="W138" s="262">
        <f t="shared" si="24"/>
        <v>0</v>
      </c>
      <c r="X138" s="263">
        <f t="shared" si="25"/>
        <v>0</v>
      </c>
      <c r="Y138" s="292"/>
      <c r="Z138" s="293"/>
      <c r="AA138" s="261"/>
      <c r="AB138" s="134"/>
      <c r="AC138" s="257"/>
      <c r="AD138" s="45"/>
      <c r="AE138" s="45"/>
      <c r="AF138" s="276"/>
      <c r="AH138" s="256"/>
      <c r="AI138" s="45"/>
      <c r="AJ138" s="257" t="str">
        <f>'I. Eliminations-Consolidations'!$A$308</f>
        <v>I.9</v>
      </c>
      <c r="AK138" s="134">
        <f>'I. Eliminations-Consolidations'!L319</f>
        <v>0</v>
      </c>
      <c r="AL138" s="211"/>
      <c r="AM138" s="211"/>
      <c r="AN138" s="262">
        <f t="shared" si="38"/>
        <v>0</v>
      </c>
      <c r="AO138" s="263">
        <f t="shared" si="39"/>
        <v>0</v>
      </c>
      <c r="AP138" s="184"/>
      <c r="AQ138" s="263"/>
      <c r="AR138" s="184">
        <f t="shared" si="28"/>
        <v>0</v>
      </c>
      <c r="AS138" s="263">
        <f t="shared" si="31"/>
        <v>0</v>
      </c>
      <c r="AT138" s="36"/>
      <c r="AU138" s="36"/>
      <c r="AV138" s="36"/>
      <c r="AW138" s="36"/>
      <c r="AX138" s="36"/>
      <c r="AY138" s="36"/>
      <c r="AZ138" s="36"/>
    </row>
    <row r="139" spans="2:52" ht="13.5" customHeight="1" x14ac:dyDescent="0.2">
      <c r="B139" s="925"/>
      <c r="C139" t="s">
        <v>1652</v>
      </c>
      <c r="D139" s="303"/>
      <c r="E139" s="202"/>
      <c r="F139" s="203"/>
      <c r="G139" s="808"/>
      <c r="H139" s="203"/>
      <c r="I139" s="808"/>
      <c r="J139" s="809"/>
      <c r="K139" s="203"/>
      <c r="L139" s="809"/>
      <c r="M139" s="211"/>
      <c r="N139" s="212"/>
      <c r="O139" s="211"/>
      <c r="P139" s="211"/>
      <c r="Q139" s="802"/>
      <c r="R139" s="803"/>
      <c r="S139" s="211"/>
      <c r="T139" s="212"/>
      <c r="U139" s="184">
        <f t="shared" si="22"/>
        <v>0</v>
      </c>
      <c r="V139" s="184">
        <f t="shared" si="23"/>
        <v>0</v>
      </c>
      <c r="W139" s="262">
        <f t="shared" si="24"/>
        <v>0</v>
      </c>
      <c r="X139" s="263">
        <f t="shared" si="25"/>
        <v>0</v>
      </c>
      <c r="Y139" s="292"/>
      <c r="Z139" s="293"/>
      <c r="AA139" s="261"/>
      <c r="AB139" s="134"/>
      <c r="AC139" s="257"/>
      <c r="AD139" s="45"/>
      <c r="AE139" s="45"/>
      <c r="AF139" s="276"/>
      <c r="AH139" s="256"/>
      <c r="AI139" s="45"/>
      <c r="AJ139" s="257" t="str">
        <f>'I. Eliminations-Consolidations'!$A$308</f>
        <v>I.9</v>
      </c>
      <c r="AK139" s="134">
        <f>'I. Eliminations-Consolidations'!L320</f>
        <v>0</v>
      </c>
      <c r="AL139" s="211"/>
      <c r="AM139" s="211"/>
      <c r="AN139" s="262">
        <f t="shared" si="38"/>
        <v>0</v>
      </c>
      <c r="AO139" s="263">
        <f t="shared" si="39"/>
        <v>0</v>
      </c>
      <c r="AP139" s="184"/>
      <c r="AQ139" s="263"/>
      <c r="AR139" s="184">
        <f t="shared" si="28"/>
        <v>0</v>
      </c>
      <c r="AS139" s="263">
        <f t="shared" si="31"/>
        <v>0</v>
      </c>
      <c r="AT139" s="36"/>
      <c r="AU139" s="36"/>
      <c r="AV139" s="36"/>
      <c r="AW139" s="36"/>
      <c r="AX139" s="36"/>
      <c r="AY139" s="36"/>
      <c r="AZ139" s="36"/>
    </row>
    <row r="140" spans="2:52" ht="13.5" customHeight="1" x14ac:dyDescent="0.2">
      <c r="B140" s="925"/>
      <c r="C140" t="s">
        <v>489</v>
      </c>
      <c r="D140" s="303"/>
      <c r="E140" s="202"/>
      <c r="F140" s="203"/>
      <c r="G140" s="808"/>
      <c r="H140" s="203"/>
      <c r="I140" s="808"/>
      <c r="J140" s="809"/>
      <c r="K140" s="203"/>
      <c r="L140" s="809"/>
      <c r="M140" s="211"/>
      <c r="N140" s="212"/>
      <c r="O140" s="211"/>
      <c r="P140" s="211"/>
      <c r="Q140" s="802"/>
      <c r="R140" s="803"/>
      <c r="S140" s="211"/>
      <c r="T140" s="212"/>
      <c r="U140" s="184">
        <f t="shared" si="22"/>
        <v>0</v>
      </c>
      <c r="V140" s="184">
        <f t="shared" si="23"/>
        <v>0</v>
      </c>
      <c r="W140" s="262">
        <f t="shared" si="24"/>
        <v>0</v>
      </c>
      <c r="X140" s="263">
        <f t="shared" si="25"/>
        <v>0</v>
      </c>
      <c r="Y140" s="292"/>
      <c r="Z140" s="293"/>
      <c r="AA140" s="261"/>
      <c r="AB140" s="134"/>
      <c r="AC140" s="257"/>
      <c r="AD140" s="45"/>
      <c r="AE140" s="45"/>
      <c r="AF140" s="276"/>
      <c r="AH140" s="256"/>
      <c r="AI140" s="45"/>
      <c r="AJ140" s="257" t="str">
        <f>'I. Eliminations-Consolidations'!$A$308</f>
        <v>I.9</v>
      </c>
      <c r="AK140" s="134">
        <f>'I. Eliminations-Consolidations'!L321</f>
        <v>0</v>
      </c>
      <c r="AL140" s="211"/>
      <c r="AM140" s="211"/>
      <c r="AN140" s="262">
        <f t="shared" si="38"/>
        <v>0</v>
      </c>
      <c r="AO140" s="263">
        <f t="shared" si="39"/>
        <v>0</v>
      </c>
      <c r="AP140" s="184"/>
      <c r="AQ140" s="263"/>
      <c r="AR140" s="184">
        <f t="shared" si="28"/>
        <v>0</v>
      </c>
      <c r="AS140" s="263">
        <f t="shared" si="31"/>
        <v>0</v>
      </c>
      <c r="AT140" s="36"/>
      <c r="AU140" s="36"/>
      <c r="AV140" s="36"/>
      <c r="AW140" s="36"/>
      <c r="AX140" s="36"/>
      <c r="AY140" s="36"/>
      <c r="AZ140" s="36"/>
    </row>
    <row r="141" spans="2:52" ht="13.5" customHeight="1" x14ac:dyDescent="0.2">
      <c r="B141" s="925"/>
      <c r="C141" t="s">
        <v>125</v>
      </c>
      <c r="D141" s="303"/>
      <c r="E141" s="202"/>
      <c r="F141" s="203"/>
      <c r="G141" s="808"/>
      <c r="H141" s="203"/>
      <c r="I141" s="808"/>
      <c r="J141" s="809"/>
      <c r="K141" s="203"/>
      <c r="L141" s="809"/>
      <c r="M141" s="211"/>
      <c r="N141" s="212"/>
      <c r="O141" s="211"/>
      <c r="P141" s="211"/>
      <c r="Q141" s="802"/>
      <c r="R141" s="803"/>
      <c r="S141" s="211"/>
      <c r="T141" s="212"/>
      <c r="U141" s="184">
        <f t="shared" si="22"/>
        <v>0</v>
      </c>
      <c r="V141" s="184">
        <f t="shared" si="23"/>
        <v>0</v>
      </c>
      <c r="W141" s="262">
        <f t="shared" si="24"/>
        <v>0</v>
      </c>
      <c r="X141" s="263">
        <f t="shared" si="25"/>
        <v>0</v>
      </c>
      <c r="Y141" s="292"/>
      <c r="Z141" s="293"/>
      <c r="AA141" s="261"/>
      <c r="AB141" s="134"/>
      <c r="AC141" s="257"/>
      <c r="AD141" s="45"/>
      <c r="AE141" s="45"/>
      <c r="AF141" s="276"/>
      <c r="AH141" s="256"/>
      <c r="AI141" s="45"/>
      <c r="AJ141" s="257" t="str">
        <f>'I. Eliminations-Consolidations'!$A$308</f>
        <v>I.9</v>
      </c>
      <c r="AK141" s="134">
        <f>'I. Eliminations-Consolidations'!L322</f>
        <v>0</v>
      </c>
      <c r="AL141" s="211"/>
      <c r="AM141" s="211"/>
      <c r="AN141" s="262">
        <f t="shared" si="38"/>
        <v>0</v>
      </c>
      <c r="AO141" s="263">
        <f t="shared" si="39"/>
        <v>0</v>
      </c>
      <c r="AP141" s="184"/>
      <c r="AQ141" s="263"/>
      <c r="AR141" s="184">
        <f t="shared" si="28"/>
        <v>0</v>
      </c>
      <c r="AS141" s="263">
        <f t="shared" si="31"/>
        <v>0</v>
      </c>
      <c r="AT141" s="36"/>
      <c r="AU141" s="36"/>
      <c r="AV141" s="36"/>
      <c r="AW141" s="36"/>
      <c r="AX141" s="36"/>
      <c r="AY141" s="36"/>
      <c r="AZ141" s="36"/>
    </row>
    <row r="142" spans="2:52" ht="13.5" customHeight="1" x14ac:dyDescent="0.2">
      <c r="B142" s="925"/>
      <c r="C142" t="s">
        <v>490</v>
      </c>
      <c r="D142" s="303"/>
      <c r="E142" s="202"/>
      <c r="F142" s="203"/>
      <c r="G142" s="808"/>
      <c r="H142" s="203"/>
      <c r="I142" s="808"/>
      <c r="J142" s="809"/>
      <c r="K142" s="203"/>
      <c r="L142" s="809"/>
      <c r="M142" s="211"/>
      <c r="N142" s="212"/>
      <c r="O142" s="211"/>
      <c r="P142" s="211"/>
      <c r="Q142" s="802"/>
      <c r="R142" s="803"/>
      <c r="S142" s="211"/>
      <c r="T142" s="212"/>
      <c r="U142" s="184">
        <f t="shared" si="22"/>
        <v>0</v>
      </c>
      <c r="V142" s="184">
        <f t="shared" si="23"/>
        <v>0</v>
      </c>
      <c r="W142" s="262">
        <f t="shared" si="24"/>
        <v>0</v>
      </c>
      <c r="X142" s="263">
        <f t="shared" si="25"/>
        <v>0</v>
      </c>
      <c r="Y142" s="292"/>
      <c r="Z142" s="293"/>
      <c r="AA142" s="261"/>
      <c r="AB142" s="134"/>
      <c r="AC142" s="257"/>
      <c r="AD142" s="45"/>
      <c r="AE142" s="45"/>
      <c r="AF142" s="276"/>
      <c r="AH142" s="256"/>
      <c r="AI142" s="45"/>
      <c r="AJ142" s="257" t="str">
        <f>'I. Eliminations-Consolidations'!$A$308</f>
        <v>I.9</v>
      </c>
      <c r="AK142" s="134">
        <f>'I. Eliminations-Consolidations'!L323</f>
        <v>0</v>
      </c>
      <c r="AL142" s="211"/>
      <c r="AM142" s="211"/>
      <c r="AN142" s="262">
        <f t="shared" si="38"/>
        <v>0</v>
      </c>
      <c r="AO142" s="263">
        <f t="shared" si="39"/>
        <v>0</v>
      </c>
      <c r="AP142" s="184"/>
      <c r="AQ142" s="263"/>
      <c r="AR142" s="184">
        <f t="shared" si="28"/>
        <v>0</v>
      </c>
      <c r="AS142" s="263">
        <f t="shared" si="31"/>
        <v>0</v>
      </c>
      <c r="AT142" s="36"/>
      <c r="AU142" s="36"/>
      <c r="AV142" s="36"/>
      <c r="AW142" s="36"/>
      <c r="AX142" s="36"/>
      <c r="AY142" s="36"/>
      <c r="AZ142" s="36"/>
    </row>
    <row r="143" spans="2:52" ht="13.5" customHeight="1" x14ac:dyDescent="0.2">
      <c r="B143" s="925"/>
      <c r="C143" t="s">
        <v>491</v>
      </c>
      <c r="D143" s="303"/>
      <c r="E143" s="202"/>
      <c r="F143" s="203"/>
      <c r="G143" s="808"/>
      <c r="H143" s="203"/>
      <c r="I143" s="808"/>
      <c r="J143" s="809"/>
      <c r="K143" s="203"/>
      <c r="L143" s="809"/>
      <c r="M143" s="211"/>
      <c r="N143" s="212"/>
      <c r="O143" s="211"/>
      <c r="P143" s="211"/>
      <c r="Q143" s="802"/>
      <c r="R143" s="803"/>
      <c r="S143" s="211"/>
      <c r="T143" s="212"/>
      <c r="U143" s="184">
        <f t="shared" si="22"/>
        <v>0</v>
      </c>
      <c r="V143" s="184">
        <f t="shared" si="23"/>
        <v>0</v>
      </c>
      <c r="W143" s="262">
        <f t="shared" si="24"/>
        <v>0</v>
      </c>
      <c r="X143" s="263">
        <f t="shared" si="25"/>
        <v>0</v>
      </c>
      <c r="Y143" s="292"/>
      <c r="Z143" s="293"/>
      <c r="AA143" s="261"/>
      <c r="AB143" s="134"/>
      <c r="AC143" s="257"/>
      <c r="AD143" s="45"/>
      <c r="AE143" s="45"/>
      <c r="AF143" s="276"/>
      <c r="AH143" s="256"/>
      <c r="AI143" s="45"/>
      <c r="AJ143" s="257" t="str">
        <f>'I. Eliminations-Consolidations'!$A$308</f>
        <v>I.9</v>
      </c>
      <c r="AK143" s="134">
        <f>'I. Eliminations-Consolidations'!L324</f>
        <v>0</v>
      </c>
      <c r="AL143" s="211"/>
      <c r="AM143" s="211"/>
      <c r="AN143" s="262">
        <f t="shared" si="38"/>
        <v>0</v>
      </c>
      <c r="AO143" s="263">
        <f t="shared" si="39"/>
        <v>0</v>
      </c>
      <c r="AP143" s="184"/>
      <c r="AQ143" s="263"/>
      <c r="AR143" s="184">
        <f t="shared" si="28"/>
        <v>0</v>
      </c>
      <c r="AS143" s="263">
        <f t="shared" si="31"/>
        <v>0</v>
      </c>
      <c r="AT143" s="36"/>
      <c r="AU143" s="36"/>
      <c r="AV143" s="36"/>
      <c r="AW143" s="36"/>
      <c r="AX143" s="36"/>
      <c r="AY143" s="36"/>
      <c r="AZ143" s="36"/>
    </row>
    <row r="144" spans="2:52" ht="13.5" customHeight="1" x14ac:dyDescent="0.2">
      <c r="B144" s="925"/>
      <c r="C144" t="s">
        <v>492</v>
      </c>
      <c r="D144" s="303"/>
      <c r="E144" s="202"/>
      <c r="F144" s="203"/>
      <c r="G144" s="808"/>
      <c r="H144" s="203"/>
      <c r="I144" s="808"/>
      <c r="J144" s="809"/>
      <c r="K144" s="203"/>
      <c r="L144" s="809"/>
      <c r="M144" s="211"/>
      <c r="N144" s="212"/>
      <c r="O144" s="211"/>
      <c r="P144" s="211"/>
      <c r="Q144" s="802"/>
      <c r="R144" s="803"/>
      <c r="S144" s="211"/>
      <c r="T144" s="212"/>
      <c r="U144" s="184">
        <f t="shared" si="22"/>
        <v>0</v>
      </c>
      <c r="V144" s="184">
        <f t="shared" si="23"/>
        <v>0</v>
      </c>
      <c r="W144" s="262">
        <f t="shared" si="24"/>
        <v>0</v>
      </c>
      <c r="X144" s="263">
        <f t="shared" si="25"/>
        <v>0</v>
      </c>
      <c r="Y144" s="292"/>
      <c r="Z144" s="293"/>
      <c r="AA144" s="261"/>
      <c r="AB144" s="134"/>
      <c r="AC144" s="257"/>
      <c r="AD144" s="45"/>
      <c r="AE144" s="45"/>
      <c r="AF144" s="276"/>
      <c r="AH144" s="256"/>
      <c r="AI144" s="45"/>
      <c r="AJ144" s="257" t="str">
        <f>'I. Eliminations-Consolidations'!$A$308</f>
        <v>I.9</v>
      </c>
      <c r="AK144" s="134">
        <f>'I. Eliminations-Consolidations'!L325</f>
        <v>0</v>
      </c>
      <c r="AL144" s="211"/>
      <c r="AM144" s="211"/>
      <c r="AN144" s="262">
        <f t="shared" si="38"/>
        <v>0</v>
      </c>
      <c r="AO144" s="263">
        <f t="shared" si="39"/>
        <v>0</v>
      </c>
      <c r="AP144" s="184"/>
      <c r="AQ144" s="263"/>
      <c r="AR144" s="184">
        <f t="shared" si="28"/>
        <v>0</v>
      </c>
      <c r="AS144" s="263">
        <f t="shared" si="31"/>
        <v>0</v>
      </c>
      <c r="AT144" s="36"/>
      <c r="AU144" s="36"/>
      <c r="AV144" s="36"/>
      <c r="AW144" s="36"/>
      <c r="AX144" s="36"/>
      <c r="AY144" s="36"/>
      <c r="AZ144" s="36"/>
    </row>
    <row r="145" spans="1:52" ht="13.5" customHeight="1" x14ac:dyDescent="0.2">
      <c r="B145" s="925"/>
      <c r="C145" t="s">
        <v>493</v>
      </c>
      <c r="D145" s="303"/>
      <c r="E145" s="202"/>
      <c r="F145" s="203"/>
      <c r="G145" s="808"/>
      <c r="H145" s="203"/>
      <c r="I145" s="808"/>
      <c r="J145" s="809"/>
      <c r="K145" s="203"/>
      <c r="L145" s="809"/>
      <c r="M145" s="211"/>
      <c r="N145" s="212"/>
      <c r="O145" s="211"/>
      <c r="P145" s="211"/>
      <c r="Q145" s="802"/>
      <c r="R145" s="803"/>
      <c r="S145" s="211"/>
      <c r="T145" s="212"/>
      <c r="U145" s="184">
        <f t="shared" si="22"/>
        <v>0</v>
      </c>
      <c r="V145" s="184">
        <f t="shared" si="23"/>
        <v>0</v>
      </c>
      <c r="W145" s="262">
        <f t="shared" si="24"/>
        <v>0</v>
      </c>
      <c r="X145" s="263">
        <f t="shared" si="25"/>
        <v>0</v>
      </c>
      <c r="Y145" s="292"/>
      <c r="Z145" s="293"/>
      <c r="AA145" s="261"/>
      <c r="AB145" s="134"/>
      <c r="AC145" s="257"/>
      <c r="AD145" s="45"/>
      <c r="AE145" s="45"/>
      <c r="AF145" s="276"/>
      <c r="AH145" s="256"/>
      <c r="AI145" s="45"/>
      <c r="AJ145" s="257" t="str">
        <f>'I. Eliminations-Consolidations'!$A$308</f>
        <v>I.9</v>
      </c>
      <c r="AK145" s="134">
        <f>'I. Eliminations-Consolidations'!L326</f>
        <v>0</v>
      </c>
      <c r="AL145" s="211"/>
      <c r="AM145" s="211"/>
      <c r="AN145" s="262">
        <f t="shared" si="38"/>
        <v>0</v>
      </c>
      <c r="AO145" s="263">
        <f t="shared" si="39"/>
        <v>0</v>
      </c>
      <c r="AP145" s="184"/>
      <c r="AQ145" s="263"/>
      <c r="AR145" s="184">
        <f t="shared" si="28"/>
        <v>0</v>
      </c>
      <c r="AS145" s="263">
        <f t="shared" si="31"/>
        <v>0</v>
      </c>
      <c r="AT145" s="36"/>
      <c r="AU145" s="36"/>
      <c r="AV145" s="36"/>
      <c r="AW145" s="36"/>
      <c r="AX145" s="36"/>
      <c r="AY145" s="36"/>
      <c r="AZ145" s="36"/>
    </row>
    <row r="146" spans="1:52" ht="13.5" customHeight="1" x14ac:dyDescent="0.2">
      <c r="B146" s="925"/>
      <c r="C146" t="s">
        <v>1653</v>
      </c>
      <c r="D146" s="303"/>
      <c r="E146" s="202"/>
      <c r="F146" s="203"/>
      <c r="G146" s="808"/>
      <c r="H146" s="203"/>
      <c r="I146" s="808"/>
      <c r="J146" s="809"/>
      <c r="K146" s="203"/>
      <c r="L146" s="809"/>
      <c r="M146" s="211"/>
      <c r="N146" s="212"/>
      <c r="O146" s="211"/>
      <c r="P146" s="211"/>
      <c r="Q146" s="802"/>
      <c r="R146" s="803"/>
      <c r="S146" s="211"/>
      <c r="T146" s="212"/>
      <c r="U146" s="184">
        <f t="shared" si="22"/>
        <v>0</v>
      </c>
      <c r="V146" s="184">
        <f t="shared" si="23"/>
        <v>0</v>
      </c>
      <c r="W146" s="262">
        <f t="shared" si="24"/>
        <v>0</v>
      </c>
      <c r="X146" s="263">
        <f t="shared" si="25"/>
        <v>0</v>
      </c>
      <c r="Y146" s="292"/>
      <c r="Z146" s="293"/>
      <c r="AA146" s="261"/>
      <c r="AB146" s="134"/>
      <c r="AC146" s="257"/>
      <c r="AD146" s="45"/>
      <c r="AE146" s="45"/>
      <c r="AF146" s="276"/>
      <c r="AH146" s="256"/>
      <c r="AI146" s="45"/>
      <c r="AJ146" s="257" t="str">
        <f>'I. Eliminations-Consolidations'!$A$308</f>
        <v>I.9</v>
      </c>
      <c r="AK146" s="134">
        <f>'I. Eliminations-Consolidations'!L327</f>
        <v>0</v>
      </c>
      <c r="AL146" s="211"/>
      <c r="AM146" s="211"/>
      <c r="AN146" s="262">
        <f t="shared" si="38"/>
        <v>0</v>
      </c>
      <c r="AO146" s="263">
        <f t="shared" si="39"/>
        <v>0</v>
      </c>
      <c r="AP146" s="184"/>
      <c r="AQ146" s="263"/>
      <c r="AR146" s="184">
        <f t="shared" si="28"/>
        <v>0</v>
      </c>
      <c r="AS146" s="263">
        <f t="shared" si="31"/>
        <v>0</v>
      </c>
      <c r="AT146" s="36"/>
      <c r="AU146" s="36"/>
      <c r="AV146" s="36"/>
      <c r="AW146" s="36"/>
      <c r="AX146" s="36"/>
      <c r="AY146" s="36"/>
      <c r="AZ146" s="36"/>
    </row>
    <row r="147" spans="1:52" ht="13.5" customHeight="1" x14ac:dyDescent="0.2">
      <c r="B147" s="925"/>
      <c r="C147" t="s">
        <v>494</v>
      </c>
      <c r="D147" s="303"/>
      <c r="E147" s="202"/>
      <c r="F147" s="203"/>
      <c r="G147" s="808"/>
      <c r="H147" s="203"/>
      <c r="I147" s="808"/>
      <c r="J147" s="809"/>
      <c r="K147" s="203"/>
      <c r="L147" s="809"/>
      <c r="M147" s="211"/>
      <c r="N147" s="212"/>
      <c r="O147" s="211"/>
      <c r="P147" s="211"/>
      <c r="Q147" s="802"/>
      <c r="R147" s="803"/>
      <c r="S147" s="211"/>
      <c r="T147" s="212"/>
      <c r="U147" s="184">
        <f t="shared" si="22"/>
        <v>0</v>
      </c>
      <c r="V147" s="184">
        <f t="shared" si="23"/>
        <v>0</v>
      </c>
      <c r="W147" s="262">
        <f t="shared" si="24"/>
        <v>0</v>
      </c>
      <c r="X147" s="263">
        <f t="shared" si="25"/>
        <v>0</v>
      </c>
      <c r="Y147" s="292"/>
      <c r="Z147" s="293"/>
      <c r="AA147" s="261"/>
      <c r="AB147" s="134"/>
      <c r="AC147" s="257"/>
      <c r="AD147" s="45"/>
      <c r="AE147" s="45"/>
      <c r="AF147" s="276"/>
      <c r="AH147" s="256"/>
      <c r="AI147" s="45"/>
      <c r="AJ147" s="257" t="str">
        <f>'I. Eliminations-Consolidations'!$A$308</f>
        <v>I.9</v>
      </c>
      <c r="AK147" s="134">
        <f>'I. Eliminations-Consolidations'!L328</f>
        <v>0</v>
      </c>
      <c r="AL147" s="211"/>
      <c r="AM147" s="211"/>
      <c r="AN147" s="262">
        <f t="shared" si="38"/>
        <v>0</v>
      </c>
      <c r="AO147" s="263">
        <f t="shared" si="39"/>
        <v>0</v>
      </c>
      <c r="AP147" s="184"/>
      <c r="AQ147" s="263"/>
      <c r="AR147" s="184">
        <f t="shared" si="28"/>
        <v>0</v>
      </c>
      <c r="AS147" s="263">
        <f t="shared" si="31"/>
        <v>0</v>
      </c>
      <c r="AT147" s="36"/>
      <c r="AU147" s="36"/>
      <c r="AV147" s="36"/>
      <c r="AW147" s="36"/>
      <c r="AX147" s="36"/>
      <c r="AY147" s="36"/>
      <c r="AZ147" s="36"/>
    </row>
    <row r="148" spans="1:52" ht="13.5" customHeight="1" x14ac:dyDescent="0.2">
      <c r="B148" s="925"/>
      <c r="C148" t="s">
        <v>565</v>
      </c>
      <c r="D148" s="303"/>
      <c r="E148" s="202"/>
      <c r="F148" s="203"/>
      <c r="G148" s="808"/>
      <c r="H148" s="203"/>
      <c r="I148" s="808"/>
      <c r="J148" s="809"/>
      <c r="K148" s="203"/>
      <c r="L148" s="809"/>
      <c r="M148" s="211"/>
      <c r="N148" s="212"/>
      <c r="O148" s="211"/>
      <c r="P148" s="211"/>
      <c r="Q148" s="802"/>
      <c r="R148" s="803"/>
      <c r="S148" s="211"/>
      <c r="T148" s="212"/>
      <c r="U148" s="184">
        <f t="shared" si="22"/>
        <v>0</v>
      </c>
      <c r="V148" s="184">
        <f t="shared" si="23"/>
        <v>0</v>
      </c>
      <c r="W148" s="262">
        <f t="shared" si="24"/>
        <v>0</v>
      </c>
      <c r="X148" s="263">
        <f t="shared" si="25"/>
        <v>0</v>
      </c>
      <c r="Y148" s="292"/>
      <c r="Z148" s="293"/>
      <c r="AA148" s="261"/>
      <c r="AB148" s="134"/>
      <c r="AC148" s="257"/>
      <c r="AD148" s="45"/>
      <c r="AE148" s="45"/>
      <c r="AF148" s="276"/>
      <c r="AH148" s="256"/>
      <c r="AI148" s="45"/>
      <c r="AJ148" s="257" t="str">
        <f>'I. Eliminations-Consolidations'!$A$308</f>
        <v>I.9</v>
      </c>
      <c r="AK148" s="134">
        <f>'I. Eliminations-Consolidations'!L329</f>
        <v>0</v>
      </c>
      <c r="AL148" s="211"/>
      <c r="AM148" s="211"/>
      <c r="AN148" s="262">
        <f t="shared" si="38"/>
        <v>0</v>
      </c>
      <c r="AO148" s="263">
        <f t="shared" si="39"/>
        <v>0</v>
      </c>
      <c r="AP148" s="184"/>
      <c r="AQ148" s="263"/>
      <c r="AR148" s="184">
        <f t="shared" si="28"/>
        <v>0</v>
      </c>
      <c r="AS148" s="263">
        <f t="shared" si="31"/>
        <v>0</v>
      </c>
      <c r="AT148" s="36"/>
      <c r="AU148" s="36"/>
      <c r="AV148" s="36"/>
      <c r="AW148" s="36"/>
      <c r="AX148" s="36"/>
      <c r="AY148" s="36"/>
      <c r="AZ148" s="36"/>
    </row>
    <row r="149" spans="1:52" s="746" customFormat="1" ht="13.5" customHeight="1" x14ac:dyDescent="0.2">
      <c r="B149" s="925"/>
      <c r="C149" s="746" t="s">
        <v>1644</v>
      </c>
      <c r="D149" s="747"/>
      <c r="E149" s="202"/>
      <c r="F149" s="203"/>
      <c r="G149" s="808"/>
      <c r="H149" s="203"/>
      <c r="I149" s="808"/>
      <c r="J149" s="809"/>
      <c r="K149" s="203"/>
      <c r="L149" s="809"/>
      <c r="M149" s="211"/>
      <c r="N149" s="212"/>
      <c r="O149" s="211"/>
      <c r="P149" s="211"/>
      <c r="Q149" s="802"/>
      <c r="R149" s="803"/>
      <c r="S149" s="211"/>
      <c r="T149" s="212"/>
      <c r="U149" s="184">
        <f t="shared" ref="U149" si="40">O149+Q149+S149</f>
        <v>0</v>
      </c>
      <c r="V149" s="184">
        <f t="shared" ref="V149" si="41">P149+R149+T149</f>
        <v>0</v>
      </c>
      <c r="W149" s="262">
        <f t="shared" ref="W149" si="42">E149+G149+I149+K149+M149+U149</f>
        <v>0</v>
      </c>
      <c r="X149" s="263">
        <f t="shared" ref="X149" si="43">F149+H149+J149+L149+N149+V149</f>
        <v>0</v>
      </c>
      <c r="Y149" s="292"/>
      <c r="Z149" s="293"/>
      <c r="AA149" s="261"/>
      <c r="AB149" s="134"/>
      <c r="AC149" s="257"/>
      <c r="AD149" s="45"/>
      <c r="AE149" s="45"/>
      <c r="AF149" s="276"/>
      <c r="AG149" s="36"/>
      <c r="AH149" s="256"/>
      <c r="AI149" s="45"/>
      <c r="AJ149" s="257" t="str">
        <f>'I. Eliminations-Consolidations'!$A$308</f>
        <v>I.9</v>
      </c>
      <c r="AK149" s="134">
        <f>'I. Eliminations-Consolidations'!L330</f>
        <v>0</v>
      </c>
      <c r="AL149" s="211"/>
      <c r="AM149" s="211"/>
      <c r="AN149" s="262">
        <f t="shared" ref="AN149" si="44">W149+Y149+AA149+AD149+AI149+AL149</f>
        <v>0</v>
      </c>
      <c r="AO149" s="263">
        <f t="shared" ref="AO149" si="45">X149+Z149+AB149+AG149+AK149+AM149</f>
        <v>0</v>
      </c>
      <c r="AP149" s="184"/>
      <c r="AQ149" s="263"/>
      <c r="AR149" s="184">
        <f t="shared" ref="AR149" si="46">IF(AN149-AO149&lt;0, " ",AN149-AO149)</f>
        <v>0</v>
      </c>
      <c r="AS149" s="263">
        <f t="shared" ref="AS149" si="47">IF(AN149-AO149&gt;0, " ",AO149-AN149)</f>
        <v>0</v>
      </c>
      <c r="AT149" s="36"/>
      <c r="AU149" s="36"/>
      <c r="AV149" s="36"/>
      <c r="AW149" s="36"/>
      <c r="AX149" s="36"/>
      <c r="AY149" s="36"/>
      <c r="AZ149" s="36"/>
    </row>
    <row r="150" spans="1:52" x14ac:dyDescent="0.2">
      <c r="B150" s="925"/>
      <c r="C150" s="303" t="s">
        <v>19</v>
      </c>
      <c r="D150" s="303"/>
      <c r="E150" s="202"/>
      <c r="F150" s="234"/>
      <c r="G150" s="808"/>
      <c r="H150" s="203"/>
      <c r="I150" s="808"/>
      <c r="J150" s="809"/>
      <c r="K150" s="203"/>
      <c r="L150" s="809"/>
      <c r="M150" s="211"/>
      <c r="N150" s="212"/>
      <c r="O150" s="211"/>
      <c r="P150" s="211"/>
      <c r="Q150" s="802"/>
      <c r="R150" s="803"/>
      <c r="S150" s="211"/>
      <c r="T150" s="212"/>
      <c r="U150" s="184">
        <f t="shared" si="22"/>
        <v>0</v>
      </c>
      <c r="V150" s="184">
        <f t="shared" si="23"/>
        <v>0</v>
      </c>
      <c r="W150" s="262">
        <f t="shared" si="24"/>
        <v>0</v>
      </c>
      <c r="X150" s="263">
        <f t="shared" si="25"/>
        <v>0</v>
      </c>
      <c r="Y150" s="292"/>
      <c r="Z150" s="293"/>
      <c r="AA150" s="261"/>
      <c r="AB150" s="134"/>
      <c r="AC150" s="257"/>
      <c r="AD150" s="45"/>
      <c r="AE150" s="45"/>
      <c r="AF150" s="276"/>
      <c r="AH150" s="256"/>
      <c r="AI150" s="45"/>
      <c r="AJ150" s="257" t="str">
        <f>'I. Eliminations-Consolidations'!$A$308</f>
        <v>I.9</v>
      </c>
      <c r="AK150" s="134">
        <f>'I. Eliminations-Consolidations'!L331</f>
        <v>59685</v>
      </c>
      <c r="AL150" s="211"/>
      <c r="AM150" s="211"/>
      <c r="AN150" s="262">
        <f t="shared" si="38"/>
        <v>0</v>
      </c>
      <c r="AO150" s="263">
        <f>X150+Z150+AB150+AG150+AK150+AM150</f>
        <v>59685</v>
      </c>
      <c r="AP150" s="184"/>
      <c r="AQ150" s="263"/>
      <c r="AR150" s="184" t="str">
        <f t="shared" si="28"/>
        <v xml:space="preserve"> </v>
      </c>
      <c r="AS150" s="263">
        <f t="shared" si="31"/>
        <v>59685</v>
      </c>
      <c r="AT150" s="78"/>
      <c r="AU150" s="36"/>
      <c r="AV150" s="36"/>
      <c r="AW150" s="36"/>
      <c r="AX150" s="36"/>
      <c r="AY150" s="36"/>
      <c r="AZ150" s="36"/>
    </row>
    <row r="151" spans="1:52" x14ac:dyDescent="0.2">
      <c r="E151" s="202"/>
      <c r="F151" s="203"/>
      <c r="G151" s="808"/>
      <c r="H151" s="203"/>
      <c r="I151" s="808"/>
      <c r="J151" s="809"/>
      <c r="K151" s="203"/>
      <c r="L151" s="809"/>
      <c r="M151" s="211"/>
      <c r="N151" s="212"/>
      <c r="O151" s="211"/>
      <c r="P151" s="211"/>
      <c r="Q151" s="802"/>
      <c r="R151" s="803"/>
      <c r="S151" s="211"/>
      <c r="T151" s="212"/>
      <c r="U151" s="184"/>
      <c r="V151" s="184"/>
      <c r="W151" s="262"/>
      <c r="X151" s="263"/>
      <c r="Y151" s="292"/>
      <c r="Z151" s="293"/>
      <c r="AA151" s="261"/>
      <c r="AB151" s="134"/>
      <c r="AC151" s="257"/>
      <c r="AD151" s="45"/>
      <c r="AE151" s="45"/>
      <c r="AF151" s="276"/>
      <c r="AH151" s="256"/>
      <c r="AI151" s="45"/>
      <c r="AJ151" s="257"/>
      <c r="AK151" s="134"/>
      <c r="AL151" s="211"/>
      <c r="AM151" s="211"/>
      <c r="AN151" s="262"/>
      <c r="AO151" s="263"/>
      <c r="AP151" s="184"/>
      <c r="AQ151" s="263"/>
      <c r="AR151" s="184"/>
      <c r="AS151" s="263"/>
      <c r="AT151" s="36"/>
      <c r="AU151" s="36"/>
      <c r="AV151" s="36"/>
      <c r="AW151" s="36"/>
      <c r="AX151" s="36"/>
      <c r="AY151" s="36"/>
      <c r="AZ151" s="36"/>
    </row>
    <row r="152" spans="1:52" ht="18" customHeight="1" x14ac:dyDescent="0.2">
      <c r="A152" s="29" t="s">
        <v>361</v>
      </c>
      <c r="B152" s="27"/>
      <c r="C152" s="27"/>
      <c r="D152" s="357"/>
      <c r="E152" s="202"/>
      <c r="F152" s="205"/>
      <c r="G152" s="804"/>
      <c r="H152" s="213"/>
      <c r="I152" s="804"/>
      <c r="J152" s="805"/>
      <c r="K152" s="213"/>
      <c r="L152" s="805"/>
      <c r="M152" s="211"/>
      <c r="N152" s="212"/>
      <c r="O152" s="211"/>
      <c r="P152" s="211"/>
      <c r="Q152" s="802"/>
      <c r="R152" s="803"/>
      <c r="S152" s="211"/>
      <c r="T152" s="212"/>
      <c r="U152" s="184"/>
      <c r="V152" s="184"/>
      <c r="W152" s="262"/>
      <c r="X152" s="263"/>
      <c r="Y152" s="292"/>
      <c r="Z152" s="293"/>
      <c r="AA152" s="261"/>
      <c r="AB152" s="134"/>
      <c r="AC152" s="257"/>
      <c r="AD152" s="45"/>
      <c r="AE152" s="45"/>
      <c r="AF152" s="257"/>
      <c r="AG152" s="45"/>
      <c r="AH152" s="256"/>
      <c r="AI152" s="45"/>
      <c r="AJ152" s="257"/>
      <c r="AK152" s="134"/>
      <c r="AL152" s="211"/>
      <c r="AM152" s="211"/>
      <c r="AN152" s="262"/>
      <c r="AO152" s="263"/>
      <c r="AP152" s="184"/>
      <c r="AQ152" s="263"/>
      <c r="AR152" s="184"/>
      <c r="AS152" s="263"/>
      <c r="AT152" s="36"/>
      <c r="AU152" s="36"/>
      <c r="AV152" s="36"/>
      <c r="AW152" s="36"/>
      <c r="AX152" s="36"/>
      <c r="AY152" s="36"/>
      <c r="AZ152" s="36"/>
    </row>
    <row r="153" spans="1:52" x14ac:dyDescent="0.2">
      <c r="B153" s="6"/>
      <c r="C153" t="s">
        <v>151</v>
      </c>
      <c r="E153" s="202"/>
      <c r="F153" s="205">
        <v>17500</v>
      </c>
      <c r="G153" s="804"/>
      <c r="H153" s="520">
        <v>347136</v>
      </c>
      <c r="I153" s="804"/>
      <c r="J153" s="805"/>
      <c r="K153" s="213"/>
      <c r="L153" s="805"/>
      <c r="M153" s="211"/>
      <c r="N153" s="212"/>
      <c r="O153" s="211"/>
      <c r="P153" s="211"/>
      <c r="Q153" s="802"/>
      <c r="R153" s="803"/>
      <c r="S153" s="211"/>
      <c r="T153" s="212"/>
      <c r="U153" s="184">
        <f t="shared" si="22"/>
        <v>0</v>
      </c>
      <c r="V153" s="184">
        <f t="shared" si="23"/>
        <v>0</v>
      </c>
      <c r="W153" s="262">
        <f t="shared" si="24"/>
        <v>0</v>
      </c>
      <c r="X153" s="263">
        <f t="shared" si="25"/>
        <v>364636</v>
      </c>
      <c r="Y153" s="292"/>
      <c r="Z153" s="293"/>
      <c r="AA153" s="261">
        <f>'A. Revenue by Function'!L147</f>
        <v>364636</v>
      </c>
      <c r="AB153" s="134"/>
      <c r="AC153" s="257"/>
      <c r="AD153" s="45"/>
      <c r="AE153" s="45"/>
      <c r="AF153" s="257"/>
      <c r="AG153" s="45"/>
      <c r="AH153" s="256"/>
      <c r="AI153" s="45"/>
      <c r="AJ153" s="257"/>
      <c r="AK153" s="134"/>
      <c r="AL153" s="211"/>
      <c r="AM153" s="211"/>
      <c r="AN153" s="262">
        <f t="shared" ref="AN153:AN162" si="48">W153+Y153+AA153+AD153+AI153+AL153</f>
        <v>364636</v>
      </c>
      <c r="AO153" s="263">
        <f t="shared" ref="AO153:AO162" si="49">X153+Z153+AB153+AG153+AK153+AM153</f>
        <v>364636</v>
      </c>
      <c r="AP153" s="184">
        <f t="shared" ref="AP153:AP166" si="50">IF(AN153-AO153&lt;0, " ",AN153-AO153)</f>
        <v>0</v>
      </c>
      <c r="AQ153" s="263">
        <f t="shared" ref="AQ153:AQ162" si="51">IF(AN153-AO153&gt;0, " ", AO153-AN153)</f>
        <v>0</v>
      </c>
      <c r="AR153" s="184"/>
      <c r="AS153" s="263"/>
      <c r="AT153" s="36"/>
      <c r="AU153" s="36"/>
      <c r="AV153" s="36"/>
      <c r="AW153" s="36"/>
      <c r="AX153" s="36"/>
      <c r="AY153" s="36"/>
      <c r="AZ153" s="36"/>
    </row>
    <row r="154" spans="1:52" x14ac:dyDescent="0.2">
      <c r="B154" s="6"/>
      <c r="C154" t="s">
        <v>410</v>
      </c>
      <c r="E154" s="202"/>
      <c r="F154" s="205">
        <v>125000</v>
      </c>
      <c r="G154" s="804"/>
      <c r="H154" s="213"/>
      <c r="I154" s="804"/>
      <c r="J154" s="805"/>
      <c r="K154" s="213"/>
      <c r="L154" s="810"/>
      <c r="M154" s="211"/>
      <c r="N154" s="212"/>
      <c r="O154" s="211"/>
      <c r="P154" s="211"/>
      <c r="Q154" s="802"/>
      <c r="R154" s="803"/>
      <c r="S154" s="211"/>
      <c r="T154" s="212"/>
      <c r="U154" s="184">
        <f t="shared" si="22"/>
        <v>0</v>
      </c>
      <c r="V154" s="184">
        <f t="shared" si="23"/>
        <v>0</v>
      </c>
      <c r="W154" s="262">
        <f t="shared" si="24"/>
        <v>0</v>
      </c>
      <c r="X154" s="263">
        <f t="shared" si="25"/>
        <v>125000</v>
      </c>
      <c r="Y154" s="292"/>
      <c r="Z154" s="293"/>
      <c r="AA154" s="261">
        <f>'A. Revenue by Function'!L148</f>
        <v>125000</v>
      </c>
      <c r="AB154" s="134"/>
      <c r="AC154" s="257"/>
      <c r="AD154" s="45"/>
      <c r="AE154" s="45"/>
      <c r="AF154" s="257"/>
      <c r="AG154" s="45"/>
      <c r="AH154" s="256"/>
      <c r="AI154" s="45"/>
      <c r="AJ154" s="257"/>
      <c r="AK154" s="134"/>
      <c r="AL154" s="211"/>
      <c r="AM154" s="211"/>
      <c r="AN154" s="262">
        <f t="shared" si="48"/>
        <v>125000</v>
      </c>
      <c r="AO154" s="263">
        <f t="shared" si="49"/>
        <v>125000</v>
      </c>
      <c r="AP154" s="184">
        <f t="shared" si="50"/>
        <v>0</v>
      </c>
      <c r="AQ154" s="263">
        <f t="shared" si="51"/>
        <v>0</v>
      </c>
      <c r="AR154" s="184"/>
      <c r="AS154" s="263"/>
      <c r="AT154" s="36"/>
      <c r="AU154" s="36"/>
      <c r="AV154" s="36"/>
      <c r="AW154" s="36"/>
      <c r="AX154" s="36"/>
      <c r="AY154" s="36"/>
      <c r="AZ154" s="36"/>
    </row>
    <row r="155" spans="1:52" x14ac:dyDescent="0.2">
      <c r="B155" s="6"/>
      <c r="C155" t="s">
        <v>409</v>
      </c>
      <c r="E155" s="202"/>
      <c r="F155" s="205">
        <v>27941</v>
      </c>
      <c r="G155" s="804"/>
      <c r="H155" s="213"/>
      <c r="I155" s="804"/>
      <c r="J155" s="805"/>
      <c r="K155" s="213"/>
      <c r="L155" s="805"/>
      <c r="M155" s="211"/>
      <c r="N155" s="212"/>
      <c r="O155" s="211"/>
      <c r="P155" s="211">
        <v>29020</v>
      </c>
      <c r="Q155" s="802"/>
      <c r="R155" s="803"/>
      <c r="S155" s="211"/>
      <c r="T155" s="212"/>
      <c r="U155" s="184">
        <f t="shared" si="22"/>
        <v>0</v>
      </c>
      <c r="V155" s="184">
        <f t="shared" si="23"/>
        <v>29020</v>
      </c>
      <c r="W155" s="262">
        <f t="shared" si="24"/>
        <v>0</v>
      </c>
      <c r="X155" s="263">
        <f t="shared" si="25"/>
        <v>56961</v>
      </c>
      <c r="Y155" s="292"/>
      <c r="Z155" s="293"/>
      <c r="AA155" s="261">
        <f>'A. Revenue by Function'!L149</f>
        <v>56961</v>
      </c>
      <c r="AB155" s="134"/>
      <c r="AC155" s="257"/>
      <c r="AD155" s="45"/>
      <c r="AE155" s="45"/>
      <c r="AF155" s="257"/>
      <c r="AG155" s="45"/>
      <c r="AH155" s="256"/>
      <c r="AI155" s="45"/>
      <c r="AJ155" s="257"/>
      <c r="AK155" s="134"/>
      <c r="AL155" s="211"/>
      <c r="AM155" s="211"/>
      <c r="AN155" s="262">
        <f t="shared" si="48"/>
        <v>56961</v>
      </c>
      <c r="AO155" s="263">
        <f t="shared" si="49"/>
        <v>56961</v>
      </c>
      <c r="AP155" s="184">
        <f t="shared" si="50"/>
        <v>0</v>
      </c>
      <c r="AQ155" s="263">
        <f t="shared" si="51"/>
        <v>0</v>
      </c>
      <c r="AR155" s="184"/>
      <c r="AS155" s="263"/>
      <c r="AT155" s="36"/>
      <c r="AU155" s="36"/>
      <c r="AV155" s="36"/>
      <c r="AW155" s="36"/>
      <c r="AX155" s="36"/>
      <c r="AY155" s="36"/>
      <c r="AZ155" s="36"/>
    </row>
    <row r="156" spans="1:52" x14ac:dyDescent="0.2">
      <c r="B156" s="6"/>
      <c r="C156" s="12" t="s">
        <v>140</v>
      </c>
      <c r="D156" s="12"/>
      <c r="E156" s="202"/>
      <c r="F156" s="205"/>
      <c r="G156" s="804"/>
      <c r="H156" s="213"/>
      <c r="I156" s="804"/>
      <c r="J156" s="805"/>
      <c r="K156" s="213"/>
      <c r="L156" s="805"/>
      <c r="M156" s="211"/>
      <c r="N156" s="212"/>
      <c r="O156" s="211"/>
      <c r="P156" s="211"/>
      <c r="Q156" s="802"/>
      <c r="R156" s="803"/>
      <c r="S156" s="211"/>
      <c r="T156" s="212"/>
      <c r="U156" s="184">
        <f t="shared" si="22"/>
        <v>0</v>
      </c>
      <c r="V156" s="184">
        <f t="shared" si="23"/>
        <v>0</v>
      </c>
      <c r="W156" s="262">
        <f t="shared" si="24"/>
        <v>0</v>
      </c>
      <c r="X156" s="263">
        <f t="shared" si="25"/>
        <v>0</v>
      </c>
      <c r="Y156" s="293"/>
      <c r="Z156" s="293"/>
      <c r="AA156" s="261"/>
      <c r="AB156" s="134"/>
      <c r="AC156" s="257"/>
      <c r="AD156" s="45"/>
      <c r="AE156" s="45"/>
      <c r="AF156" s="257"/>
      <c r="AG156" s="45"/>
      <c r="AH156" s="256" t="str">
        <f>'I. Eliminations-Consolidations'!A250</f>
        <v>I.7</v>
      </c>
      <c r="AI156" s="45">
        <f>'I. Eliminations-Consolidations'!J268</f>
        <v>0</v>
      </c>
      <c r="AJ156" s="257"/>
      <c r="AK156" s="134"/>
      <c r="AL156" s="211"/>
      <c r="AM156" s="211"/>
      <c r="AN156" s="262">
        <f t="shared" si="48"/>
        <v>0</v>
      </c>
      <c r="AO156" s="263">
        <f t="shared" si="49"/>
        <v>0</v>
      </c>
      <c r="AP156" s="184">
        <f t="shared" si="50"/>
        <v>0</v>
      </c>
      <c r="AQ156" s="263">
        <f t="shared" si="51"/>
        <v>0</v>
      </c>
      <c r="AR156" s="184"/>
      <c r="AS156" s="263"/>
      <c r="AT156" s="36"/>
      <c r="AU156" s="36"/>
      <c r="AV156" s="36"/>
      <c r="AW156" s="36"/>
      <c r="AX156" s="36"/>
      <c r="AY156" s="36"/>
      <c r="AZ156" s="36"/>
    </row>
    <row r="157" spans="1:52" x14ac:dyDescent="0.2">
      <c r="B157" s="6"/>
      <c r="C157" s="12" t="s">
        <v>567</v>
      </c>
      <c r="D157" s="12"/>
      <c r="E157" s="264"/>
      <c r="F157" s="213">
        <v>7000</v>
      </c>
      <c r="G157" s="804"/>
      <c r="H157" s="213"/>
      <c r="I157" s="804"/>
      <c r="J157" s="805"/>
      <c r="K157" s="213"/>
      <c r="L157" s="805"/>
      <c r="M157" s="211"/>
      <c r="N157" s="212"/>
      <c r="O157" s="211"/>
      <c r="P157" s="211"/>
      <c r="Q157" s="802"/>
      <c r="R157" s="803">
        <v>725</v>
      </c>
      <c r="S157" s="211"/>
      <c r="T157" s="212"/>
      <c r="U157" s="184">
        <f t="shared" si="22"/>
        <v>0</v>
      </c>
      <c r="V157" s="184">
        <f t="shared" si="23"/>
        <v>725</v>
      </c>
      <c r="W157" s="262">
        <f t="shared" si="24"/>
        <v>0</v>
      </c>
      <c r="X157" s="263">
        <f t="shared" si="25"/>
        <v>7725</v>
      </c>
      <c r="Y157" s="293"/>
      <c r="Z157" s="293"/>
      <c r="AA157" s="261">
        <f>'A. Revenue by Function'!L150</f>
        <v>7725</v>
      </c>
      <c r="AB157" s="134"/>
      <c r="AC157" s="257"/>
      <c r="AD157" s="45"/>
      <c r="AE157" s="45"/>
      <c r="AF157" s="257"/>
      <c r="AG157" s="45"/>
      <c r="AH157" s="256"/>
      <c r="AI157" s="45"/>
      <c r="AJ157" s="257"/>
      <c r="AK157" s="134"/>
      <c r="AL157" s="211"/>
      <c r="AM157" s="211"/>
      <c r="AN157" s="262">
        <f t="shared" si="48"/>
        <v>7725</v>
      </c>
      <c r="AO157" s="263">
        <f t="shared" si="49"/>
        <v>7725</v>
      </c>
      <c r="AP157" s="184">
        <f t="shared" si="50"/>
        <v>0</v>
      </c>
      <c r="AQ157" s="263">
        <f t="shared" si="51"/>
        <v>0</v>
      </c>
      <c r="AR157" s="184"/>
      <c r="AS157" s="263"/>
      <c r="AT157" s="36"/>
      <c r="AU157" s="36"/>
      <c r="AV157" s="36"/>
      <c r="AW157" s="36"/>
      <c r="AX157" s="36"/>
      <c r="AY157" s="36"/>
      <c r="AZ157" s="36"/>
    </row>
    <row r="158" spans="1:52" x14ac:dyDescent="0.2">
      <c r="B158" s="6"/>
      <c r="C158" s="12" t="s">
        <v>543</v>
      </c>
      <c r="D158" s="12"/>
      <c r="E158" s="264"/>
      <c r="F158" s="520">
        <v>15321</v>
      </c>
      <c r="G158" s="804"/>
      <c r="H158" s="213"/>
      <c r="I158" s="804"/>
      <c r="J158" s="805"/>
      <c r="K158" s="213"/>
      <c r="L158" s="805"/>
      <c r="M158" s="211"/>
      <c r="N158" s="212"/>
      <c r="O158" s="211"/>
      <c r="P158" s="211"/>
      <c r="Q158" s="802"/>
      <c r="R158" s="803">
        <v>766</v>
      </c>
      <c r="S158" s="211"/>
      <c r="T158" s="212"/>
      <c r="U158" s="184">
        <f t="shared" si="22"/>
        <v>0</v>
      </c>
      <c r="V158" s="184">
        <f t="shared" si="23"/>
        <v>766</v>
      </c>
      <c r="W158" s="262">
        <f t="shared" si="24"/>
        <v>0</v>
      </c>
      <c r="X158" s="263">
        <f t="shared" si="25"/>
        <v>16087</v>
      </c>
      <c r="Y158" s="293"/>
      <c r="Z158" s="293"/>
      <c r="AA158" s="261">
        <f>'A. Revenue by Function'!L151</f>
        <v>16087</v>
      </c>
      <c r="AB158" s="134"/>
      <c r="AC158" s="257"/>
      <c r="AD158" s="45"/>
      <c r="AE158" s="45"/>
      <c r="AF158" s="257"/>
      <c r="AG158" s="45"/>
      <c r="AH158" s="256"/>
      <c r="AI158" s="45"/>
      <c r="AJ158" s="257"/>
      <c r="AK158" s="134"/>
      <c r="AL158" s="211"/>
      <c r="AM158" s="211"/>
      <c r="AN158" s="262">
        <f t="shared" si="48"/>
        <v>16087</v>
      </c>
      <c r="AO158" s="263">
        <f t="shared" si="49"/>
        <v>16087</v>
      </c>
      <c r="AP158" s="184">
        <f t="shared" si="50"/>
        <v>0</v>
      </c>
      <c r="AQ158" s="263">
        <f t="shared" si="51"/>
        <v>0</v>
      </c>
      <c r="AR158" s="184"/>
      <c r="AS158" s="263"/>
      <c r="AT158" s="36"/>
      <c r="AU158" s="36"/>
      <c r="AV158" s="36"/>
      <c r="AW158" s="36"/>
      <c r="AX158" s="36"/>
      <c r="AY158" s="36"/>
      <c r="AZ158" s="36"/>
    </row>
    <row r="159" spans="1:52" x14ac:dyDescent="0.2">
      <c r="B159" s="6"/>
      <c r="C159" s="283" t="s">
        <v>495</v>
      </c>
      <c r="D159" s="283"/>
      <c r="E159" s="264"/>
      <c r="F159" s="213"/>
      <c r="G159" s="804"/>
      <c r="H159" s="213"/>
      <c r="I159" s="804"/>
      <c r="J159" s="805"/>
      <c r="K159" s="213"/>
      <c r="L159" s="805"/>
      <c r="M159" s="211"/>
      <c r="N159" s="212"/>
      <c r="O159" s="211"/>
      <c r="P159" s="211"/>
      <c r="Q159" s="802"/>
      <c r="R159" s="803"/>
      <c r="S159" s="211"/>
      <c r="T159" s="212"/>
      <c r="U159" s="184">
        <f t="shared" si="22"/>
        <v>0</v>
      </c>
      <c r="V159" s="184">
        <f t="shared" si="23"/>
        <v>0</v>
      </c>
      <c r="W159" s="262">
        <f t="shared" si="24"/>
        <v>0</v>
      </c>
      <c r="X159" s="263">
        <f t="shared" si="25"/>
        <v>0</v>
      </c>
      <c r="Y159" s="293"/>
      <c r="Z159" s="293"/>
      <c r="AA159" s="261">
        <f>'A. Revenue by Function'!L152</f>
        <v>0</v>
      </c>
      <c r="AB159" s="134"/>
      <c r="AC159" s="257"/>
      <c r="AD159" s="45"/>
      <c r="AE159" s="45"/>
      <c r="AF159" s="257"/>
      <c r="AG159" s="45"/>
      <c r="AH159" s="256"/>
      <c r="AI159" s="45"/>
      <c r="AJ159" s="257"/>
      <c r="AK159" s="134"/>
      <c r="AL159" s="211"/>
      <c r="AM159" s="211"/>
      <c r="AN159" s="262">
        <f t="shared" si="48"/>
        <v>0</v>
      </c>
      <c r="AO159" s="263">
        <f t="shared" si="49"/>
        <v>0</v>
      </c>
      <c r="AP159" s="184">
        <f t="shared" si="50"/>
        <v>0</v>
      </c>
      <c r="AQ159" s="263">
        <f t="shared" si="51"/>
        <v>0</v>
      </c>
      <c r="AR159" s="184"/>
      <c r="AS159" s="263"/>
      <c r="AT159" s="36"/>
      <c r="AU159" s="36"/>
      <c r="AV159" s="36"/>
      <c r="AW159" s="36"/>
      <c r="AX159" s="36"/>
      <c r="AY159" s="36"/>
      <c r="AZ159" s="36"/>
    </row>
    <row r="160" spans="1:52" x14ac:dyDescent="0.2">
      <c r="B160" s="6"/>
      <c r="C160" s="283" t="s">
        <v>496</v>
      </c>
      <c r="D160" s="283"/>
      <c r="E160" s="264"/>
      <c r="F160" s="211"/>
      <c r="G160" s="802"/>
      <c r="H160" s="211"/>
      <c r="I160" s="802"/>
      <c r="J160" s="803"/>
      <c r="K160" s="211"/>
      <c r="L160" s="803"/>
      <c r="M160" s="211"/>
      <c r="N160" s="212"/>
      <c r="O160" s="211"/>
      <c r="P160" s="211"/>
      <c r="Q160" s="802"/>
      <c r="R160" s="803"/>
      <c r="S160" s="211"/>
      <c r="T160" s="212"/>
      <c r="U160" s="184">
        <f t="shared" si="22"/>
        <v>0</v>
      </c>
      <c r="V160" s="184">
        <f t="shared" si="23"/>
        <v>0</v>
      </c>
      <c r="W160" s="262">
        <f t="shared" si="24"/>
        <v>0</v>
      </c>
      <c r="X160" s="263">
        <f t="shared" si="25"/>
        <v>0</v>
      </c>
      <c r="Y160" s="293"/>
      <c r="Z160" s="293"/>
      <c r="AA160" s="261">
        <f>'A. Revenue by Function'!L153</f>
        <v>0</v>
      </c>
      <c r="AB160" s="134"/>
      <c r="AC160" s="257"/>
      <c r="AD160" s="45"/>
      <c r="AE160" s="45"/>
      <c r="AF160" s="257"/>
      <c r="AG160" s="45"/>
      <c r="AH160" s="256"/>
      <c r="AI160" s="45"/>
      <c r="AJ160" s="257"/>
      <c r="AK160" s="134"/>
      <c r="AL160" s="211"/>
      <c r="AM160" s="211"/>
      <c r="AN160" s="262">
        <f t="shared" si="48"/>
        <v>0</v>
      </c>
      <c r="AO160" s="263">
        <f t="shared" si="49"/>
        <v>0</v>
      </c>
      <c r="AP160" s="184">
        <f t="shared" si="50"/>
        <v>0</v>
      </c>
      <c r="AQ160" s="263">
        <f t="shared" si="51"/>
        <v>0</v>
      </c>
      <c r="AR160" s="184"/>
      <c r="AS160" s="263"/>
      <c r="AT160" s="36"/>
      <c r="AU160" s="36"/>
      <c r="AV160" s="36"/>
      <c r="AW160" s="36"/>
      <c r="AX160" s="36"/>
      <c r="AY160" s="36"/>
      <c r="AZ160" s="36"/>
    </row>
    <row r="161" spans="1:52" x14ac:dyDescent="0.2">
      <c r="B161" s="6"/>
      <c r="C161" s="331" t="s">
        <v>463</v>
      </c>
      <c r="D161" s="331"/>
      <c r="E161" s="334"/>
      <c r="F161" s="285"/>
      <c r="G161" s="811"/>
      <c r="H161" s="211"/>
      <c r="I161" s="802"/>
      <c r="J161" s="803"/>
      <c r="K161" s="211"/>
      <c r="L161" s="803"/>
      <c r="M161" s="211"/>
      <c r="N161" s="212"/>
      <c r="O161" s="211"/>
      <c r="P161" s="211"/>
      <c r="Q161" s="802"/>
      <c r="R161" s="803"/>
      <c r="S161" s="211"/>
      <c r="T161" s="212"/>
      <c r="U161" s="184">
        <f t="shared" si="22"/>
        <v>0</v>
      </c>
      <c r="V161" s="184">
        <f t="shared" si="23"/>
        <v>0</v>
      </c>
      <c r="W161" s="262">
        <f t="shared" si="24"/>
        <v>0</v>
      </c>
      <c r="X161" s="263">
        <f t="shared" si="25"/>
        <v>0</v>
      </c>
      <c r="Y161" s="293"/>
      <c r="Z161" s="293"/>
      <c r="AA161" s="261">
        <f>'A. Revenue by Function'!L154</f>
        <v>0</v>
      </c>
      <c r="AB161" s="134"/>
      <c r="AC161" s="257"/>
      <c r="AD161" s="45"/>
      <c r="AE161" s="45"/>
      <c r="AF161" s="257"/>
      <c r="AG161" s="45"/>
      <c r="AH161" s="256"/>
      <c r="AI161" s="45"/>
      <c r="AJ161" s="257"/>
      <c r="AK161" s="134"/>
      <c r="AL161" s="211"/>
      <c r="AM161" s="211"/>
      <c r="AN161" s="262">
        <f t="shared" si="48"/>
        <v>0</v>
      </c>
      <c r="AO161" s="263">
        <f t="shared" si="49"/>
        <v>0</v>
      </c>
      <c r="AP161" s="184">
        <f t="shared" si="50"/>
        <v>0</v>
      </c>
      <c r="AQ161" s="263">
        <f t="shared" si="51"/>
        <v>0</v>
      </c>
      <c r="AR161" s="184"/>
      <c r="AS161" s="263"/>
      <c r="AT161" s="36"/>
      <c r="AU161" s="36"/>
      <c r="AV161" s="36"/>
      <c r="AW161" s="36"/>
      <c r="AX161" s="36"/>
      <c r="AY161" s="36"/>
      <c r="AZ161" s="36"/>
    </row>
    <row r="162" spans="1:52" x14ac:dyDescent="0.2">
      <c r="B162" s="6"/>
      <c r="C162" s="331" t="s">
        <v>464</v>
      </c>
      <c r="D162" s="331"/>
      <c r="E162" s="334"/>
      <c r="F162" s="285"/>
      <c r="G162" s="811"/>
      <c r="H162" s="211"/>
      <c r="I162" s="802"/>
      <c r="J162" s="803"/>
      <c r="K162" s="211"/>
      <c r="L162" s="803"/>
      <c r="M162" s="211"/>
      <c r="N162" s="212"/>
      <c r="O162" s="211"/>
      <c r="P162" s="211"/>
      <c r="Q162" s="802"/>
      <c r="R162" s="803"/>
      <c r="S162" s="211"/>
      <c r="T162" s="212"/>
      <c r="U162" s="184">
        <f t="shared" si="22"/>
        <v>0</v>
      </c>
      <c r="V162" s="184">
        <f t="shared" si="23"/>
        <v>0</v>
      </c>
      <c r="W162" s="262">
        <f t="shared" si="24"/>
        <v>0</v>
      </c>
      <c r="X162" s="263">
        <f t="shared" si="25"/>
        <v>0</v>
      </c>
      <c r="Y162" s="293"/>
      <c r="Z162" s="293"/>
      <c r="AA162" s="261">
        <f>'A. Revenue by Function'!L155</f>
        <v>0</v>
      </c>
      <c r="AB162" s="134"/>
      <c r="AC162" s="257"/>
      <c r="AD162" s="45"/>
      <c r="AE162" s="45"/>
      <c r="AF162" s="257"/>
      <c r="AG162" s="45"/>
      <c r="AH162" s="256"/>
      <c r="AI162" s="45"/>
      <c r="AJ162" s="257"/>
      <c r="AK162" s="134"/>
      <c r="AL162" s="211"/>
      <c r="AM162" s="211"/>
      <c r="AN162" s="262">
        <f t="shared" si="48"/>
        <v>0</v>
      </c>
      <c r="AO162" s="263">
        <f t="shared" si="49"/>
        <v>0</v>
      </c>
      <c r="AP162" s="184">
        <f t="shared" si="50"/>
        <v>0</v>
      </c>
      <c r="AQ162" s="263">
        <f t="shared" si="51"/>
        <v>0</v>
      </c>
      <c r="AR162" s="184"/>
      <c r="AS162" s="263"/>
      <c r="AT162" s="36"/>
      <c r="AU162" s="36"/>
      <c r="AV162" s="36"/>
      <c r="AW162" s="36"/>
      <c r="AX162" s="36"/>
      <c r="AY162" s="36"/>
      <c r="AZ162" s="36"/>
    </row>
    <row r="163" spans="1:52" ht="4.5" customHeight="1" x14ac:dyDescent="0.2">
      <c r="A163" s="12"/>
      <c r="B163" s="114"/>
      <c r="C163" s="12"/>
      <c r="D163" s="12"/>
      <c r="E163" s="299"/>
      <c r="F163" s="403"/>
      <c r="G163" s="812"/>
      <c r="H163" s="293"/>
      <c r="I163" s="812"/>
      <c r="J163" s="813"/>
      <c r="K163" s="293"/>
      <c r="L163" s="813"/>
      <c r="M163" s="293"/>
      <c r="N163" s="404"/>
      <c r="O163" s="293"/>
      <c r="P163" s="293"/>
      <c r="Q163" s="812"/>
      <c r="R163" s="813"/>
      <c r="S163" s="293"/>
      <c r="T163" s="404"/>
      <c r="U163" s="184"/>
      <c r="V163" s="184"/>
      <c r="W163" s="262"/>
      <c r="X163" s="263"/>
      <c r="Y163" s="293"/>
      <c r="Z163" s="293"/>
      <c r="AA163" s="261"/>
      <c r="AB163" s="134"/>
      <c r="AC163" s="257"/>
      <c r="AD163" s="45"/>
      <c r="AE163" s="45"/>
      <c r="AF163" s="257"/>
      <c r="AG163" s="45"/>
      <c r="AH163" s="256"/>
      <c r="AI163" s="45"/>
      <c r="AJ163" s="257"/>
      <c r="AK163" s="134"/>
      <c r="AL163" s="211"/>
      <c r="AM163" s="211"/>
      <c r="AN163" s="262"/>
      <c r="AO163" s="263"/>
      <c r="AP163" s="184"/>
      <c r="AQ163" s="263"/>
      <c r="AR163" s="184"/>
      <c r="AS163" s="263"/>
      <c r="AT163" s="36"/>
      <c r="AU163" s="36"/>
      <c r="AV163" s="36"/>
      <c r="AW163" s="36"/>
      <c r="AX163" s="36"/>
      <c r="AY163" s="36"/>
      <c r="AZ163" s="36"/>
    </row>
    <row r="164" spans="1:52" ht="4.5" customHeight="1" x14ac:dyDescent="0.2">
      <c r="E164" s="299"/>
      <c r="F164" s="403"/>
      <c r="G164" s="812"/>
      <c r="H164" s="293"/>
      <c r="I164" s="812"/>
      <c r="J164" s="813"/>
      <c r="K164" s="293"/>
      <c r="L164" s="813"/>
      <c r="M164" s="293"/>
      <c r="N164" s="404"/>
      <c r="O164" s="293"/>
      <c r="P164" s="293"/>
      <c r="Q164" s="812"/>
      <c r="R164" s="813"/>
      <c r="S164" s="293"/>
      <c r="T164" s="404"/>
      <c r="U164" s="184"/>
      <c r="V164" s="184"/>
      <c r="W164" s="262"/>
      <c r="X164" s="263"/>
      <c r="Y164" s="292"/>
      <c r="Z164" s="293"/>
      <c r="AA164" s="261"/>
      <c r="AB164" s="134"/>
      <c r="AC164" s="257"/>
      <c r="AD164" s="45"/>
      <c r="AE164" s="45"/>
      <c r="AF164" s="257"/>
      <c r="AG164" s="45"/>
      <c r="AH164" s="256"/>
      <c r="AI164" s="45"/>
      <c r="AJ164" s="257"/>
      <c r="AK164" s="134"/>
      <c r="AL164" s="211"/>
      <c r="AM164" s="211"/>
      <c r="AN164" s="262"/>
      <c r="AO164" s="263"/>
      <c r="AP164" s="184"/>
      <c r="AQ164" s="263"/>
      <c r="AR164" s="184"/>
      <c r="AS164" s="263"/>
      <c r="AT164" s="36"/>
      <c r="AU164" s="36"/>
      <c r="AV164" s="36"/>
      <c r="AW164" s="36"/>
      <c r="AX164" s="36"/>
      <c r="AY164" s="36"/>
      <c r="AZ164" s="36"/>
    </row>
    <row r="165" spans="1:52" ht="12.75" customHeight="1" x14ac:dyDescent="0.2">
      <c r="B165" s="4" t="s">
        <v>497</v>
      </c>
      <c r="E165" s="299"/>
      <c r="F165" s="403"/>
      <c r="G165" s="812"/>
      <c r="H165" s="293"/>
      <c r="I165" s="812"/>
      <c r="J165" s="813"/>
      <c r="K165" s="293"/>
      <c r="L165" s="813"/>
      <c r="M165" s="293"/>
      <c r="N165" s="404"/>
      <c r="O165" s="293"/>
      <c r="P165" s="293"/>
      <c r="Q165" s="812"/>
      <c r="R165" s="813"/>
      <c r="S165" s="293"/>
      <c r="T165" s="404"/>
      <c r="U165" s="184"/>
      <c r="V165" s="184"/>
      <c r="W165" s="262"/>
      <c r="X165" s="263"/>
      <c r="Y165" s="292"/>
      <c r="Z165" s="293"/>
      <c r="AA165" s="261"/>
      <c r="AB165" s="134"/>
      <c r="AC165" s="257"/>
      <c r="AD165" s="45"/>
      <c r="AE165" s="45"/>
      <c r="AF165" s="257"/>
      <c r="AG165" s="45"/>
      <c r="AH165" s="256"/>
      <c r="AI165" s="45"/>
      <c r="AJ165" s="257"/>
      <c r="AK165" s="134"/>
      <c r="AL165" s="211"/>
      <c r="AM165" s="211"/>
      <c r="AN165" s="262"/>
      <c r="AO165" s="263"/>
      <c r="AP165" s="184"/>
      <c r="AQ165" s="263"/>
      <c r="AR165" s="184"/>
      <c r="AS165" s="263"/>
      <c r="AT165" s="36"/>
      <c r="AU165" s="36"/>
      <c r="AV165" s="36"/>
      <c r="AW165" s="36"/>
      <c r="AX165" s="36"/>
      <c r="AY165" s="36"/>
      <c r="AZ165" s="36"/>
    </row>
    <row r="166" spans="1:52" ht="15" customHeight="1" x14ac:dyDescent="0.2">
      <c r="B166" s="900" t="s">
        <v>18</v>
      </c>
      <c r="C166" t="s">
        <v>362</v>
      </c>
      <c r="E166" s="299"/>
      <c r="F166" s="403"/>
      <c r="G166" s="812"/>
      <c r="H166" s="293"/>
      <c r="I166" s="812"/>
      <c r="J166" s="813"/>
      <c r="K166" s="293"/>
      <c r="L166" s="813"/>
      <c r="M166" s="293"/>
      <c r="N166" s="404"/>
      <c r="O166" s="293"/>
      <c r="P166" s="293"/>
      <c r="Q166" s="812"/>
      <c r="R166" s="813"/>
      <c r="S166" s="293"/>
      <c r="T166" s="404"/>
      <c r="U166" s="184">
        <f t="shared" si="22"/>
        <v>0</v>
      </c>
      <c r="V166" s="184">
        <f t="shared" si="23"/>
        <v>0</v>
      </c>
      <c r="W166" s="262">
        <f t="shared" si="24"/>
        <v>0</v>
      </c>
      <c r="X166" s="263">
        <f t="shared" si="25"/>
        <v>0</v>
      </c>
      <c r="Y166" s="292"/>
      <c r="Z166" s="293"/>
      <c r="AA166" s="261"/>
      <c r="AB166" s="134">
        <f>'A. Revenue by Function'!N157</f>
        <v>0</v>
      </c>
      <c r="AC166" s="257"/>
      <c r="AD166" s="45"/>
      <c r="AE166" s="45"/>
      <c r="AF166" s="257"/>
      <c r="AG166" s="45"/>
      <c r="AH166" s="256"/>
      <c r="AI166" s="45"/>
      <c r="AJ166" s="257"/>
      <c r="AK166" s="134"/>
      <c r="AL166" s="211"/>
      <c r="AM166" s="211"/>
      <c r="AN166" s="262">
        <f>W166+Y166+AA166+AD166+AI166+AL166</f>
        <v>0</v>
      </c>
      <c r="AO166" s="263">
        <f>X166+Z166+AB166+AG166+AK166+AM166</f>
        <v>0</v>
      </c>
      <c r="AP166" s="184">
        <f t="shared" si="50"/>
        <v>0</v>
      </c>
      <c r="AQ166" s="263">
        <f>IF(AN166-AO166&gt;0, " ", AO166-AN166)</f>
        <v>0</v>
      </c>
      <c r="AR166" s="184"/>
      <c r="AS166" s="263"/>
      <c r="AT166" s="36"/>
      <c r="AU166" s="36"/>
      <c r="AV166" s="36"/>
      <c r="AW166" s="36"/>
      <c r="AX166" s="36"/>
      <c r="AY166" s="36"/>
      <c r="AZ166" s="36"/>
    </row>
    <row r="167" spans="1:52" ht="15" customHeight="1" x14ac:dyDescent="0.2">
      <c r="B167" s="900"/>
      <c r="C167" s="11" t="s">
        <v>363</v>
      </c>
      <c r="D167" s="11"/>
      <c r="E167" s="407"/>
      <c r="F167" s="307"/>
      <c r="G167" s="814"/>
      <c r="H167" s="295"/>
      <c r="I167" s="814"/>
      <c r="J167" s="815"/>
      <c r="K167" s="295"/>
      <c r="L167" s="815"/>
      <c r="M167" s="295"/>
      <c r="N167" s="408"/>
      <c r="O167" s="295"/>
      <c r="P167" s="295"/>
      <c r="Q167" s="814"/>
      <c r="R167" s="815"/>
      <c r="S167" s="295"/>
      <c r="T167" s="408"/>
      <c r="U167" s="184">
        <f t="shared" si="22"/>
        <v>0</v>
      </c>
      <c r="V167" s="184">
        <f t="shared" si="23"/>
        <v>0</v>
      </c>
      <c r="W167" s="262">
        <f t="shared" si="24"/>
        <v>0</v>
      </c>
      <c r="X167" s="263">
        <f t="shared" si="25"/>
        <v>0</v>
      </c>
      <c r="Y167" s="294"/>
      <c r="Z167" s="295"/>
      <c r="AA167" s="265"/>
      <c r="AB167" s="135">
        <f>'A. Revenue by Function'!N158</f>
        <v>22657</v>
      </c>
      <c r="AC167" s="266"/>
      <c r="AD167" s="44"/>
      <c r="AE167" s="44"/>
      <c r="AF167" s="266"/>
      <c r="AG167" s="44"/>
      <c r="AH167" s="267"/>
      <c r="AI167" s="44"/>
      <c r="AJ167" s="266" t="str">
        <f>'I. Eliminations-Consolidations'!A250</f>
        <v>I.7</v>
      </c>
      <c r="AK167" s="135">
        <f>'I. Eliminations-Consolidations'!L269</f>
        <v>0</v>
      </c>
      <c r="AL167" s="213"/>
      <c r="AM167" s="213"/>
      <c r="AN167" s="262">
        <f>W167+Y167+AA167+AD167+AI167+AL167</f>
        <v>0</v>
      </c>
      <c r="AO167" s="263">
        <f>X167+Z167+AB167+AG167+AK167+AM167</f>
        <v>22657</v>
      </c>
      <c r="AP167" s="184" t="str">
        <f>IF(AN167-AO167&lt;0, " ",AN167-AO167)</f>
        <v xml:space="preserve"> </v>
      </c>
      <c r="AQ167" s="263">
        <f>IF(AN167-AO167&gt;0, " ", AO167-AN167)</f>
        <v>22657</v>
      </c>
      <c r="AR167" s="184"/>
      <c r="AS167" s="263"/>
      <c r="AT167" s="36"/>
      <c r="AU167" s="36"/>
      <c r="AV167" s="36"/>
      <c r="AW167" s="36"/>
      <c r="AX167" s="36"/>
      <c r="AY167" s="36"/>
      <c r="AZ167" s="36"/>
    </row>
    <row r="168" spans="1:52" ht="15" customHeight="1" x14ac:dyDescent="0.2">
      <c r="B168" s="900"/>
      <c r="C168" t="s">
        <v>364</v>
      </c>
      <c r="E168" s="299"/>
      <c r="F168" s="403"/>
      <c r="G168" s="812"/>
      <c r="H168" s="293"/>
      <c r="I168" s="812"/>
      <c r="J168" s="813"/>
      <c r="K168" s="293"/>
      <c r="L168" s="813"/>
      <c r="M168" s="293"/>
      <c r="N168" s="404"/>
      <c r="O168" s="293"/>
      <c r="P168" s="293"/>
      <c r="Q168" s="812"/>
      <c r="R168" s="813"/>
      <c r="S168" s="293"/>
      <c r="T168" s="404"/>
      <c r="U168" s="184">
        <f t="shared" si="22"/>
        <v>0</v>
      </c>
      <c r="V168" s="184">
        <f t="shared" si="23"/>
        <v>0</v>
      </c>
      <c r="W168" s="262">
        <f t="shared" si="24"/>
        <v>0</v>
      </c>
      <c r="X168" s="263">
        <f t="shared" si="25"/>
        <v>0</v>
      </c>
      <c r="Y168" s="292"/>
      <c r="Z168" s="293"/>
      <c r="AA168" s="261"/>
      <c r="AB168" s="134">
        <f>'A. Revenue by Function'!N159</f>
        <v>0</v>
      </c>
      <c r="AC168" s="257"/>
      <c r="AD168" s="45"/>
      <c r="AE168" s="45"/>
      <c r="AF168" s="257"/>
      <c r="AG168" s="45"/>
      <c r="AH168" s="256"/>
      <c r="AI168" s="45"/>
      <c r="AJ168" s="266" t="str">
        <f>'I. Eliminations-Consolidations'!A250</f>
        <v>I.7</v>
      </c>
      <c r="AK168" s="134">
        <f>'I. Eliminations-Consolidations'!L286</f>
        <v>0</v>
      </c>
      <c r="AL168" s="211"/>
      <c r="AM168" s="211"/>
      <c r="AN168" s="262">
        <f>W168+Y168+AA168+AD168+AI168+AL168</f>
        <v>0</v>
      </c>
      <c r="AO168" s="263">
        <f>X168+Z168+AB168+AG168+AK168+AM168</f>
        <v>0</v>
      </c>
      <c r="AP168" s="184">
        <f>IF(AN168-AO168&lt;0, " ",AN168-AO168)</f>
        <v>0</v>
      </c>
      <c r="AQ168" s="263">
        <f>IF(AN168-AO168&gt;0, " ", AO168-AN168)</f>
        <v>0</v>
      </c>
      <c r="AR168" s="184"/>
      <c r="AS168" s="263"/>
      <c r="AT168" s="36"/>
      <c r="AU168" s="36"/>
      <c r="AV168" s="36"/>
      <c r="AW168" s="36"/>
      <c r="AX168" s="36"/>
      <c r="AY168" s="36"/>
      <c r="AZ168" s="36"/>
    </row>
    <row r="169" spans="1:52" ht="4.5" customHeight="1" x14ac:dyDescent="0.2">
      <c r="E169" s="299"/>
      <c r="F169" s="403"/>
      <c r="G169" s="812"/>
      <c r="H169" s="293"/>
      <c r="I169" s="812"/>
      <c r="J169" s="813"/>
      <c r="K169" s="293"/>
      <c r="L169" s="813"/>
      <c r="M169" s="293"/>
      <c r="N169" s="404"/>
      <c r="O169" s="293"/>
      <c r="P169" s="293"/>
      <c r="Q169" s="812"/>
      <c r="R169" s="813"/>
      <c r="S169" s="293"/>
      <c r="T169" s="404"/>
      <c r="U169" s="184"/>
      <c r="V169" s="184"/>
      <c r="W169" s="262"/>
      <c r="X169" s="263"/>
      <c r="Y169" s="292"/>
      <c r="Z169" s="293"/>
      <c r="AA169" s="261"/>
      <c r="AB169" s="134"/>
      <c r="AC169" s="257"/>
      <c r="AD169" s="45"/>
      <c r="AE169" s="45"/>
      <c r="AF169" s="257"/>
      <c r="AG169" s="45"/>
      <c r="AH169" s="256"/>
      <c r="AI169" s="45"/>
      <c r="AJ169" s="257"/>
      <c r="AK169" s="134"/>
      <c r="AL169" s="211"/>
      <c r="AM169" s="211"/>
      <c r="AN169" s="262"/>
      <c r="AO169" s="263"/>
      <c r="AP169" s="184"/>
      <c r="AQ169" s="263"/>
      <c r="AR169" s="184"/>
      <c r="AS169" s="263"/>
      <c r="AT169" s="36"/>
      <c r="AU169" s="36"/>
      <c r="AV169" s="36"/>
      <c r="AW169" s="36"/>
      <c r="AX169" s="36"/>
      <c r="AY169" s="36"/>
      <c r="AZ169" s="36"/>
    </row>
    <row r="170" spans="1:52" ht="12.75" customHeight="1" x14ac:dyDescent="0.2">
      <c r="B170" s="4" t="s">
        <v>498</v>
      </c>
      <c r="E170" s="299"/>
      <c r="F170" s="403"/>
      <c r="G170" s="812"/>
      <c r="H170" s="293"/>
      <c r="I170" s="812"/>
      <c r="J170" s="813"/>
      <c r="K170" s="293"/>
      <c r="L170" s="813"/>
      <c r="M170" s="293"/>
      <c r="N170" s="404"/>
      <c r="O170" s="293"/>
      <c r="P170" s="293"/>
      <c r="Q170" s="812"/>
      <c r="R170" s="813"/>
      <c r="S170" s="293"/>
      <c r="T170" s="404"/>
      <c r="U170" s="184"/>
      <c r="V170" s="184"/>
      <c r="W170" s="262"/>
      <c r="X170" s="263"/>
      <c r="Y170" s="292"/>
      <c r="Z170" s="293"/>
      <c r="AA170" s="261"/>
      <c r="AB170" s="134"/>
      <c r="AC170" s="257"/>
      <c r="AD170" s="45"/>
      <c r="AE170" s="45"/>
      <c r="AF170" s="257"/>
      <c r="AG170" s="45"/>
      <c r="AH170" s="256"/>
      <c r="AI170" s="45"/>
      <c r="AJ170" s="257"/>
      <c r="AK170" s="134"/>
      <c r="AL170" s="211"/>
      <c r="AM170" s="211"/>
      <c r="AN170" s="262"/>
      <c r="AO170" s="263"/>
      <c r="AP170" s="184"/>
      <c r="AQ170" s="263"/>
      <c r="AR170" s="184"/>
      <c r="AS170" s="263"/>
      <c r="AT170" s="36"/>
      <c r="AU170" s="36"/>
      <c r="AV170" s="36"/>
      <c r="AW170" s="36"/>
      <c r="AX170" s="36"/>
      <c r="AY170" s="36"/>
      <c r="AZ170" s="36"/>
    </row>
    <row r="171" spans="1:52" ht="15" customHeight="1" x14ac:dyDescent="0.2">
      <c r="B171" s="900" t="s">
        <v>18</v>
      </c>
      <c r="C171" t="s">
        <v>362</v>
      </c>
      <c r="E171" s="299"/>
      <c r="F171" s="403"/>
      <c r="G171" s="812"/>
      <c r="H171" s="293"/>
      <c r="I171" s="812"/>
      <c r="J171" s="813"/>
      <c r="K171" s="293"/>
      <c r="L171" s="813"/>
      <c r="M171" s="293"/>
      <c r="N171" s="404"/>
      <c r="O171" s="293"/>
      <c r="P171" s="293"/>
      <c r="Q171" s="812"/>
      <c r="R171" s="813"/>
      <c r="S171" s="293"/>
      <c r="T171" s="404"/>
      <c r="U171" s="184">
        <f t="shared" si="22"/>
        <v>0</v>
      </c>
      <c r="V171" s="184">
        <f t="shared" si="23"/>
        <v>0</v>
      </c>
      <c r="W171" s="262">
        <f t="shared" si="24"/>
        <v>0</v>
      </c>
      <c r="X171" s="263">
        <f t="shared" si="25"/>
        <v>0</v>
      </c>
      <c r="Y171" s="292"/>
      <c r="Z171" s="293"/>
      <c r="AA171" s="261"/>
      <c r="AB171" s="134">
        <f>'A. Revenue by Function'!N161</f>
        <v>0</v>
      </c>
      <c r="AC171" s="257"/>
      <c r="AD171" s="45"/>
      <c r="AE171" s="45"/>
      <c r="AF171" s="257"/>
      <c r="AG171" s="45"/>
      <c r="AH171" s="256"/>
      <c r="AI171" s="45"/>
      <c r="AJ171" s="257"/>
      <c r="AK171" s="134"/>
      <c r="AL171" s="211"/>
      <c r="AM171" s="211"/>
      <c r="AN171" s="262">
        <f>W171+Y171+AA171+AD171+AI171+AL171</f>
        <v>0</v>
      </c>
      <c r="AO171" s="263">
        <f>X171+Z171+AB171+AG171+AK171+AM171</f>
        <v>0</v>
      </c>
      <c r="AP171" s="184">
        <f>IF(AN171-AO171&lt;0, " ",AN171-AO171)</f>
        <v>0</v>
      </c>
      <c r="AQ171" s="263">
        <f>IF(AN171-AO171&gt;0, " ", AO171-AN171)</f>
        <v>0</v>
      </c>
      <c r="AR171" s="184"/>
      <c r="AS171" s="263"/>
      <c r="AT171" s="36"/>
      <c r="AU171" s="36"/>
      <c r="AV171" s="36"/>
      <c r="AW171" s="36"/>
      <c r="AX171" s="36"/>
      <c r="AY171" s="36"/>
      <c r="AZ171" s="36"/>
    </row>
    <row r="172" spans="1:52" ht="15" customHeight="1" x14ac:dyDescent="0.2">
      <c r="B172" s="900"/>
      <c r="C172" s="11" t="s">
        <v>363</v>
      </c>
      <c r="D172" s="11"/>
      <c r="E172" s="407"/>
      <c r="F172" s="307"/>
      <c r="G172" s="814"/>
      <c r="H172" s="295"/>
      <c r="I172" s="814"/>
      <c r="J172" s="815"/>
      <c r="K172" s="295"/>
      <c r="L172" s="815"/>
      <c r="M172" s="295"/>
      <c r="N172" s="408"/>
      <c r="O172" s="295"/>
      <c r="P172" s="295"/>
      <c r="Q172" s="814"/>
      <c r="R172" s="815"/>
      <c r="S172" s="295"/>
      <c r="T172" s="408"/>
      <c r="U172" s="184">
        <f t="shared" si="22"/>
        <v>0</v>
      </c>
      <c r="V172" s="184">
        <f t="shared" si="23"/>
        <v>0</v>
      </c>
      <c r="W172" s="262">
        <f t="shared" si="24"/>
        <v>0</v>
      </c>
      <c r="X172" s="263">
        <f t="shared" si="25"/>
        <v>0</v>
      </c>
      <c r="Y172" s="294"/>
      <c r="Z172" s="295"/>
      <c r="AA172" s="265"/>
      <c r="AB172" s="135">
        <f>'A. Revenue by Function'!N162</f>
        <v>0</v>
      </c>
      <c r="AC172" s="266"/>
      <c r="AD172" s="44"/>
      <c r="AE172" s="44"/>
      <c r="AF172" s="266"/>
      <c r="AG172" s="44"/>
      <c r="AH172" s="267"/>
      <c r="AI172" s="44"/>
      <c r="AJ172" s="266" t="str">
        <f>'I. Eliminations-Consolidations'!A250</f>
        <v>I.7</v>
      </c>
      <c r="AK172" s="135">
        <f>'I. Eliminations-Consolidations'!L270</f>
        <v>0</v>
      </c>
      <c r="AL172" s="213"/>
      <c r="AM172" s="213"/>
      <c r="AN172" s="262">
        <f>W172+Y172+AA172+AD172+AI172+AL172</f>
        <v>0</v>
      </c>
      <c r="AO172" s="263">
        <f>X172+Z172+AB172+AG172+AK172+AM172</f>
        <v>0</v>
      </c>
      <c r="AP172" s="184" t="str">
        <f>IF(AN172-AO172&lt;=0, " ",AN172-AO172)</f>
        <v xml:space="preserve"> </v>
      </c>
      <c r="AQ172" s="263" t="str">
        <f>IF(AN172-AO172&gt;=0, " ", AO172-AN172)</f>
        <v xml:space="preserve"> </v>
      </c>
      <c r="AR172" s="184"/>
      <c r="AS172" s="263"/>
      <c r="AT172" s="36"/>
      <c r="AU172" s="36"/>
      <c r="AV172" s="36"/>
      <c r="AW172" s="36"/>
      <c r="AX172" s="36"/>
      <c r="AY172" s="36"/>
      <c r="AZ172" s="36"/>
    </row>
    <row r="173" spans="1:52" ht="15" customHeight="1" x14ac:dyDescent="0.2">
      <c r="B173" s="900"/>
      <c r="C173" s="11" t="s">
        <v>364</v>
      </c>
      <c r="D173" s="11"/>
      <c r="E173" s="407"/>
      <c r="F173" s="307"/>
      <c r="G173" s="814"/>
      <c r="H173" s="295"/>
      <c r="I173" s="814"/>
      <c r="J173" s="815"/>
      <c r="K173" s="295"/>
      <c r="L173" s="815"/>
      <c r="M173" s="295"/>
      <c r="N173" s="408"/>
      <c r="O173" s="295"/>
      <c r="P173" s="295"/>
      <c r="Q173" s="814"/>
      <c r="R173" s="815"/>
      <c r="S173" s="295"/>
      <c r="T173" s="408"/>
      <c r="U173" s="184">
        <f t="shared" si="22"/>
        <v>0</v>
      </c>
      <c r="V173" s="184">
        <f t="shared" si="23"/>
        <v>0</v>
      </c>
      <c r="W173" s="262">
        <f t="shared" si="24"/>
        <v>0</v>
      </c>
      <c r="X173" s="263">
        <f t="shared" si="25"/>
        <v>0</v>
      </c>
      <c r="Y173" s="294"/>
      <c r="Z173" s="295"/>
      <c r="AA173" s="265"/>
      <c r="AB173" s="135">
        <f>'A. Revenue by Function'!N163</f>
        <v>0</v>
      </c>
      <c r="AC173" s="266"/>
      <c r="AD173" s="44"/>
      <c r="AE173" s="44"/>
      <c r="AF173" s="266"/>
      <c r="AG173" s="44"/>
      <c r="AH173" s="267"/>
      <c r="AI173" s="44"/>
      <c r="AJ173" s="266" t="str">
        <f>'I. Eliminations-Consolidations'!A250</f>
        <v>I.7</v>
      </c>
      <c r="AK173" s="135">
        <f>'I. Eliminations-Consolidations'!L287</f>
        <v>0</v>
      </c>
      <c r="AL173" s="213"/>
      <c r="AM173" s="213"/>
      <c r="AN173" s="262">
        <f>W173+Y173+AA173+AD173+AI173+AL173</f>
        <v>0</v>
      </c>
      <c r="AO173" s="263">
        <f>X173+Z173+AB173+AG173+AK173+AM173</f>
        <v>0</v>
      </c>
      <c r="AP173" s="184">
        <f>IF(AN173-AO173&lt;0, " ",AN173-AO173)</f>
        <v>0</v>
      </c>
      <c r="AQ173" s="263">
        <f>IF(AN173-AO173&gt;0, " ", AO173-AN173)</f>
        <v>0</v>
      </c>
      <c r="AR173" s="184"/>
      <c r="AS173" s="263"/>
      <c r="AT173" s="36"/>
      <c r="AU173" s="36"/>
      <c r="AV173" s="36"/>
      <c r="AW173" s="36"/>
      <c r="AX173" s="36"/>
      <c r="AY173" s="36"/>
      <c r="AZ173" s="36"/>
    </row>
    <row r="174" spans="1:52" ht="4.5" customHeight="1" x14ac:dyDescent="0.2">
      <c r="C174" s="11"/>
      <c r="D174" s="11"/>
      <c r="E174" s="407"/>
      <c r="F174" s="307"/>
      <c r="G174" s="814"/>
      <c r="H174" s="295"/>
      <c r="I174" s="814"/>
      <c r="J174" s="815"/>
      <c r="K174" s="295"/>
      <c r="L174" s="815"/>
      <c r="M174" s="295"/>
      <c r="N174" s="408"/>
      <c r="O174" s="295"/>
      <c r="P174" s="295"/>
      <c r="Q174" s="814"/>
      <c r="R174" s="815"/>
      <c r="S174" s="295"/>
      <c r="T174" s="408"/>
      <c r="U174" s="184"/>
      <c r="V174" s="184"/>
      <c r="W174" s="262"/>
      <c r="X174" s="263"/>
      <c r="Y174" s="294"/>
      <c r="Z174" s="295"/>
      <c r="AA174" s="265"/>
      <c r="AB174" s="135"/>
      <c r="AC174" s="266"/>
      <c r="AD174" s="44"/>
      <c r="AE174" s="44"/>
      <c r="AF174" s="266"/>
      <c r="AG174" s="44"/>
      <c r="AH174" s="267"/>
      <c r="AI174" s="44"/>
      <c r="AJ174" s="266"/>
      <c r="AK174" s="135"/>
      <c r="AL174" s="213"/>
      <c r="AM174" s="213"/>
      <c r="AN174" s="262"/>
      <c r="AO174" s="263"/>
      <c r="AP174" s="184"/>
      <c r="AQ174" s="263"/>
      <c r="AR174" s="184"/>
      <c r="AS174" s="263"/>
      <c r="AT174" s="36"/>
      <c r="AU174" s="36"/>
      <c r="AV174" s="36"/>
      <c r="AW174" s="36"/>
      <c r="AX174" s="36"/>
      <c r="AY174" s="36"/>
      <c r="AZ174" s="36"/>
    </row>
    <row r="175" spans="1:52" ht="12.75" customHeight="1" x14ac:dyDescent="0.2">
      <c r="B175" s="4" t="s">
        <v>230</v>
      </c>
      <c r="C175" s="11"/>
      <c r="D175" s="11"/>
      <c r="E175" s="407"/>
      <c r="F175" s="307"/>
      <c r="G175" s="814"/>
      <c r="H175" s="295"/>
      <c r="I175" s="814"/>
      <c r="J175" s="815"/>
      <c r="K175" s="295"/>
      <c r="L175" s="815"/>
      <c r="M175" s="295"/>
      <c r="N175" s="408"/>
      <c r="O175" s="295"/>
      <c r="P175" s="295"/>
      <c r="Q175" s="814"/>
      <c r="R175" s="815"/>
      <c r="S175" s="295"/>
      <c r="T175" s="408"/>
      <c r="U175" s="184"/>
      <c r="V175" s="184"/>
      <c r="W175" s="262"/>
      <c r="X175" s="263"/>
      <c r="Y175" s="294"/>
      <c r="Z175" s="295"/>
      <c r="AA175" s="265"/>
      <c r="AB175" s="135"/>
      <c r="AC175" s="266"/>
      <c r="AD175" s="44"/>
      <c r="AE175" s="44"/>
      <c r="AF175" s="266"/>
      <c r="AG175" s="44"/>
      <c r="AH175" s="267"/>
      <c r="AI175" s="44"/>
      <c r="AJ175" s="266"/>
      <c r="AK175" s="135"/>
      <c r="AL175" s="213"/>
      <c r="AM175" s="213"/>
      <c r="AN175" s="262"/>
      <c r="AO175" s="263"/>
      <c r="AP175" s="184"/>
      <c r="AQ175" s="263"/>
      <c r="AR175" s="184"/>
      <c r="AS175" s="263"/>
      <c r="AT175" s="36"/>
      <c r="AU175" s="36"/>
      <c r="AV175" s="36"/>
      <c r="AW175" s="36"/>
      <c r="AX175" s="36"/>
      <c r="AY175" s="36"/>
      <c r="AZ175" s="36"/>
    </row>
    <row r="176" spans="1:52" ht="15" customHeight="1" x14ac:dyDescent="0.2">
      <c r="B176" s="900" t="s">
        <v>18</v>
      </c>
      <c r="C176" s="11" t="s">
        <v>362</v>
      </c>
      <c r="D176" s="11"/>
      <c r="E176" s="407"/>
      <c r="F176" s="307"/>
      <c r="G176" s="814"/>
      <c r="H176" s="295"/>
      <c r="I176" s="814"/>
      <c r="J176" s="815"/>
      <c r="K176" s="295"/>
      <c r="L176" s="815"/>
      <c r="M176" s="295"/>
      <c r="N176" s="408"/>
      <c r="O176" s="295"/>
      <c r="P176" s="295"/>
      <c r="Q176" s="814"/>
      <c r="R176" s="815"/>
      <c r="S176" s="295"/>
      <c r="T176" s="408"/>
      <c r="U176" s="184">
        <f t="shared" ref="U176:U217" si="52">O176+Q176+S176</f>
        <v>0</v>
      </c>
      <c r="V176" s="184">
        <f t="shared" ref="V176:V217" si="53">P176+R176+T176</f>
        <v>0</v>
      </c>
      <c r="W176" s="262">
        <f t="shared" ref="W176:X218" si="54">E176+G176+I176+K176+M176+U176</f>
        <v>0</v>
      </c>
      <c r="X176" s="263">
        <f t="shared" si="54"/>
        <v>0</v>
      </c>
      <c r="Y176" s="294"/>
      <c r="Z176" s="295"/>
      <c r="AA176" s="265"/>
      <c r="AB176" s="135">
        <f>'A. Revenue by Function'!N165</f>
        <v>0</v>
      </c>
      <c r="AC176" s="266"/>
      <c r="AD176" s="44"/>
      <c r="AE176" s="44"/>
      <c r="AF176" s="266"/>
      <c r="AG176" s="44"/>
      <c r="AH176" s="267"/>
      <c r="AI176" s="44"/>
      <c r="AJ176" s="266"/>
      <c r="AK176" s="135"/>
      <c r="AL176" s="213"/>
      <c r="AM176" s="213"/>
      <c r="AN176" s="262">
        <f>W176+Y176+AA176+AD176+AI176+AL176</f>
        <v>0</v>
      </c>
      <c r="AO176" s="263">
        <f>X176+Z176+AB176+AG176+AK176+AM176</f>
        <v>0</v>
      </c>
      <c r="AP176" s="184">
        <f>IF(AN176-AO176&lt;0, " ",AN176-AO176)</f>
        <v>0</v>
      </c>
      <c r="AQ176" s="263">
        <f>IF(AN176-AO176&gt;0, " ", AO176-AN176)</f>
        <v>0</v>
      </c>
      <c r="AR176" s="184"/>
      <c r="AS176" s="263"/>
      <c r="AT176" s="36"/>
      <c r="AU176" s="36"/>
      <c r="AV176" s="36"/>
      <c r="AW176" s="36"/>
      <c r="AX176" s="36"/>
      <c r="AY176" s="36"/>
      <c r="AZ176" s="36"/>
    </row>
    <row r="177" spans="2:52" ht="15" customHeight="1" x14ac:dyDescent="0.2">
      <c r="B177" s="900"/>
      <c r="C177" s="11" t="s">
        <v>363</v>
      </c>
      <c r="D177" s="11"/>
      <c r="E177" s="407"/>
      <c r="F177" s="307"/>
      <c r="G177" s="814"/>
      <c r="H177" s="295"/>
      <c r="I177" s="814"/>
      <c r="J177" s="815"/>
      <c r="K177" s="295"/>
      <c r="L177" s="815"/>
      <c r="M177" s="295"/>
      <c r="N177" s="408"/>
      <c r="O177" s="295"/>
      <c r="P177" s="295"/>
      <c r="Q177" s="814"/>
      <c r="R177" s="815"/>
      <c r="S177" s="295"/>
      <c r="T177" s="408"/>
      <c r="U177" s="184">
        <f t="shared" si="52"/>
        <v>0</v>
      </c>
      <c r="V177" s="184">
        <f t="shared" si="53"/>
        <v>0</v>
      </c>
      <c r="W177" s="262">
        <f t="shared" si="54"/>
        <v>0</v>
      </c>
      <c r="X177" s="263">
        <f t="shared" si="54"/>
        <v>0</v>
      </c>
      <c r="Y177" s="294"/>
      <c r="Z177" s="295"/>
      <c r="AA177" s="265"/>
      <c r="AB177" s="135">
        <f>'A. Revenue by Function'!N166</f>
        <v>0</v>
      </c>
      <c r="AC177" s="266"/>
      <c r="AD177" s="44"/>
      <c r="AE177" s="44"/>
      <c r="AF177" s="266"/>
      <c r="AG177" s="44"/>
      <c r="AH177" s="267"/>
      <c r="AI177" s="44"/>
      <c r="AJ177" s="266" t="str">
        <f>'I. Eliminations-Consolidations'!A250</f>
        <v>I.7</v>
      </c>
      <c r="AK177" s="135">
        <f>'I. Eliminations-Consolidations'!L271</f>
        <v>0</v>
      </c>
      <c r="AL177" s="213"/>
      <c r="AM177" s="213"/>
      <c r="AN177" s="262">
        <f>W177+Y177+AA177+AD177+AI177+AL177</f>
        <v>0</v>
      </c>
      <c r="AO177" s="263">
        <f>X177+Z177+AB177+AG177+AK177+AM177</f>
        <v>0</v>
      </c>
      <c r="AP177" s="184" t="str">
        <f>IF(AN177-AO177&lt;=0, " ",AN177-AO177)</f>
        <v xml:space="preserve"> </v>
      </c>
      <c r="AQ177" s="263" t="str">
        <f>IF(AN177-AO177&gt;=0, " ", AO177-AN177)</f>
        <v xml:space="preserve"> </v>
      </c>
      <c r="AR177" s="184"/>
      <c r="AS177" s="263"/>
      <c r="AT177" s="36"/>
      <c r="AU177" s="36"/>
      <c r="AV177" s="36"/>
      <c r="AW177" s="36"/>
      <c r="AX177" s="36"/>
      <c r="AY177" s="36"/>
      <c r="AZ177" s="36"/>
    </row>
    <row r="178" spans="2:52" ht="15" customHeight="1" x14ac:dyDescent="0.2">
      <c r="B178" s="900"/>
      <c r="C178" t="s">
        <v>364</v>
      </c>
      <c r="E178" s="299"/>
      <c r="F178" s="403"/>
      <c r="G178" s="812"/>
      <c r="H178" s="293"/>
      <c r="I178" s="812"/>
      <c r="J178" s="813"/>
      <c r="K178" s="293"/>
      <c r="L178" s="813"/>
      <c r="M178" s="293"/>
      <c r="N178" s="404"/>
      <c r="O178" s="293"/>
      <c r="P178" s="293"/>
      <c r="Q178" s="812"/>
      <c r="R178" s="813"/>
      <c r="S178" s="293"/>
      <c r="T178" s="404"/>
      <c r="U178" s="184">
        <f t="shared" si="52"/>
        <v>0</v>
      </c>
      <c r="V178" s="184">
        <f t="shared" si="53"/>
        <v>0</v>
      </c>
      <c r="W178" s="262">
        <f t="shared" si="54"/>
        <v>0</v>
      </c>
      <c r="X178" s="263">
        <f t="shared" si="54"/>
        <v>0</v>
      </c>
      <c r="Y178" s="292"/>
      <c r="Z178" s="293"/>
      <c r="AA178" s="261"/>
      <c r="AB178" s="134">
        <f>'A. Revenue by Function'!N167</f>
        <v>0</v>
      </c>
      <c r="AC178" s="257"/>
      <c r="AD178" s="45"/>
      <c r="AE178" s="45"/>
      <c r="AF178" s="257"/>
      <c r="AG178" s="45"/>
      <c r="AH178" s="256"/>
      <c r="AI178" s="45"/>
      <c r="AJ178" s="266" t="str">
        <f>'I. Eliminations-Consolidations'!A250</f>
        <v>I.7</v>
      </c>
      <c r="AK178" s="134">
        <f>'I. Eliminations-Consolidations'!L288</f>
        <v>0</v>
      </c>
      <c r="AL178" s="211"/>
      <c r="AM178" s="211"/>
      <c r="AN178" s="262">
        <f>W178+Y178+AA178+AD178+AI178+AL178</f>
        <v>0</v>
      </c>
      <c r="AO178" s="263">
        <f>X178+Z178+AB178+AG178+AK178+AM178</f>
        <v>0</v>
      </c>
      <c r="AP178" s="184">
        <f>IF(AN178-AO178&lt;0, " ",AN178-AO178)</f>
        <v>0</v>
      </c>
      <c r="AQ178" s="263">
        <f>IF(AN178-AO178&gt;0, " ", AO178-AN178)</f>
        <v>0</v>
      </c>
      <c r="AR178" s="184"/>
      <c r="AS178" s="263"/>
      <c r="AT178" s="36"/>
      <c r="AU178" s="36"/>
      <c r="AV178" s="36"/>
      <c r="AW178" s="36"/>
      <c r="AX178" s="36"/>
      <c r="AY178" s="36"/>
      <c r="AZ178" s="36"/>
    </row>
    <row r="179" spans="2:52" ht="4.5" customHeight="1" x14ac:dyDescent="0.2">
      <c r="E179" s="299"/>
      <c r="F179" s="403"/>
      <c r="G179" s="812"/>
      <c r="H179" s="293"/>
      <c r="I179" s="812"/>
      <c r="J179" s="813"/>
      <c r="K179" s="293"/>
      <c r="L179" s="813"/>
      <c r="M179" s="293"/>
      <c r="N179" s="404"/>
      <c r="O179" s="293"/>
      <c r="P179" s="293"/>
      <c r="Q179" s="812"/>
      <c r="R179" s="813"/>
      <c r="S179" s="293"/>
      <c r="T179" s="404"/>
      <c r="U179" s="184"/>
      <c r="V179" s="184"/>
      <c r="W179" s="262"/>
      <c r="X179" s="263"/>
      <c r="Y179" s="292"/>
      <c r="Z179" s="293"/>
      <c r="AA179" s="261"/>
      <c r="AB179" s="134"/>
      <c r="AC179" s="257"/>
      <c r="AD179" s="45"/>
      <c r="AE179" s="45"/>
      <c r="AF179" s="257"/>
      <c r="AG179" s="45"/>
      <c r="AH179" s="256"/>
      <c r="AI179" s="45"/>
      <c r="AJ179" s="257"/>
      <c r="AK179" s="134"/>
      <c r="AL179" s="211"/>
      <c r="AM179" s="211"/>
      <c r="AN179" s="262"/>
      <c r="AO179" s="263"/>
      <c r="AP179" s="184"/>
      <c r="AQ179" s="263"/>
      <c r="AR179" s="184"/>
      <c r="AS179" s="263"/>
      <c r="AT179" s="36"/>
      <c r="AU179" s="36"/>
      <c r="AV179" s="36"/>
      <c r="AW179" s="36"/>
      <c r="AX179" s="36"/>
      <c r="AY179" s="36"/>
      <c r="AZ179" s="36"/>
    </row>
    <row r="180" spans="2:52" ht="12.75" customHeight="1" x14ac:dyDescent="0.2">
      <c r="B180" s="4" t="s">
        <v>231</v>
      </c>
      <c r="E180" s="299"/>
      <c r="F180" s="403"/>
      <c r="G180" s="812"/>
      <c r="H180" s="293"/>
      <c r="I180" s="812"/>
      <c r="J180" s="813"/>
      <c r="K180" s="293"/>
      <c r="L180" s="813"/>
      <c r="M180" s="293"/>
      <c r="N180" s="404"/>
      <c r="O180" s="293"/>
      <c r="P180" s="293"/>
      <c r="Q180" s="812"/>
      <c r="R180" s="813"/>
      <c r="S180" s="293"/>
      <c r="T180" s="404"/>
      <c r="U180" s="184"/>
      <c r="V180" s="184"/>
      <c r="W180" s="262"/>
      <c r="X180" s="263"/>
      <c r="Y180" s="292"/>
      <c r="Z180" s="293"/>
      <c r="AA180" s="261"/>
      <c r="AB180" s="134"/>
      <c r="AC180" s="257"/>
      <c r="AD180" s="45"/>
      <c r="AE180" s="45"/>
      <c r="AF180" s="257"/>
      <c r="AG180" s="45"/>
      <c r="AH180" s="256"/>
      <c r="AI180" s="45"/>
      <c r="AJ180" s="257"/>
      <c r="AK180" s="134"/>
      <c r="AL180" s="211"/>
      <c r="AM180" s="211"/>
      <c r="AN180" s="262"/>
      <c r="AO180" s="263"/>
      <c r="AP180" s="184"/>
      <c r="AQ180" s="263"/>
      <c r="AR180" s="184"/>
      <c r="AS180" s="263"/>
      <c r="AT180" s="36"/>
      <c r="AU180" s="36"/>
      <c r="AV180" s="36"/>
      <c r="AW180" s="36"/>
      <c r="AX180" s="36"/>
      <c r="AY180" s="36"/>
      <c r="AZ180" s="36"/>
    </row>
    <row r="181" spans="2:52" ht="15" customHeight="1" x14ac:dyDescent="0.2">
      <c r="B181" s="900" t="s">
        <v>18</v>
      </c>
      <c r="C181" t="s">
        <v>362</v>
      </c>
      <c r="E181" s="299"/>
      <c r="F181" s="403"/>
      <c r="G181" s="812"/>
      <c r="H181" s="293"/>
      <c r="I181" s="812"/>
      <c r="J181" s="813"/>
      <c r="K181" s="293"/>
      <c r="L181" s="813"/>
      <c r="M181" s="293"/>
      <c r="N181" s="404"/>
      <c r="O181" s="293"/>
      <c r="P181" s="293"/>
      <c r="Q181" s="812"/>
      <c r="R181" s="813"/>
      <c r="S181" s="293"/>
      <c r="T181" s="404"/>
      <c r="U181" s="184">
        <f t="shared" si="52"/>
        <v>0</v>
      </c>
      <c r="V181" s="184">
        <f t="shared" si="53"/>
        <v>0</v>
      </c>
      <c r="W181" s="262">
        <f t="shared" si="54"/>
        <v>0</v>
      </c>
      <c r="X181" s="263">
        <f t="shared" si="54"/>
        <v>0</v>
      </c>
      <c r="Y181" s="292"/>
      <c r="Z181" s="293"/>
      <c r="AA181" s="261"/>
      <c r="AB181" s="134">
        <f>'A. Revenue by Function'!N169</f>
        <v>0</v>
      </c>
      <c r="AC181" s="257"/>
      <c r="AD181" s="45"/>
      <c r="AE181" s="45"/>
      <c r="AF181" s="257"/>
      <c r="AG181" s="45"/>
      <c r="AH181" s="256"/>
      <c r="AI181" s="45"/>
      <c r="AJ181" s="257"/>
      <c r="AK181" s="134"/>
      <c r="AL181" s="211"/>
      <c r="AM181" s="211"/>
      <c r="AN181" s="262">
        <f>W181+Y181+AA181+AD181+AI181+AL181</f>
        <v>0</v>
      </c>
      <c r="AO181" s="263">
        <f>X181+Z181+AB181+AG181+AK181+AM181</f>
        <v>0</v>
      </c>
      <c r="AP181" s="184">
        <f>IF(AN181-AO181&lt;0, " ",AN181-AO181)</f>
        <v>0</v>
      </c>
      <c r="AQ181" s="263">
        <f>IF(AN181-AO181&gt;0, " ", AO181-AN181)</f>
        <v>0</v>
      </c>
      <c r="AR181" s="184"/>
      <c r="AS181" s="263"/>
      <c r="AT181" s="36"/>
      <c r="AU181" s="36"/>
      <c r="AV181" s="36"/>
      <c r="AW181" s="36"/>
      <c r="AX181" s="36"/>
      <c r="AY181" s="36"/>
      <c r="AZ181" s="36"/>
    </row>
    <row r="182" spans="2:52" ht="15" customHeight="1" x14ac:dyDescent="0.2">
      <c r="B182" s="900"/>
      <c r="C182" s="11" t="s">
        <v>363</v>
      </c>
      <c r="D182" s="11"/>
      <c r="E182" s="407"/>
      <c r="F182" s="307"/>
      <c r="G182" s="814"/>
      <c r="H182" s="295"/>
      <c r="I182" s="814"/>
      <c r="J182" s="815"/>
      <c r="K182" s="295"/>
      <c r="L182" s="815"/>
      <c r="M182" s="295"/>
      <c r="N182" s="408"/>
      <c r="O182" s="295"/>
      <c r="P182" s="295"/>
      <c r="Q182" s="814"/>
      <c r="R182" s="815"/>
      <c r="S182" s="295"/>
      <c r="T182" s="408"/>
      <c r="U182" s="184">
        <f t="shared" si="52"/>
        <v>0</v>
      </c>
      <c r="V182" s="184">
        <f t="shared" si="53"/>
        <v>0</v>
      </c>
      <c r="W182" s="262">
        <f t="shared" si="54"/>
        <v>0</v>
      </c>
      <c r="X182" s="263">
        <f t="shared" si="54"/>
        <v>0</v>
      </c>
      <c r="Y182" s="294"/>
      <c r="Z182" s="295"/>
      <c r="AA182" s="265"/>
      <c r="AB182" s="135">
        <f>'A. Revenue by Function'!N170</f>
        <v>0</v>
      </c>
      <c r="AC182" s="266"/>
      <c r="AD182" s="44"/>
      <c r="AE182" s="44"/>
      <c r="AF182" s="266"/>
      <c r="AG182" s="44"/>
      <c r="AH182" s="267"/>
      <c r="AI182" s="44"/>
      <c r="AJ182" s="266" t="str">
        <f>'I. Eliminations-Consolidations'!A250</f>
        <v>I.7</v>
      </c>
      <c r="AK182" s="135">
        <f>'I. Eliminations-Consolidations'!L272</f>
        <v>0</v>
      </c>
      <c r="AL182" s="213"/>
      <c r="AM182" s="213"/>
      <c r="AN182" s="262">
        <f>W182+Y182+AA182+AD182+AI182+AL182</f>
        <v>0</v>
      </c>
      <c r="AO182" s="263">
        <f>X182+Z182+AB182+AG182+AK182+AM182</f>
        <v>0</v>
      </c>
      <c r="AP182" s="184" t="str">
        <f>IF(AN182-AO182&lt;=0, " ",AN182-AO182)</f>
        <v xml:space="preserve"> </v>
      </c>
      <c r="AQ182" s="263" t="str">
        <f>IF(AN182-AO182&gt;=0, " ", AO182-AN182)</f>
        <v xml:space="preserve"> </v>
      </c>
      <c r="AR182" s="184"/>
      <c r="AS182" s="263"/>
      <c r="AT182" s="36"/>
      <c r="AU182" s="36"/>
      <c r="AV182" s="36"/>
      <c r="AW182" s="36"/>
      <c r="AX182" s="36"/>
      <c r="AY182" s="36"/>
      <c r="AZ182" s="36"/>
    </row>
    <row r="183" spans="2:52" ht="15" customHeight="1" x14ac:dyDescent="0.2">
      <c r="B183" s="900"/>
      <c r="C183" s="11" t="s">
        <v>364</v>
      </c>
      <c r="D183" s="11"/>
      <c r="E183" s="407"/>
      <c r="F183" s="307"/>
      <c r="G183" s="814"/>
      <c r="H183" s="295"/>
      <c r="I183" s="814"/>
      <c r="J183" s="815"/>
      <c r="K183" s="295"/>
      <c r="L183" s="815"/>
      <c r="M183" s="295"/>
      <c r="N183" s="408"/>
      <c r="O183" s="295"/>
      <c r="P183" s="295"/>
      <c r="Q183" s="814"/>
      <c r="R183" s="815"/>
      <c r="S183" s="295"/>
      <c r="T183" s="408"/>
      <c r="U183" s="184">
        <f t="shared" si="52"/>
        <v>0</v>
      </c>
      <c r="V183" s="184">
        <f t="shared" si="53"/>
        <v>0</v>
      </c>
      <c r="W183" s="262">
        <f t="shared" si="54"/>
        <v>0</v>
      </c>
      <c r="X183" s="263">
        <f t="shared" si="54"/>
        <v>0</v>
      </c>
      <c r="Y183" s="294"/>
      <c r="Z183" s="295"/>
      <c r="AA183" s="265"/>
      <c r="AB183" s="135">
        <f>'A. Revenue by Function'!N171</f>
        <v>0</v>
      </c>
      <c r="AC183" s="266"/>
      <c r="AD183" s="44"/>
      <c r="AE183" s="44"/>
      <c r="AF183" s="266"/>
      <c r="AG183" s="44"/>
      <c r="AH183" s="267"/>
      <c r="AI183" s="44"/>
      <c r="AJ183" s="266" t="str">
        <f>'I. Eliminations-Consolidations'!A250</f>
        <v>I.7</v>
      </c>
      <c r="AK183" s="135">
        <f>'I. Eliminations-Consolidations'!L289</f>
        <v>0</v>
      </c>
      <c r="AL183" s="213"/>
      <c r="AM183" s="213"/>
      <c r="AN183" s="262">
        <f>W183+Y183+AA183+AD183+AI183+AL183</f>
        <v>0</v>
      </c>
      <c r="AO183" s="263">
        <f>X183+Z183+AB183+AG183+AK183+AM183</f>
        <v>0</v>
      </c>
      <c r="AP183" s="184">
        <f>IF(AN183-AO183&lt;0, " ",AN183-AO183)</f>
        <v>0</v>
      </c>
      <c r="AQ183" s="263">
        <f>IF(AN183-AO183&gt;0, " ", AO183-AN183)</f>
        <v>0</v>
      </c>
      <c r="AR183" s="184"/>
      <c r="AS183" s="263"/>
      <c r="AT183" s="36"/>
      <c r="AU183" s="36"/>
      <c r="AV183" s="36"/>
      <c r="AW183" s="36"/>
      <c r="AX183" s="36"/>
      <c r="AY183" s="36"/>
      <c r="AZ183" s="36"/>
    </row>
    <row r="184" spans="2:52" ht="3.75" customHeight="1" x14ac:dyDescent="0.2">
      <c r="C184" s="11"/>
      <c r="D184" s="11"/>
      <c r="E184" s="407"/>
      <c r="F184" s="307"/>
      <c r="G184" s="814"/>
      <c r="H184" s="295"/>
      <c r="I184" s="814"/>
      <c r="J184" s="815"/>
      <c r="K184" s="295"/>
      <c r="L184" s="815"/>
      <c r="M184" s="295"/>
      <c r="N184" s="408"/>
      <c r="O184" s="295"/>
      <c r="P184" s="295"/>
      <c r="Q184" s="814"/>
      <c r="R184" s="815"/>
      <c r="S184" s="295"/>
      <c r="T184" s="408"/>
      <c r="U184" s="184"/>
      <c r="V184" s="184"/>
      <c r="W184" s="262"/>
      <c r="X184" s="263"/>
      <c r="Y184" s="294"/>
      <c r="Z184" s="295"/>
      <c r="AA184" s="265"/>
      <c r="AB184" s="135"/>
      <c r="AC184" s="266"/>
      <c r="AD184" s="44"/>
      <c r="AE184" s="44"/>
      <c r="AF184" s="266"/>
      <c r="AG184" s="44"/>
      <c r="AH184" s="267"/>
      <c r="AI184" s="44"/>
      <c r="AJ184" s="266"/>
      <c r="AK184" s="135"/>
      <c r="AL184" s="213"/>
      <c r="AM184" s="213"/>
      <c r="AN184" s="262"/>
      <c r="AO184" s="263"/>
      <c r="AP184" s="184"/>
      <c r="AQ184" s="263"/>
      <c r="AR184" s="184"/>
      <c r="AS184" s="263"/>
      <c r="AT184" s="36"/>
      <c r="AU184" s="36"/>
      <c r="AV184" s="36"/>
      <c r="AW184" s="36"/>
      <c r="AX184" s="36"/>
      <c r="AY184" s="36"/>
      <c r="AZ184" s="36"/>
    </row>
    <row r="185" spans="2:52" ht="12.75" customHeight="1" x14ac:dyDescent="0.2">
      <c r="B185" s="4" t="s">
        <v>232</v>
      </c>
      <c r="C185" s="11"/>
      <c r="D185" s="11"/>
      <c r="E185" s="407"/>
      <c r="F185" s="307"/>
      <c r="G185" s="814"/>
      <c r="H185" s="295"/>
      <c r="I185" s="814"/>
      <c r="J185" s="815"/>
      <c r="K185" s="295"/>
      <c r="L185" s="815"/>
      <c r="M185" s="295"/>
      <c r="N185" s="408"/>
      <c r="O185" s="295"/>
      <c r="P185" s="295"/>
      <c r="Q185" s="814"/>
      <c r="R185" s="815"/>
      <c r="S185" s="295"/>
      <c r="T185" s="408"/>
      <c r="U185" s="184"/>
      <c r="V185" s="184"/>
      <c r="W185" s="262"/>
      <c r="X185" s="263"/>
      <c r="Y185" s="294"/>
      <c r="Z185" s="295"/>
      <c r="AA185" s="265"/>
      <c r="AB185" s="135"/>
      <c r="AC185" s="266"/>
      <c r="AD185" s="44"/>
      <c r="AE185" s="44"/>
      <c r="AF185" s="266"/>
      <c r="AG185" s="44"/>
      <c r="AH185" s="267"/>
      <c r="AI185" s="44"/>
      <c r="AJ185" s="266"/>
      <c r="AK185" s="135"/>
      <c r="AL185" s="213"/>
      <c r="AM185" s="213"/>
      <c r="AN185" s="262"/>
      <c r="AO185" s="263"/>
      <c r="AP185" s="184"/>
      <c r="AQ185" s="263"/>
      <c r="AR185" s="184"/>
      <c r="AS185" s="263"/>
      <c r="AT185" s="36"/>
      <c r="AU185" s="36"/>
      <c r="AV185" s="36"/>
      <c r="AW185" s="36"/>
      <c r="AX185" s="36"/>
      <c r="AY185" s="36"/>
      <c r="AZ185" s="36"/>
    </row>
    <row r="186" spans="2:52" ht="15" customHeight="1" x14ac:dyDescent="0.2">
      <c r="B186" s="900" t="s">
        <v>18</v>
      </c>
      <c r="C186" s="11" t="s">
        <v>362</v>
      </c>
      <c r="D186" s="11"/>
      <c r="E186" s="407"/>
      <c r="F186" s="307"/>
      <c r="G186" s="814"/>
      <c r="H186" s="295"/>
      <c r="I186" s="814"/>
      <c r="J186" s="815"/>
      <c r="K186" s="295"/>
      <c r="L186" s="815"/>
      <c r="M186" s="295"/>
      <c r="N186" s="408"/>
      <c r="O186" s="295"/>
      <c r="P186" s="295"/>
      <c r="Q186" s="814"/>
      <c r="R186" s="815"/>
      <c r="S186" s="295"/>
      <c r="T186" s="408"/>
      <c r="U186" s="184">
        <f t="shared" si="52"/>
        <v>0</v>
      </c>
      <c r="V186" s="184">
        <f t="shared" si="53"/>
        <v>0</v>
      </c>
      <c r="W186" s="262">
        <f t="shared" si="54"/>
        <v>0</v>
      </c>
      <c r="X186" s="263">
        <f t="shared" si="54"/>
        <v>0</v>
      </c>
      <c r="Y186" s="294"/>
      <c r="Z186" s="295"/>
      <c r="AA186" s="265"/>
      <c r="AB186" s="135">
        <f>'A. Revenue by Function'!N173</f>
        <v>0</v>
      </c>
      <c r="AC186" s="266"/>
      <c r="AD186" s="44"/>
      <c r="AE186" s="44"/>
      <c r="AF186" s="266"/>
      <c r="AG186" s="44"/>
      <c r="AH186" s="267"/>
      <c r="AI186" s="44"/>
      <c r="AJ186" s="266"/>
      <c r="AK186" s="135"/>
      <c r="AL186" s="213"/>
      <c r="AM186" s="213"/>
      <c r="AN186" s="262">
        <f>W186+Y186+AA186+AD186+AI186+AL186</f>
        <v>0</v>
      </c>
      <c r="AO186" s="263">
        <f>X186+Z186+AB186+AG186+AK186+AM186</f>
        <v>0</v>
      </c>
      <c r="AP186" s="184">
        <f>IF(AN186-AO186&lt;0, " ",AN186-AO186)</f>
        <v>0</v>
      </c>
      <c r="AQ186" s="263">
        <f>IF(AN186-AO186&gt;0, " ", AO186-AN186)</f>
        <v>0</v>
      </c>
      <c r="AR186" s="184"/>
      <c r="AS186" s="263"/>
      <c r="AT186" s="36"/>
      <c r="AU186" s="36"/>
      <c r="AV186" s="36"/>
      <c r="AW186" s="36"/>
      <c r="AX186" s="36"/>
      <c r="AY186" s="36"/>
      <c r="AZ186" s="36"/>
    </row>
    <row r="187" spans="2:52" ht="15" customHeight="1" x14ac:dyDescent="0.2">
      <c r="B187" s="900"/>
      <c r="C187" s="11" t="s">
        <v>363</v>
      </c>
      <c r="D187" s="11"/>
      <c r="E187" s="407"/>
      <c r="F187" s="307"/>
      <c r="G187" s="814"/>
      <c r="H187" s="295"/>
      <c r="I187" s="814"/>
      <c r="J187" s="815"/>
      <c r="K187" s="295"/>
      <c r="L187" s="815"/>
      <c r="M187" s="295"/>
      <c r="N187" s="408"/>
      <c r="O187" s="295"/>
      <c r="P187" s="295"/>
      <c r="Q187" s="814"/>
      <c r="R187" s="815"/>
      <c r="S187" s="295"/>
      <c r="T187" s="408"/>
      <c r="U187" s="184">
        <f t="shared" si="52"/>
        <v>0</v>
      </c>
      <c r="V187" s="184">
        <f t="shared" si="53"/>
        <v>0</v>
      </c>
      <c r="W187" s="262">
        <f t="shared" si="54"/>
        <v>0</v>
      </c>
      <c r="X187" s="263">
        <f t="shared" si="54"/>
        <v>0</v>
      </c>
      <c r="Y187" s="294"/>
      <c r="Z187" s="295"/>
      <c r="AA187" s="265"/>
      <c r="AB187" s="135">
        <f>'A. Revenue by Function'!N174</f>
        <v>0</v>
      </c>
      <c r="AC187" s="266"/>
      <c r="AD187" s="44"/>
      <c r="AE187" s="44"/>
      <c r="AF187" s="266"/>
      <c r="AG187" s="44"/>
      <c r="AH187" s="267"/>
      <c r="AI187" s="44"/>
      <c r="AJ187" s="266" t="str">
        <f>'I. Eliminations-Consolidations'!A250</f>
        <v>I.7</v>
      </c>
      <c r="AK187" s="135">
        <f>'I. Eliminations-Consolidations'!L273</f>
        <v>0</v>
      </c>
      <c r="AL187" s="213"/>
      <c r="AM187" s="213"/>
      <c r="AN187" s="262">
        <f>W187+Y187+AA187+AD187+AI187+AL187</f>
        <v>0</v>
      </c>
      <c r="AO187" s="263">
        <f>X187+Z187+AB187+AG187+AK187+AM187</f>
        <v>0</v>
      </c>
      <c r="AP187" s="184" t="str">
        <f>IF(AN187-AO187&lt;=0, " ",AN187-AO187)</f>
        <v xml:space="preserve"> </v>
      </c>
      <c r="AQ187" s="263" t="str">
        <f>IF(AN187-AO187&gt;=0, " ", AO187-AN187)</f>
        <v xml:space="preserve"> </v>
      </c>
      <c r="AR187" s="184"/>
      <c r="AS187" s="263"/>
      <c r="AT187" s="36"/>
      <c r="AU187" s="36"/>
      <c r="AV187" s="36"/>
      <c r="AW187" s="36"/>
      <c r="AX187" s="36"/>
      <c r="AY187" s="36"/>
      <c r="AZ187" s="36"/>
    </row>
    <row r="188" spans="2:52" ht="15" customHeight="1" x14ac:dyDescent="0.2">
      <c r="B188" s="900"/>
      <c r="C188" s="11" t="s">
        <v>364</v>
      </c>
      <c r="D188" s="11"/>
      <c r="E188" s="407"/>
      <c r="F188" s="307"/>
      <c r="G188" s="814"/>
      <c r="H188" s="295"/>
      <c r="I188" s="814"/>
      <c r="J188" s="815"/>
      <c r="K188" s="295"/>
      <c r="L188" s="815"/>
      <c r="M188" s="295"/>
      <c r="N188" s="408"/>
      <c r="O188" s="295"/>
      <c r="P188" s="295"/>
      <c r="Q188" s="814"/>
      <c r="R188" s="815"/>
      <c r="S188" s="295"/>
      <c r="T188" s="408"/>
      <c r="U188" s="184">
        <f t="shared" si="52"/>
        <v>0</v>
      </c>
      <c r="V188" s="184">
        <f t="shared" si="53"/>
        <v>0</v>
      </c>
      <c r="W188" s="262">
        <f t="shared" si="54"/>
        <v>0</v>
      </c>
      <c r="X188" s="263">
        <f t="shared" si="54"/>
        <v>0</v>
      </c>
      <c r="Y188" s="294"/>
      <c r="Z188" s="295"/>
      <c r="AA188" s="265"/>
      <c r="AB188" s="135">
        <f>'A. Revenue by Function'!N175</f>
        <v>0</v>
      </c>
      <c r="AC188" s="266"/>
      <c r="AD188" s="44"/>
      <c r="AE188" s="44"/>
      <c r="AF188" s="266"/>
      <c r="AG188" s="44"/>
      <c r="AH188" s="267"/>
      <c r="AI188" s="44"/>
      <c r="AJ188" s="266" t="str">
        <f>'I. Eliminations-Consolidations'!A250</f>
        <v>I.7</v>
      </c>
      <c r="AK188" s="135">
        <f>'I. Eliminations-Consolidations'!L290</f>
        <v>0</v>
      </c>
      <c r="AL188" s="213"/>
      <c r="AM188" s="213"/>
      <c r="AN188" s="262">
        <f>W188+Y188+AA188+AD188+AI188+AL188</f>
        <v>0</v>
      </c>
      <c r="AO188" s="263">
        <f>X188+Z188+AB188+AG188+AK188+AM188</f>
        <v>0</v>
      </c>
      <c r="AP188" s="184">
        <f>IF(AN188-AO188&lt;0, " ",AN188-AO188)</f>
        <v>0</v>
      </c>
      <c r="AQ188" s="263">
        <f>IF(AN188-AO188&gt;0, " ", AO188-AN188)</f>
        <v>0</v>
      </c>
      <c r="AR188" s="184"/>
      <c r="AS188" s="263"/>
      <c r="AT188" s="36"/>
      <c r="AU188" s="36"/>
      <c r="AV188" s="36"/>
      <c r="AW188" s="36"/>
      <c r="AX188" s="36"/>
      <c r="AY188" s="36"/>
      <c r="AZ188" s="36"/>
    </row>
    <row r="189" spans="2:52" ht="4.5" customHeight="1" x14ac:dyDescent="0.2">
      <c r="C189" s="11"/>
      <c r="D189" s="11"/>
      <c r="E189" s="407"/>
      <c r="F189" s="307"/>
      <c r="G189" s="814"/>
      <c r="H189" s="295"/>
      <c r="I189" s="814"/>
      <c r="J189" s="815"/>
      <c r="K189" s="295"/>
      <c r="L189" s="815"/>
      <c r="M189" s="295"/>
      <c r="N189" s="408"/>
      <c r="O189" s="295"/>
      <c r="P189" s="295"/>
      <c r="Q189" s="814"/>
      <c r="R189" s="815"/>
      <c r="S189" s="295"/>
      <c r="T189" s="408"/>
      <c r="U189" s="184"/>
      <c r="V189" s="184"/>
      <c r="W189" s="262"/>
      <c r="X189" s="263"/>
      <c r="Y189" s="294"/>
      <c r="Z189" s="295"/>
      <c r="AA189" s="265"/>
      <c r="AB189" s="135"/>
      <c r="AC189" s="266"/>
      <c r="AD189" s="44"/>
      <c r="AE189" s="44"/>
      <c r="AF189" s="266"/>
      <c r="AG189" s="44"/>
      <c r="AH189" s="267"/>
      <c r="AI189" s="44"/>
      <c r="AJ189" s="266"/>
      <c r="AK189" s="135"/>
      <c r="AL189" s="213"/>
      <c r="AM189" s="213"/>
      <c r="AN189" s="262"/>
      <c r="AO189" s="263"/>
      <c r="AP189" s="184"/>
      <c r="AQ189" s="263"/>
      <c r="AR189" s="184"/>
      <c r="AS189" s="263"/>
      <c r="AT189" s="36"/>
      <c r="AU189" s="36"/>
      <c r="AV189" s="36"/>
      <c r="AW189" s="36"/>
      <c r="AX189" s="36"/>
      <c r="AY189" s="36"/>
      <c r="AZ189" s="36"/>
    </row>
    <row r="190" spans="2:52" x14ac:dyDescent="0.2">
      <c r="B190" s="4" t="s">
        <v>499</v>
      </c>
      <c r="E190" s="299"/>
      <c r="F190" s="403"/>
      <c r="G190" s="812"/>
      <c r="H190" s="293"/>
      <c r="I190" s="812"/>
      <c r="J190" s="813"/>
      <c r="K190" s="293"/>
      <c r="L190" s="813"/>
      <c r="M190" s="293"/>
      <c r="N190" s="404"/>
      <c r="O190" s="293"/>
      <c r="P190" s="293"/>
      <c r="Q190" s="812"/>
      <c r="R190" s="813"/>
      <c r="S190" s="293"/>
      <c r="T190" s="404"/>
      <c r="U190" s="184"/>
      <c r="V190" s="184"/>
      <c r="W190" s="262"/>
      <c r="X190" s="263"/>
      <c r="Y190" s="292"/>
      <c r="Z190" s="293"/>
      <c r="AA190" s="261"/>
      <c r="AB190" s="134"/>
      <c r="AC190" s="257"/>
      <c r="AD190" s="45"/>
      <c r="AE190" s="45"/>
      <c r="AF190" s="257"/>
      <c r="AG190" s="45"/>
      <c r="AH190" s="256"/>
      <c r="AI190" s="45"/>
      <c r="AJ190" s="257"/>
      <c r="AK190" s="134"/>
      <c r="AL190" s="211"/>
      <c r="AM190" s="211"/>
      <c r="AN190" s="262"/>
      <c r="AO190" s="263"/>
      <c r="AP190" s="184"/>
      <c r="AQ190" s="263"/>
      <c r="AR190" s="184"/>
      <c r="AS190" s="263"/>
      <c r="AT190" s="36"/>
      <c r="AU190" s="36"/>
      <c r="AV190" s="36"/>
      <c r="AW190" s="36"/>
      <c r="AX190" s="36"/>
      <c r="AY190" s="36"/>
      <c r="AZ190" s="36"/>
    </row>
    <row r="191" spans="2:52" ht="15" customHeight="1" x14ac:dyDescent="0.2">
      <c r="B191" s="900" t="s">
        <v>18</v>
      </c>
      <c r="C191" t="s">
        <v>362</v>
      </c>
      <c r="E191" s="299"/>
      <c r="F191" s="403"/>
      <c r="G191" s="812"/>
      <c r="H191" s="293"/>
      <c r="I191" s="812"/>
      <c r="J191" s="813"/>
      <c r="K191" s="293"/>
      <c r="L191" s="813"/>
      <c r="M191" s="293"/>
      <c r="N191" s="404"/>
      <c r="O191" s="293"/>
      <c r="P191" s="293"/>
      <c r="Q191" s="812"/>
      <c r="R191" s="813"/>
      <c r="S191" s="293"/>
      <c r="T191" s="404"/>
      <c r="U191" s="184">
        <f t="shared" si="52"/>
        <v>0</v>
      </c>
      <c r="V191" s="184">
        <f t="shared" si="53"/>
        <v>0</v>
      </c>
      <c r="W191" s="262">
        <f t="shared" si="54"/>
        <v>0</v>
      </c>
      <c r="X191" s="263">
        <f t="shared" si="54"/>
        <v>0</v>
      </c>
      <c r="Y191" s="292"/>
      <c r="Z191" s="293"/>
      <c r="AA191" s="261"/>
      <c r="AB191" s="134">
        <f>'A. Revenue by Function'!N177</f>
        <v>0</v>
      </c>
      <c r="AC191" s="257"/>
      <c r="AD191" s="45"/>
      <c r="AE191" s="45"/>
      <c r="AF191" s="257"/>
      <c r="AG191" s="45"/>
      <c r="AH191" s="256"/>
      <c r="AI191" s="45"/>
      <c r="AJ191" s="257"/>
      <c r="AK191" s="134"/>
      <c r="AL191" s="211"/>
      <c r="AM191" s="211"/>
      <c r="AN191" s="262">
        <f>W191+Y191+AA191+AD191+AI191+AL191</f>
        <v>0</v>
      </c>
      <c r="AO191" s="263">
        <f>X191+Z191+AB191+AG191+AK191+AM191</f>
        <v>0</v>
      </c>
      <c r="AP191" s="184">
        <f>IF(AN191-AO191&lt;0, " ",AN191-AO191)</f>
        <v>0</v>
      </c>
      <c r="AQ191" s="263">
        <f>IF(AN191-AO191&gt;0, " ", AO191-AN191)</f>
        <v>0</v>
      </c>
      <c r="AR191" s="184"/>
      <c r="AS191" s="263"/>
      <c r="AT191" s="36"/>
      <c r="AU191" s="36"/>
      <c r="AV191" s="36"/>
      <c r="AW191" s="36"/>
      <c r="AX191" s="36"/>
      <c r="AY191" s="36"/>
      <c r="AZ191" s="36"/>
    </row>
    <row r="192" spans="2:52" ht="15" customHeight="1" x14ac:dyDescent="0.2">
      <c r="B192" s="900"/>
      <c r="C192" s="11" t="s">
        <v>363</v>
      </c>
      <c r="D192" s="11"/>
      <c r="E192" s="407"/>
      <c r="F192" s="307"/>
      <c r="G192" s="814"/>
      <c r="H192" s="295"/>
      <c r="I192" s="814"/>
      <c r="J192" s="815"/>
      <c r="K192" s="295"/>
      <c r="L192" s="815"/>
      <c r="M192" s="295"/>
      <c r="N192" s="408"/>
      <c r="O192" s="295"/>
      <c r="P192" s="295"/>
      <c r="Q192" s="814"/>
      <c r="R192" s="815"/>
      <c r="S192" s="295"/>
      <c r="T192" s="408"/>
      <c r="U192" s="184">
        <f t="shared" si="52"/>
        <v>0</v>
      </c>
      <c r="V192" s="184">
        <f t="shared" si="53"/>
        <v>0</v>
      </c>
      <c r="W192" s="262">
        <f t="shared" si="54"/>
        <v>0</v>
      </c>
      <c r="X192" s="263">
        <f t="shared" si="54"/>
        <v>0</v>
      </c>
      <c r="Y192" s="294"/>
      <c r="Z192" s="295"/>
      <c r="AA192" s="265"/>
      <c r="AB192" s="135">
        <f>'A. Revenue by Function'!N178</f>
        <v>0</v>
      </c>
      <c r="AC192" s="266"/>
      <c r="AD192" s="44"/>
      <c r="AE192" s="44"/>
      <c r="AF192" s="274"/>
      <c r="AG192" s="78"/>
      <c r="AH192" s="267"/>
      <c r="AI192" s="44"/>
      <c r="AJ192" s="266" t="str">
        <f>'I. Eliminations-Consolidations'!A250</f>
        <v>I.7</v>
      </c>
      <c r="AK192" s="135">
        <f>'I. Eliminations-Consolidations'!L274</f>
        <v>0</v>
      </c>
      <c r="AL192" s="213"/>
      <c r="AM192" s="213"/>
      <c r="AN192" s="262">
        <f>W192+Y192+AA192+AD192+AI192+AL192</f>
        <v>0</v>
      </c>
      <c r="AO192" s="263">
        <f>X192+Z192+AB192+AG192+AK192+AM192</f>
        <v>0</v>
      </c>
      <c r="AP192" s="184" t="str">
        <f>IF(AN192-AO192&lt;=0, " ",AN192-AO192)</f>
        <v xml:space="preserve"> </v>
      </c>
      <c r="AQ192" s="263" t="str">
        <f>IF(AN192-AO192&gt;=0, " ", AO192-AN192)</f>
        <v xml:space="preserve"> </v>
      </c>
      <c r="AR192" s="184"/>
      <c r="AS192" s="263"/>
      <c r="AT192" s="36"/>
      <c r="AU192" s="36"/>
      <c r="AV192" s="36"/>
      <c r="AW192" s="36"/>
      <c r="AX192" s="36"/>
      <c r="AY192" s="36"/>
      <c r="AZ192" s="36"/>
    </row>
    <row r="193" spans="2:52" ht="15" customHeight="1" x14ac:dyDescent="0.2">
      <c r="B193" s="900"/>
      <c r="C193" s="11" t="s">
        <v>364</v>
      </c>
      <c r="D193" s="11"/>
      <c r="E193" s="407"/>
      <c r="F193" s="307"/>
      <c r="G193" s="814"/>
      <c r="H193" s="295"/>
      <c r="I193" s="814"/>
      <c r="J193" s="815"/>
      <c r="K193" s="295"/>
      <c r="L193" s="815"/>
      <c r="M193" s="295"/>
      <c r="N193" s="408"/>
      <c r="O193" s="295"/>
      <c r="P193" s="295"/>
      <c r="Q193" s="814"/>
      <c r="R193" s="815"/>
      <c r="S193" s="295"/>
      <c r="T193" s="408"/>
      <c r="U193" s="184">
        <f t="shared" si="52"/>
        <v>0</v>
      </c>
      <c r="V193" s="184">
        <f t="shared" si="53"/>
        <v>0</v>
      </c>
      <c r="W193" s="262">
        <f t="shared" si="54"/>
        <v>0</v>
      </c>
      <c r="X193" s="263">
        <f t="shared" si="54"/>
        <v>0</v>
      </c>
      <c r="Y193" s="294"/>
      <c r="Z193" s="295"/>
      <c r="AA193" s="265"/>
      <c r="AB193" s="135">
        <f>'A. Revenue by Function'!N179</f>
        <v>0</v>
      </c>
      <c r="AC193" s="274"/>
      <c r="AD193" s="44"/>
      <c r="AE193" s="78"/>
      <c r="AF193" s="274"/>
      <c r="AG193" s="78"/>
      <c r="AH193" s="267"/>
      <c r="AI193" s="44"/>
      <c r="AJ193" s="266" t="str">
        <f>'I. Eliminations-Consolidations'!A250</f>
        <v>I.7</v>
      </c>
      <c r="AK193" s="135">
        <f>'I. Eliminations-Consolidations'!L291</f>
        <v>0</v>
      </c>
      <c r="AL193" s="213"/>
      <c r="AM193" s="213"/>
      <c r="AN193" s="262">
        <f>W193+Y193+AA193+AD193+AI193+AL193</f>
        <v>0</v>
      </c>
      <c r="AO193" s="263">
        <f>X193+Z193+AB193+AG193+AK193+AM193</f>
        <v>0</v>
      </c>
      <c r="AP193" s="184">
        <f>IF(AN193-AO193&lt;0, " ",AN193-AO193)</f>
        <v>0</v>
      </c>
      <c r="AQ193" s="263">
        <f>IF(AN193-AO193&gt;0, " ", AO193-AN193)</f>
        <v>0</v>
      </c>
      <c r="AR193" s="184"/>
      <c r="AS193" s="263"/>
      <c r="AT193" s="36"/>
      <c r="AU193" s="36"/>
      <c r="AV193" s="36"/>
      <c r="AW193" s="36"/>
      <c r="AX193" s="36"/>
      <c r="AY193" s="36"/>
      <c r="AZ193" s="36"/>
    </row>
    <row r="194" spans="2:52" ht="4.5" customHeight="1" x14ac:dyDescent="0.2">
      <c r="B194" s="95"/>
      <c r="E194" s="299"/>
      <c r="F194" s="403"/>
      <c r="G194" s="812"/>
      <c r="H194" s="293"/>
      <c r="I194" s="812"/>
      <c r="J194" s="813"/>
      <c r="K194" s="293"/>
      <c r="L194" s="813"/>
      <c r="M194" s="293"/>
      <c r="N194" s="404"/>
      <c r="O194" s="293"/>
      <c r="P194" s="293"/>
      <c r="Q194" s="812"/>
      <c r="R194" s="813"/>
      <c r="S194" s="293"/>
      <c r="T194" s="404"/>
      <c r="U194" s="184"/>
      <c r="V194" s="184"/>
      <c r="W194" s="262"/>
      <c r="X194" s="263"/>
      <c r="Y194" s="292"/>
      <c r="Z194" s="293"/>
      <c r="AA194" s="261"/>
      <c r="AB194" s="134"/>
      <c r="AC194" s="257"/>
      <c r="AD194" s="45"/>
      <c r="AE194" s="45"/>
      <c r="AF194" s="257"/>
      <c r="AG194" s="45"/>
      <c r="AH194" s="256"/>
      <c r="AI194" s="45"/>
      <c r="AJ194" s="257"/>
      <c r="AK194" s="134"/>
      <c r="AL194" s="211"/>
      <c r="AM194" s="211"/>
      <c r="AN194" s="262"/>
      <c r="AO194" s="263"/>
      <c r="AP194" s="184"/>
      <c r="AQ194" s="263"/>
      <c r="AR194" s="184"/>
      <c r="AS194" s="263"/>
      <c r="AT194" s="36"/>
      <c r="AU194" s="36"/>
      <c r="AV194" s="36"/>
      <c r="AW194" s="36"/>
      <c r="AX194" s="36"/>
      <c r="AY194" s="36"/>
      <c r="AZ194" s="36"/>
    </row>
    <row r="195" spans="2:52" x14ac:dyDescent="0.2">
      <c r="B195" s="96" t="s">
        <v>500</v>
      </c>
      <c r="E195" s="299"/>
      <c r="F195" s="403"/>
      <c r="G195" s="812"/>
      <c r="H195" s="293"/>
      <c r="I195" s="812"/>
      <c r="J195" s="813"/>
      <c r="K195" s="293"/>
      <c r="L195" s="813"/>
      <c r="M195" s="293"/>
      <c r="N195" s="404"/>
      <c r="O195" s="293"/>
      <c r="P195" s="293"/>
      <c r="Q195" s="812"/>
      <c r="R195" s="813"/>
      <c r="S195" s="293"/>
      <c r="T195" s="404"/>
      <c r="U195" s="184"/>
      <c r="V195" s="184"/>
      <c r="W195" s="262"/>
      <c r="X195" s="263"/>
      <c r="Y195" s="292"/>
      <c r="Z195" s="293"/>
      <c r="AA195" s="261"/>
      <c r="AB195" s="134"/>
      <c r="AC195" s="257"/>
      <c r="AD195" s="45"/>
      <c r="AE195" s="45"/>
      <c r="AF195" s="257"/>
      <c r="AG195" s="45"/>
      <c r="AH195" s="256"/>
      <c r="AI195" s="45"/>
      <c r="AJ195" s="257"/>
      <c r="AK195" s="134"/>
      <c r="AL195" s="211"/>
      <c r="AM195" s="211"/>
      <c r="AN195" s="262"/>
      <c r="AO195" s="263"/>
      <c r="AP195" s="184"/>
      <c r="AQ195" s="263"/>
      <c r="AR195" s="184"/>
      <c r="AS195" s="263"/>
      <c r="AT195" s="36"/>
      <c r="AU195" s="36"/>
      <c r="AV195" s="36"/>
      <c r="AW195" s="36"/>
      <c r="AX195" s="36"/>
      <c r="AY195" s="36"/>
      <c r="AZ195" s="36"/>
    </row>
    <row r="196" spans="2:52" ht="15" customHeight="1" x14ac:dyDescent="0.2">
      <c r="B196" s="900" t="s">
        <v>18</v>
      </c>
      <c r="C196" t="s">
        <v>362</v>
      </c>
      <c r="E196" s="299"/>
      <c r="F196" s="403"/>
      <c r="G196" s="812"/>
      <c r="H196" s="293"/>
      <c r="I196" s="812"/>
      <c r="J196" s="813"/>
      <c r="K196" s="293"/>
      <c r="L196" s="813"/>
      <c r="M196" s="293"/>
      <c r="N196" s="404"/>
      <c r="O196" s="293"/>
      <c r="P196" s="293"/>
      <c r="Q196" s="812"/>
      <c r="R196" s="813"/>
      <c r="S196" s="293"/>
      <c r="T196" s="404"/>
      <c r="U196" s="184">
        <f t="shared" si="52"/>
        <v>0</v>
      </c>
      <c r="V196" s="184">
        <f t="shared" si="53"/>
        <v>0</v>
      </c>
      <c r="W196" s="262">
        <f t="shared" si="54"/>
        <v>0</v>
      </c>
      <c r="X196" s="263">
        <f t="shared" si="54"/>
        <v>0</v>
      </c>
      <c r="Y196" s="292"/>
      <c r="Z196" s="293"/>
      <c r="AA196" s="261"/>
      <c r="AB196" s="134">
        <f>'A. Revenue by Function'!N181</f>
        <v>0</v>
      </c>
      <c r="AC196" s="257"/>
      <c r="AD196" s="45"/>
      <c r="AE196" s="45"/>
      <c r="AF196" s="257"/>
      <c r="AG196" s="45"/>
      <c r="AH196" s="256"/>
      <c r="AI196" s="45"/>
      <c r="AJ196" s="257"/>
      <c r="AK196" s="134"/>
      <c r="AL196" s="211"/>
      <c r="AM196" s="211"/>
      <c r="AN196" s="262">
        <f>W196+Y196+AA196+AD196+AI196+AL196</f>
        <v>0</v>
      </c>
      <c r="AO196" s="263">
        <f>X196+Z196+AB196+AG196+AK196+AM196</f>
        <v>0</v>
      </c>
      <c r="AP196" s="184">
        <f>IF(AN196-AO196&lt;0, " ",AN196-AO196)</f>
        <v>0</v>
      </c>
      <c r="AQ196" s="263">
        <f>IF(AN196-AO196&gt;0, " ", AO196-AN196)</f>
        <v>0</v>
      </c>
      <c r="AR196" s="184"/>
      <c r="AS196" s="263"/>
      <c r="AT196" s="36"/>
      <c r="AU196" s="36"/>
      <c r="AV196" s="36"/>
      <c r="AW196" s="36"/>
      <c r="AX196" s="36"/>
      <c r="AY196" s="36"/>
      <c r="AZ196" s="36"/>
    </row>
    <row r="197" spans="2:52" ht="15" customHeight="1" x14ac:dyDescent="0.2">
      <c r="B197" s="900"/>
      <c r="C197" s="11" t="s">
        <v>363</v>
      </c>
      <c r="D197" s="11"/>
      <c r="E197" s="407"/>
      <c r="F197" s="307"/>
      <c r="G197" s="814"/>
      <c r="H197" s="295"/>
      <c r="I197" s="814"/>
      <c r="J197" s="815"/>
      <c r="K197" s="295"/>
      <c r="L197" s="815"/>
      <c r="M197" s="295"/>
      <c r="N197" s="408"/>
      <c r="O197" s="295"/>
      <c r="P197" s="295"/>
      <c r="Q197" s="814"/>
      <c r="R197" s="815"/>
      <c r="S197" s="295"/>
      <c r="T197" s="408"/>
      <c r="U197" s="184">
        <f t="shared" si="52"/>
        <v>0</v>
      </c>
      <c r="V197" s="184">
        <f t="shared" si="53"/>
        <v>0</v>
      </c>
      <c r="W197" s="262">
        <f t="shared" si="54"/>
        <v>0</v>
      </c>
      <c r="X197" s="263">
        <f t="shared" si="54"/>
        <v>0</v>
      </c>
      <c r="Y197" s="294"/>
      <c r="Z197" s="295"/>
      <c r="AA197" s="265"/>
      <c r="AB197" s="135">
        <f>'A. Revenue by Function'!N182</f>
        <v>22357</v>
      </c>
      <c r="AC197" s="266"/>
      <c r="AD197" s="44"/>
      <c r="AE197" s="44"/>
      <c r="AF197" s="274"/>
      <c r="AG197" s="78"/>
      <c r="AH197" s="267"/>
      <c r="AI197" s="44"/>
      <c r="AJ197" s="266" t="str">
        <f>'I. Eliminations-Consolidations'!A250</f>
        <v>I.7</v>
      </c>
      <c r="AK197" s="135">
        <f>'I. Eliminations-Consolidations'!L275</f>
        <v>0</v>
      </c>
      <c r="AL197" s="213"/>
      <c r="AM197" s="213"/>
      <c r="AN197" s="262">
        <f>W197+Y197+AA197+AD197+AI197+AL197</f>
        <v>0</v>
      </c>
      <c r="AO197" s="263">
        <f>X197+Z197+AB197+AG197+AK197+AM197</f>
        <v>22357</v>
      </c>
      <c r="AP197" s="184" t="str">
        <f>IF(AN197-AO197&lt;=0, " ",AN197-AO197)</f>
        <v xml:space="preserve"> </v>
      </c>
      <c r="AQ197" s="263">
        <f>IF(AN197-AO197&gt;=0, " ", AO197-AN197)</f>
        <v>22357</v>
      </c>
      <c r="AR197" s="184"/>
      <c r="AS197" s="263"/>
      <c r="AT197" s="36"/>
      <c r="AU197" s="36"/>
      <c r="AV197" s="36"/>
      <c r="AW197" s="36"/>
      <c r="AX197" s="36"/>
      <c r="AY197" s="36"/>
      <c r="AZ197" s="36"/>
    </row>
    <row r="198" spans="2:52" ht="15" customHeight="1" x14ac:dyDescent="0.2">
      <c r="B198" s="900"/>
      <c r="C198" s="11" t="s">
        <v>364</v>
      </c>
      <c r="D198" s="11"/>
      <c r="E198" s="407"/>
      <c r="F198" s="307"/>
      <c r="G198" s="814"/>
      <c r="H198" s="295"/>
      <c r="I198" s="814"/>
      <c r="J198" s="815"/>
      <c r="K198" s="295"/>
      <c r="L198" s="815"/>
      <c r="M198" s="295"/>
      <c r="N198" s="408"/>
      <c r="O198" s="295"/>
      <c r="P198" s="295"/>
      <c r="Q198" s="814"/>
      <c r="R198" s="815"/>
      <c r="S198" s="295"/>
      <c r="T198" s="408"/>
      <c r="U198" s="184">
        <f t="shared" si="52"/>
        <v>0</v>
      </c>
      <c r="V198" s="184">
        <f t="shared" si="53"/>
        <v>0</v>
      </c>
      <c r="W198" s="262">
        <f t="shared" si="54"/>
        <v>0</v>
      </c>
      <c r="X198" s="263">
        <f t="shared" si="54"/>
        <v>0</v>
      </c>
      <c r="Y198" s="294"/>
      <c r="Z198" s="295"/>
      <c r="AA198" s="265"/>
      <c r="AB198" s="135">
        <f>'A. Revenue by Function'!N183</f>
        <v>0</v>
      </c>
      <c r="AC198" s="266"/>
      <c r="AD198" s="44"/>
      <c r="AE198" s="44"/>
      <c r="AF198" s="266"/>
      <c r="AG198" s="44"/>
      <c r="AH198" s="267"/>
      <c r="AI198" s="44"/>
      <c r="AJ198" s="266" t="str">
        <f>'I. Eliminations-Consolidations'!A250</f>
        <v>I.7</v>
      </c>
      <c r="AK198" s="135">
        <f>'I. Eliminations-Consolidations'!L292</f>
        <v>0</v>
      </c>
      <c r="AL198" s="213"/>
      <c r="AM198" s="213"/>
      <c r="AN198" s="262">
        <f>W198+Y198+AA198+AD198+AI198+AL198</f>
        <v>0</v>
      </c>
      <c r="AO198" s="263">
        <f>X198+Z198+AB198+AG198+AK198+AM198</f>
        <v>0</v>
      </c>
      <c r="AP198" s="184">
        <f>IF(AN198-AO198&lt;0, " ",AN198-AO198)</f>
        <v>0</v>
      </c>
      <c r="AQ198" s="263">
        <f>IF(AN198-AO198&gt;0, " ", AO198-AN198)</f>
        <v>0</v>
      </c>
      <c r="AR198" s="184"/>
      <c r="AS198" s="263"/>
      <c r="AT198" s="36"/>
      <c r="AU198" s="36"/>
      <c r="AV198" s="36"/>
      <c r="AW198" s="36"/>
      <c r="AX198" s="36"/>
      <c r="AY198" s="36"/>
      <c r="AZ198" s="36"/>
    </row>
    <row r="199" spans="2:52" ht="4.5" customHeight="1" x14ac:dyDescent="0.2">
      <c r="B199" s="95"/>
      <c r="C199" s="11"/>
      <c r="D199" s="11"/>
      <c r="E199" s="407"/>
      <c r="F199" s="307"/>
      <c r="G199" s="814"/>
      <c r="H199" s="295"/>
      <c r="I199" s="814"/>
      <c r="J199" s="815"/>
      <c r="K199" s="295"/>
      <c r="L199" s="815"/>
      <c r="M199" s="295"/>
      <c r="N199" s="408"/>
      <c r="O199" s="295"/>
      <c r="P199" s="295"/>
      <c r="Q199" s="814"/>
      <c r="R199" s="815"/>
      <c r="S199" s="295"/>
      <c r="T199" s="408"/>
      <c r="U199" s="184"/>
      <c r="V199" s="184"/>
      <c r="W199" s="262"/>
      <c r="X199" s="263"/>
      <c r="Y199" s="294"/>
      <c r="Z199" s="295"/>
      <c r="AA199" s="265"/>
      <c r="AB199" s="135"/>
      <c r="AC199" s="266"/>
      <c r="AD199" s="44"/>
      <c r="AE199" s="44"/>
      <c r="AF199" s="266"/>
      <c r="AG199" s="44"/>
      <c r="AH199" s="267"/>
      <c r="AI199" s="44"/>
      <c r="AJ199" s="266"/>
      <c r="AK199" s="135"/>
      <c r="AL199" s="213"/>
      <c r="AM199" s="213"/>
      <c r="AN199" s="262"/>
      <c r="AO199" s="263"/>
      <c r="AP199" s="184"/>
      <c r="AQ199" s="263"/>
      <c r="AR199" s="184"/>
      <c r="AS199" s="263"/>
      <c r="AT199" s="36"/>
      <c r="AU199" s="36"/>
      <c r="AV199" s="36"/>
      <c r="AW199" s="36"/>
      <c r="AX199" s="36"/>
      <c r="AY199" s="36"/>
      <c r="AZ199" s="36"/>
    </row>
    <row r="200" spans="2:52" x14ac:dyDescent="0.2">
      <c r="B200" s="96" t="s">
        <v>501</v>
      </c>
      <c r="C200" s="11"/>
      <c r="D200" s="11"/>
      <c r="E200" s="407"/>
      <c r="F200" s="307"/>
      <c r="G200" s="814"/>
      <c r="H200" s="295"/>
      <c r="I200" s="814"/>
      <c r="J200" s="815"/>
      <c r="K200" s="295"/>
      <c r="L200" s="815"/>
      <c r="M200" s="295"/>
      <c r="N200" s="408"/>
      <c r="O200" s="295"/>
      <c r="P200" s="295"/>
      <c r="Q200" s="814"/>
      <c r="R200" s="815"/>
      <c r="S200" s="295"/>
      <c r="T200" s="408"/>
      <c r="U200" s="184"/>
      <c r="V200" s="184"/>
      <c r="W200" s="262"/>
      <c r="X200" s="263"/>
      <c r="Y200" s="294"/>
      <c r="Z200" s="295"/>
      <c r="AA200" s="265"/>
      <c r="AB200" s="135"/>
      <c r="AC200" s="266"/>
      <c r="AD200" s="44"/>
      <c r="AE200" s="44"/>
      <c r="AF200" s="266"/>
      <c r="AG200" s="44"/>
      <c r="AH200" s="267"/>
      <c r="AI200" s="44"/>
      <c r="AJ200" s="266"/>
      <c r="AK200" s="135"/>
      <c r="AL200" s="213"/>
      <c r="AM200" s="213"/>
      <c r="AN200" s="262"/>
      <c r="AO200" s="263"/>
      <c r="AP200" s="184"/>
      <c r="AQ200" s="263"/>
      <c r="AR200" s="184"/>
      <c r="AS200" s="263"/>
      <c r="AT200" s="36"/>
      <c r="AU200" s="36"/>
      <c r="AV200" s="36"/>
      <c r="AW200" s="36"/>
      <c r="AX200" s="36"/>
      <c r="AY200" s="36"/>
      <c r="AZ200" s="36"/>
    </row>
    <row r="201" spans="2:52" ht="15" customHeight="1" x14ac:dyDescent="0.2">
      <c r="B201" s="900" t="s">
        <v>18</v>
      </c>
      <c r="C201" s="11" t="s">
        <v>362</v>
      </c>
      <c r="D201" s="11"/>
      <c r="E201" s="407"/>
      <c r="F201" s="307"/>
      <c r="G201" s="814"/>
      <c r="H201" s="295"/>
      <c r="I201" s="814"/>
      <c r="J201" s="815"/>
      <c r="K201" s="295"/>
      <c r="L201" s="815"/>
      <c r="M201" s="295"/>
      <c r="N201" s="408"/>
      <c r="O201" s="295"/>
      <c r="P201" s="295"/>
      <c r="Q201" s="814"/>
      <c r="R201" s="815"/>
      <c r="S201" s="295"/>
      <c r="T201" s="408"/>
      <c r="U201" s="184">
        <f t="shared" si="52"/>
        <v>0</v>
      </c>
      <c r="V201" s="184">
        <f t="shared" si="53"/>
        <v>0</v>
      </c>
      <c r="W201" s="262">
        <f t="shared" si="54"/>
        <v>0</v>
      </c>
      <c r="X201" s="263">
        <f t="shared" si="54"/>
        <v>0</v>
      </c>
      <c r="Y201" s="294"/>
      <c r="Z201" s="295"/>
      <c r="AA201" s="265"/>
      <c r="AB201" s="135">
        <f>'A. Revenue by Function'!N185</f>
        <v>0</v>
      </c>
      <c r="AC201" s="266"/>
      <c r="AD201" s="44"/>
      <c r="AE201" s="44"/>
      <c r="AF201" s="266"/>
      <c r="AG201" s="44"/>
      <c r="AH201" s="267"/>
      <c r="AI201" s="44"/>
      <c r="AJ201" s="266"/>
      <c r="AK201" s="135"/>
      <c r="AL201" s="213"/>
      <c r="AM201" s="213"/>
      <c r="AN201" s="262">
        <f>W201+Y201+AA201+AD201+AI201+AL201</f>
        <v>0</v>
      </c>
      <c r="AO201" s="263">
        <f>X201+Z201+AB201+AG201+AK201+AM201</f>
        <v>0</v>
      </c>
      <c r="AP201" s="184">
        <f>IF(AN201-AO201&lt;0, " ",AN201-AO201)</f>
        <v>0</v>
      </c>
      <c r="AQ201" s="263">
        <f>IF(AN201-AO201&gt;0, " ", AO201-AN201)</f>
        <v>0</v>
      </c>
      <c r="AR201" s="184"/>
      <c r="AS201" s="263"/>
      <c r="AT201" s="36"/>
      <c r="AU201" s="36"/>
      <c r="AV201" s="36"/>
      <c r="AW201" s="36"/>
      <c r="AX201" s="36"/>
      <c r="AY201" s="36"/>
      <c r="AZ201" s="36"/>
    </row>
    <row r="202" spans="2:52" ht="15" customHeight="1" x14ac:dyDescent="0.2">
      <c r="B202" s="900"/>
      <c r="C202" s="11" t="s">
        <v>363</v>
      </c>
      <c r="D202" s="11"/>
      <c r="E202" s="407"/>
      <c r="F202" s="307"/>
      <c r="G202" s="814"/>
      <c r="H202" s="295"/>
      <c r="I202" s="814"/>
      <c r="J202" s="815"/>
      <c r="K202" s="295"/>
      <c r="L202" s="815"/>
      <c r="M202" s="295"/>
      <c r="N202" s="408"/>
      <c r="O202" s="295"/>
      <c r="P202" s="295"/>
      <c r="Q202" s="814"/>
      <c r="R202" s="815"/>
      <c r="S202" s="295"/>
      <c r="T202" s="408"/>
      <c r="U202" s="184">
        <f t="shared" si="52"/>
        <v>0</v>
      </c>
      <c r="V202" s="184">
        <f t="shared" si="53"/>
        <v>0</v>
      </c>
      <c r="W202" s="262">
        <f t="shared" si="54"/>
        <v>0</v>
      </c>
      <c r="X202" s="263">
        <f t="shared" si="54"/>
        <v>0</v>
      </c>
      <c r="Y202" s="294"/>
      <c r="Z202" s="295"/>
      <c r="AA202" s="265"/>
      <c r="AB202" s="135">
        <f>'A. Revenue by Function'!N186</f>
        <v>0</v>
      </c>
      <c r="AC202" s="266"/>
      <c r="AD202" s="44"/>
      <c r="AE202" s="44"/>
      <c r="AF202" s="266"/>
      <c r="AG202" s="44"/>
      <c r="AH202" s="267"/>
      <c r="AI202" s="44"/>
      <c r="AJ202" s="266" t="str">
        <f>'I. Eliminations-Consolidations'!A250</f>
        <v>I.7</v>
      </c>
      <c r="AK202" s="135">
        <f>'I. Eliminations-Consolidations'!L276</f>
        <v>0</v>
      </c>
      <c r="AL202" s="213"/>
      <c r="AM202" s="213"/>
      <c r="AN202" s="262">
        <f>W202+Y202+AA202+AD202+AI202+AL202</f>
        <v>0</v>
      </c>
      <c r="AO202" s="263">
        <f>X202+Z202+AB202+AG202+AK202+AM202</f>
        <v>0</v>
      </c>
      <c r="AP202" s="184" t="str">
        <f>IF(AN202-AO202&lt;=0, " ",AN202-AO202)</f>
        <v xml:space="preserve"> </v>
      </c>
      <c r="AQ202" s="263" t="str">
        <f>IF(AN202-AO202&gt;=0, " ", AO202-AN202)</f>
        <v xml:space="preserve"> </v>
      </c>
      <c r="AR202" s="184"/>
      <c r="AS202" s="263"/>
      <c r="AT202" s="36"/>
      <c r="AU202" s="36"/>
      <c r="AV202" s="36"/>
      <c r="AW202" s="36"/>
      <c r="AX202" s="36"/>
      <c r="AY202" s="36"/>
      <c r="AZ202" s="36"/>
    </row>
    <row r="203" spans="2:52" ht="15" customHeight="1" x14ac:dyDescent="0.2">
      <c r="B203" s="900"/>
      <c r="C203" t="s">
        <v>364</v>
      </c>
      <c r="E203" s="299"/>
      <c r="F203" s="403"/>
      <c r="G203" s="812"/>
      <c r="H203" s="293"/>
      <c r="I203" s="812"/>
      <c r="J203" s="813"/>
      <c r="K203" s="293"/>
      <c r="L203" s="813"/>
      <c r="M203" s="293"/>
      <c r="N203" s="404"/>
      <c r="O203" s="293"/>
      <c r="P203" s="293"/>
      <c r="Q203" s="812"/>
      <c r="R203" s="813"/>
      <c r="S203" s="293"/>
      <c r="T203" s="404"/>
      <c r="U203" s="184">
        <f t="shared" si="52"/>
        <v>0</v>
      </c>
      <c r="V203" s="184">
        <f t="shared" si="53"/>
        <v>0</v>
      </c>
      <c r="W203" s="262">
        <f t="shared" si="54"/>
        <v>0</v>
      </c>
      <c r="X203" s="263">
        <f t="shared" si="54"/>
        <v>0</v>
      </c>
      <c r="Y203" s="292"/>
      <c r="Z203" s="293"/>
      <c r="AA203" s="261"/>
      <c r="AB203" s="134">
        <f>'A. Revenue by Function'!N187</f>
        <v>0</v>
      </c>
      <c r="AC203" s="257"/>
      <c r="AD203" s="45"/>
      <c r="AE203" s="45"/>
      <c r="AF203" s="257"/>
      <c r="AG203" s="45"/>
      <c r="AH203" s="256"/>
      <c r="AI203" s="45"/>
      <c r="AJ203" s="257" t="str">
        <f>'I. Eliminations-Consolidations'!A250</f>
        <v>I.7</v>
      </c>
      <c r="AK203" s="134">
        <f>'I. Eliminations-Consolidations'!L293</f>
        <v>0</v>
      </c>
      <c r="AL203" s="211"/>
      <c r="AM203" s="211"/>
      <c r="AN203" s="262">
        <f>W203+Y203+AA203+AD203+AI203+AL203</f>
        <v>0</v>
      </c>
      <c r="AO203" s="263">
        <f>X203+Z203+AB203+AG203+AK203+AM203</f>
        <v>0</v>
      </c>
      <c r="AP203" s="184">
        <f>IF(AN203-AO203&lt;0, " ",AN203-AO203)</f>
        <v>0</v>
      </c>
      <c r="AQ203" s="263">
        <f>IF(AN203-AO203&gt;0, " ", AO203-AN203)</f>
        <v>0</v>
      </c>
      <c r="AR203" s="184"/>
      <c r="AS203" s="263"/>
      <c r="AT203" s="36"/>
      <c r="AU203" s="36"/>
      <c r="AV203" s="36"/>
      <c r="AW203" s="36"/>
      <c r="AX203" s="36"/>
      <c r="AY203" s="36"/>
      <c r="AZ203" s="36"/>
    </row>
    <row r="204" spans="2:52" ht="5.25" customHeight="1" x14ac:dyDescent="0.2">
      <c r="E204" s="299"/>
      <c r="F204" s="403"/>
      <c r="G204" s="812"/>
      <c r="H204" s="293"/>
      <c r="I204" s="812"/>
      <c r="J204" s="813"/>
      <c r="K204" s="293"/>
      <c r="L204" s="813"/>
      <c r="M204" s="293"/>
      <c r="N204" s="404"/>
      <c r="O204" s="293"/>
      <c r="P204" s="293"/>
      <c r="Q204" s="812"/>
      <c r="R204" s="813"/>
      <c r="S204" s="293"/>
      <c r="T204" s="404"/>
      <c r="U204" s="184"/>
      <c r="V204" s="184"/>
      <c r="W204" s="262"/>
      <c r="X204" s="263"/>
      <c r="Y204" s="292"/>
      <c r="Z204" s="293"/>
      <c r="AA204" s="261"/>
      <c r="AB204" s="134"/>
      <c r="AC204" s="257"/>
      <c r="AD204" s="45"/>
      <c r="AE204" s="45"/>
      <c r="AF204" s="276"/>
      <c r="AH204" s="256"/>
      <c r="AI204" s="45"/>
      <c r="AJ204" s="257"/>
      <c r="AK204" s="134"/>
      <c r="AL204" s="211"/>
      <c r="AM204" s="211"/>
      <c r="AN204" s="262"/>
      <c r="AO204" s="263"/>
      <c r="AP204" s="184"/>
      <c r="AQ204" s="263"/>
      <c r="AR204" s="184"/>
      <c r="AS204" s="263"/>
      <c r="AT204" s="36"/>
      <c r="AU204" s="36"/>
      <c r="AV204" s="36"/>
      <c r="AW204" s="36"/>
      <c r="AX204" s="36"/>
      <c r="AY204" s="36"/>
      <c r="AZ204" s="36"/>
    </row>
    <row r="205" spans="2:52" x14ac:dyDescent="0.2">
      <c r="B205" s="4" t="s">
        <v>1651</v>
      </c>
      <c r="E205" s="299"/>
      <c r="F205" s="403"/>
      <c r="G205" s="812"/>
      <c r="H205" s="293"/>
      <c r="I205" s="812"/>
      <c r="J205" s="813"/>
      <c r="K205" s="293"/>
      <c r="L205" s="813"/>
      <c r="M205" s="293"/>
      <c r="N205" s="404"/>
      <c r="O205" s="293"/>
      <c r="P205" s="293"/>
      <c r="Q205" s="812"/>
      <c r="R205" s="813"/>
      <c r="S205" s="293"/>
      <c r="T205" s="404"/>
      <c r="U205" s="184"/>
      <c r="V205" s="184"/>
      <c r="W205" s="262"/>
      <c r="X205" s="263"/>
      <c r="Y205" s="292"/>
      <c r="Z205" s="293"/>
      <c r="AA205" s="261"/>
      <c r="AB205" s="134"/>
      <c r="AC205" s="257"/>
      <c r="AD205" s="45"/>
      <c r="AE205" s="45"/>
      <c r="AF205" s="257"/>
      <c r="AG205" s="45"/>
      <c r="AH205" s="256"/>
      <c r="AI205" s="45"/>
      <c r="AJ205" s="257"/>
      <c r="AK205" s="134"/>
      <c r="AL205" s="211"/>
      <c r="AM205" s="211"/>
      <c r="AN205" s="262"/>
      <c r="AO205" s="263"/>
      <c r="AP205" s="184"/>
      <c r="AQ205" s="263"/>
      <c r="AR205" s="184"/>
      <c r="AS205" s="263"/>
      <c r="AT205" s="36"/>
      <c r="AU205" s="36"/>
      <c r="AV205" s="36"/>
      <c r="AW205" s="36"/>
      <c r="AX205" s="36"/>
      <c r="AY205" s="36"/>
      <c r="AZ205" s="36"/>
    </row>
    <row r="206" spans="2:52" ht="15" customHeight="1" x14ac:dyDescent="0.2">
      <c r="B206" s="900" t="s">
        <v>18</v>
      </c>
      <c r="C206" t="s">
        <v>362</v>
      </c>
      <c r="E206" s="299"/>
      <c r="F206" s="403"/>
      <c r="G206" s="812"/>
      <c r="H206" s="293"/>
      <c r="I206" s="812"/>
      <c r="J206" s="813"/>
      <c r="K206" s="293"/>
      <c r="L206" s="813"/>
      <c r="M206" s="293"/>
      <c r="N206" s="404"/>
      <c r="O206" s="293"/>
      <c r="P206" s="293"/>
      <c r="Q206" s="812"/>
      <c r="R206" s="813"/>
      <c r="S206" s="293"/>
      <c r="T206" s="404"/>
      <c r="U206" s="184">
        <f t="shared" si="52"/>
        <v>0</v>
      </c>
      <c r="V206" s="184">
        <f t="shared" si="53"/>
        <v>0</v>
      </c>
      <c r="W206" s="262">
        <f t="shared" si="54"/>
        <v>0</v>
      </c>
      <c r="X206" s="263">
        <f t="shared" si="54"/>
        <v>0</v>
      </c>
      <c r="Y206" s="292"/>
      <c r="Z206" s="293"/>
      <c r="AA206" s="261"/>
      <c r="AB206" s="134">
        <f>'A. Revenue by Function'!N189</f>
        <v>0</v>
      </c>
      <c r="AC206" s="257"/>
      <c r="AD206" s="45"/>
      <c r="AE206" s="45"/>
      <c r="AF206" s="257"/>
      <c r="AG206" s="45"/>
      <c r="AH206" s="256"/>
      <c r="AI206" s="45"/>
      <c r="AJ206" s="257"/>
      <c r="AK206" s="134"/>
      <c r="AL206" s="211"/>
      <c r="AM206" s="211"/>
      <c r="AN206" s="262">
        <f>W206+Y206+AA206+AD206+AI206+AL206</f>
        <v>0</v>
      </c>
      <c r="AO206" s="263">
        <f>X206+Z206+AB206+AG206+AK206+AM206</f>
        <v>0</v>
      </c>
      <c r="AP206" s="184">
        <f>IF(AN206-AO206&lt;0, " ",AN206-AO206)</f>
        <v>0</v>
      </c>
      <c r="AQ206" s="263">
        <f>IF(AN206-AO206&gt;0, " ", AO206-AN206)</f>
        <v>0</v>
      </c>
      <c r="AR206" s="184"/>
      <c r="AS206" s="263"/>
      <c r="AT206" s="36"/>
      <c r="AU206" s="36"/>
      <c r="AV206" s="36"/>
      <c r="AW206" s="36"/>
      <c r="AX206" s="36"/>
      <c r="AY206" s="36"/>
      <c r="AZ206" s="36"/>
    </row>
    <row r="207" spans="2:52" ht="15" customHeight="1" x14ac:dyDescent="0.2">
      <c r="B207" s="900"/>
      <c r="C207" s="11" t="s">
        <v>363</v>
      </c>
      <c r="D207" s="11"/>
      <c r="E207" s="407"/>
      <c r="F207" s="307"/>
      <c r="G207" s="814"/>
      <c r="H207" s="295"/>
      <c r="I207" s="814"/>
      <c r="J207" s="815"/>
      <c r="K207" s="295"/>
      <c r="L207" s="815"/>
      <c r="M207" s="295"/>
      <c r="N207" s="408"/>
      <c r="O207" s="295"/>
      <c r="P207" s="295"/>
      <c r="Q207" s="814"/>
      <c r="R207" s="815"/>
      <c r="S207" s="295"/>
      <c r="T207" s="408"/>
      <c r="U207" s="184">
        <f t="shared" si="52"/>
        <v>0</v>
      </c>
      <c r="V207" s="184">
        <f t="shared" si="53"/>
        <v>0</v>
      </c>
      <c r="W207" s="262">
        <f t="shared" si="54"/>
        <v>0</v>
      </c>
      <c r="X207" s="263">
        <f t="shared" si="54"/>
        <v>0</v>
      </c>
      <c r="Y207" s="294"/>
      <c r="Z207" s="295"/>
      <c r="AA207" s="265"/>
      <c r="AB207" s="135">
        <f>'A. Revenue by Function'!N190</f>
        <v>0</v>
      </c>
      <c r="AC207" s="266"/>
      <c r="AD207" s="44"/>
      <c r="AE207" s="44"/>
      <c r="AF207" s="266"/>
      <c r="AG207" s="44"/>
      <c r="AH207" s="267"/>
      <c r="AI207" s="44"/>
      <c r="AJ207" s="266" t="str">
        <f>'I. Eliminations-Consolidations'!A250</f>
        <v>I.7</v>
      </c>
      <c r="AK207" s="135">
        <f>'I. Eliminations-Consolidations'!L277</f>
        <v>0</v>
      </c>
      <c r="AL207" s="213"/>
      <c r="AM207" s="213"/>
      <c r="AN207" s="262">
        <f>W207+Y207+AA207+AD207+AI207+AL207</f>
        <v>0</v>
      </c>
      <c r="AO207" s="263">
        <f>X207+Z207+AB207+AG207+AK207+AM207</f>
        <v>0</v>
      </c>
      <c r="AP207" s="184" t="str">
        <f>IF(AN207-AO207&lt;=0, " ",AN207-AO207)</f>
        <v xml:space="preserve"> </v>
      </c>
      <c r="AQ207" s="263" t="str">
        <f>IF(AN207-AO207&gt;=0, " ", AO207-AN207)</f>
        <v xml:space="preserve"> </v>
      </c>
      <c r="AR207" s="184"/>
      <c r="AS207" s="263"/>
      <c r="AT207" s="36"/>
      <c r="AU207" s="36"/>
      <c r="AV207" s="36"/>
      <c r="AW207" s="36"/>
      <c r="AX207" s="36"/>
      <c r="AY207" s="36"/>
      <c r="AZ207" s="36"/>
    </row>
    <row r="208" spans="2:52" ht="15" customHeight="1" x14ac:dyDescent="0.2">
      <c r="B208" s="900"/>
      <c r="C208" s="11" t="s">
        <v>364</v>
      </c>
      <c r="D208" s="11"/>
      <c r="E208" s="407"/>
      <c r="F208" s="307"/>
      <c r="G208" s="814"/>
      <c r="H208" s="295"/>
      <c r="I208" s="814"/>
      <c r="J208" s="815"/>
      <c r="K208" s="295"/>
      <c r="L208" s="815"/>
      <c r="M208" s="295"/>
      <c r="N208" s="408"/>
      <c r="O208" s="295"/>
      <c r="P208" s="295"/>
      <c r="Q208" s="814"/>
      <c r="R208" s="815"/>
      <c r="S208" s="295"/>
      <c r="T208" s="408"/>
      <c r="U208" s="184">
        <f t="shared" si="52"/>
        <v>0</v>
      </c>
      <c r="V208" s="184">
        <f t="shared" si="53"/>
        <v>0</v>
      </c>
      <c r="W208" s="262">
        <f t="shared" si="54"/>
        <v>0</v>
      </c>
      <c r="X208" s="263">
        <f t="shared" si="54"/>
        <v>0</v>
      </c>
      <c r="Y208" s="294"/>
      <c r="Z208" s="295"/>
      <c r="AA208" s="265"/>
      <c r="AB208" s="135">
        <f>'A. Revenue by Function'!N191</f>
        <v>0</v>
      </c>
      <c r="AC208" s="266"/>
      <c r="AD208" s="44"/>
      <c r="AE208" s="44"/>
      <c r="AF208" s="266"/>
      <c r="AG208" s="44"/>
      <c r="AH208" s="267"/>
      <c r="AI208" s="44"/>
      <c r="AJ208" s="266" t="str">
        <f>'I. Eliminations-Consolidations'!A250</f>
        <v>I.7</v>
      </c>
      <c r="AK208" s="135">
        <f>'I. Eliminations-Consolidations'!L294</f>
        <v>0</v>
      </c>
      <c r="AL208" s="213"/>
      <c r="AM208" s="213"/>
      <c r="AN208" s="262">
        <f>W208+Y208+AA208+AD208+AI208+AL208</f>
        <v>0</v>
      </c>
      <c r="AO208" s="263">
        <f>X208+Z208+AB208+AG208+AK208+AM208</f>
        <v>0</v>
      </c>
      <c r="AP208" s="184">
        <f>IF(AN208-AO208&lt;0, " ",AN208-AO208)</f>
        <v>0</v>
      </c>
      <c r="AQ208" s="263">
        <f>IF(AN208-AO208&gt;0, " ", AO208-AN208)</f>
        <v>0</v>
      </c>
      <c r="AR208" s="184"/>
      <c r="AS208" s="263"/>
      <c r="AT208" s="36"/>
      <c r="AU208" s="36"/>
      <c r="AV208" s="36"/>
      <c r="AW208" s="36"/>
      <c r="AX208" s="36"/>
      <c r="AY208" s="36"/>
      <c r="AZ208" s="36"/>
    </row>
    <row r="209" spans="2:52" ht="6" customHeight="1" x14ac:dyDescent="0.2">
      <c r="C209" s="11"/>
      <c r="D209" s="11"/>
      <c r="E209" s="407"/>
      <c r="F209" s="307"/>
      <c r="G209" s="814"/>
      <c r="H209" s="295"/>
      <c r="I209" s="814"/>
      <c r="J209" s="815"/>
      <c r="K209" s="295"/>
      <c r="L209" s="815"/>
      <c r="M209" s="295"/>
      <c r="N209" s="408"/>
      <c r="O209" s="295"/>
      <c r="P209" s="295"/>
      <c r="Q209" s="814"/>
      <c r="R209" s="815"/>
      <c r="S209" s="295"/>
      <c r="T209" s="408"/>
      <c r="U209" s="184"/>
      <c r="V209" s="184"/>
      <c r="W209" s="262"/>
      <c r="X209" s="263"/>
      <c r="Y209" s="294"/>
      <c r="Z209" s="295"/>
      <c r="AA209" s="265"/>
      <c r="AB209" s="135"/>
      <c r="AC209" s="266"/>
      <c r="AD209" s="44"/>
      <c r="AE209" s="44"/>
      <c r="AF209" s="274"/>
      <c r="AG209" s="78"/>
      <c r="AH209" s="267"/>
      <c r="AI209" s="44"/>
      <c r="AJ209" s="266"/>
      <c r="AK209" s="135"/>
      <c r="AL209" s="213"/>
      <c r="AM209" s="213"/>
      <c r="AN209" s="262"/>
      <c r="AO209" s="263"/>
      <c r="AP209" s="184"/>
      <c r="AQ209" s="263"/>
      <c r="AR209" s="184"/>
      <c r="AS209" s="263"/>
      <c r="AT209" s="36"/>
      <c r="AU209" s="36"/>
      <c r="AV209" s="36"/>
      <c r="AW209" s="36"/>
      <c r="AX209" s="36"/>
      <c r="AY209" s="36"/>
      <c r="AZ209" s="36"/>
    </row>
    <row r="210" spans="2:52" x14ac:dyDescent="0.2">
      <c r="B210" s="4" t="s">
        <v>502</v>
      </c>
      <c r="C210" s="11"/>
      <c r="D210" s="11"/>
      <c r="E210" s="407"/>
      <c r="F210" s="307"/>
      <c r="G210" s="814"/>
      <c r="H210" s="295"/>
      <c r="I210" s="814"/>
      <c r="J210" s="815"/>
      <c r="K210" s="295"/>
      <c r="L210" s="815"/>
      <c r="M210" s="295"/>
      <c r="N210" s="408"/>
      <c r="O210" s="295"/>
      <c r="P210" s="295"/>
      <c r="Q210" s="814"/>
      <c r="R210" s="815"/>
      <c r="S210" s="295"/>
      <c r="T210" s="408"/>
      <c r="U210" s="184"/>
      <c r="V210" s="184"/>
      <c r="W210" s="262"/>
      <c r="X210" s="263"/>
      <c r="Y210" s="294"/>
      <c r="Z210" s="295"/>
      <c r="AA210" s="265"/>
      <c r="AB210" s="135"/>
      <c r="AC210" s="266"/>
      <c r="AD210" s="44"/>
      <c r="AE210" s="44"/>
      <c r="AF210" s="266"/>
      <c r="AG210" s="44"/>
      <c r="AH210" s="267"/>
      <c r="AI210" s="44"/>
      <c r="AJ210" s="266"/>
      <c r="AK210" s="135"/>
      <c r="AL210" s="213"/>
      <c r="AM210" s="213"/>
      <c r="AN210" s="262"/>
      <c r="AO210" s="263"/>
      <c r="AP210" s="184"/>
      <c r="AQ210" s="263"/>
      <c r="AR210" s="184"/>
      <c r="AS210" s="263"/>
      <c r="AT210" s="36"/>
      <c r="AU210" s="36"/>
      <c r="AV210" s="36"/>
      <c r="AW210" s="36"/>
      <c r="AX210" s="36"/>
      <c r="AY210" s="36"/>
      <c r="AZ210" s="36"/>
    </row>
    <row r="211" spans="2:52" ht="15" customHeight="1" x14ac:dyDescent="0.2">
      <c r="B211" s="900" t="s">
        <v>18</v>
      </c>
      <c r="C211" s="11" t="s">
        <v>362</v>
      </c>
      <c r="D211" s="11"/>
      <c r="E211" s="407"/>
      <c r="F211" s="307"/>
      <c r="G211" s="814"/>
      <c r="H211" s="295"/>
      <c r="I211" s="814"/>
      <c r="J211" s="815"/>
      <c r="K211" s="295"/>
      <c r="L211" s="815"/>
      <c r="M211" s="295"/>
      <c r="N211" s="408"/>
      <c r="O211" s="295"/>
      <c r="P211" s="295"/>
      <c r="Q211" s="814"/>
      <c r="R211" s="815"/>
      <c r="S211" s="295"/>
      <c r="T211" s="408"/>
      <c r="U211" s="184">
        <f t="shared" si="52"/>
        <v>0</v>
      </c>
      <c r="V211" s="184">
        <f t="shared" si="53"/>
        <v>0</v>
      </c>
      <c r="W211" s="262">
        <f t="shared" si="54"/>
        <v>0</v>
      </c>
      <c r="X211" s="263">
        <f t="shared" si="54"/>
        <v>0</v>
      </c>
      <c r="Y211" s="294"/>
      <c r="Z211" s="295"/>
      <c r="AA211" s="265"/>
      <c r="AB211" s="135">
        <f>'A. Revenue by Function'!N193</f>
        <v>0</v>
      </c>
      <c r="AC211" s="266"/>
      <c r="AD211" s="44"/>
      <c r="AE211" s="44"/>
      <c r="AF211" s="266"/>
      <c r="AG211" s="44"/>
      <c r="AH211" s="267"/>
      <c r="AI211" s="44"/>
      <c r="AJ211" s="266"/>
      <c r="AK211" s="135"/>
      <c r="AL211" s="213"/>
      <c r="AM211" s="213"/>
      <c r="AN211" s="262">
        <f>W211+Y211+AA211+AD211+AI211+AL211</f>
        <v>0</v>
      </c>
      <c r="AO211" s="263">
        <f>X211+Z211+AB211+AG211+AK211+AM211</f>
        <v>0</v>
      </c>
      <c r="AP211" s="184">
        <f>IF(AN211-AO211&lt;0, " ",AN211-AO211)</f>
        <v>0</v>
      </c>
      <c r="AQ211" s="263">
        <f>IF(AN211-AO211&gt;0, " ", AO211-AN211)</f>
        <v>0</v>
      </c>
      <c r="AR211" s="184"/>
      <c r="AS211" s="263"/>
      <c r="AT211" s="36"/>
      <c r="AU211" s="36"/>
      <c r="AV211" s="36"/>
      <c r="AW211" s="36"/>
      <c r="AX211" s="36"/>
      <c r="AY211" s="36"/>
      <c r="AZ211" s="36"/>
    </row>
    <row r="212" spans="2:52" ht="15" customHeight="1" x14ac:dyDescent="0.2">
      <c r="B212" s="900"/>
      <c r="C212" s="11" t="s">
        <v>363</v>
      </c>
      <c r="D212" s="11"/>
      <c r="E212" s="407"/>
      <c r="F212" s="307"/>
      <c r="G212" s="814"/>
      <c r="H212" s="295"/>
      <c r="I212" s="814"/>
      <c r="J212" s="815"/>
      <c r="K212" s="295"/>
      <c r="L212" s="815"/>
      <c r="M212" s="295"/>
      <c r="N212" s="408"/>
      <c r="O212" s="295"/>
      <c r="P212" s="295"/>
      <c r="Q212" s="814"/>
      <c r="R212" s="815"/>
      <c r="S212" s="295"/>
      <c r="T212" s="408"/>
      <c r="U212" s="184">
        <f t="shared" si="52"/>
        <v>0</v>
      </c>
      <c r="V212" s="184">
        <f t="shared" si="53"/>
        <v>0</v>
      </c>
      <c r="W212" s="262">
        <f t="shared" si="54"/>
        <v>0</v>
      </c>
      <c r="X212" s="263">
        <f t="shared" si="54"/>
        <v>0</v>
      </c>
      <c r="Y212" s="294"/>
      <c r="Z212" s="295"/>
      <c r="AA212" s="265"/>
      <c r="AB212" s="135">
        <f>'A. Revenue by Function'!N194</f>
        <v>0</v>
      </c>
      <c r="AC212" s="266"/>
      <c r="AD212" s="44"/>
      <c r="AE212" s="44"/>
      <c r="AF212" s="266"/>
      <c r="AG212" s="44"/>
      <c r="AH212" s="267"/>
      <c r="AI212" s="44"/>
      <c r="AJ212" s="266" t="str">
        <f>'I. Eliminations-Consolidations'!A250</f>
        <v>I.7</v>
      </c>
      <c r="AK212" s="135">
        <f>'I. Eliminations-Consolidations'!L278</f>
        <v>0</v>
      </c>
      <c r="AL212" s="213"/>
      <c r="AM212" s="213"/>
      <c r="AN212" s="262">
        <f>W212+Y212+AA212+AD212+AI212+AL212</f>
        <v>0</v>
      </c>
      <c r="AO212" s="263">
        <f>X212+Z212+AB212+AG212+AK212+AM212</f>
        <v>0</v>
      </c>
      <c r="AP212" s="184" t="str">
        <f>IF(AN212-AO212&lt;=0, " ",AN212-AO212)</f>
        <v xml:space="preserve"> </v>
      </c>
      <c r="AQ212" s="263" t="str">
        <f>IF(AN212-AO212&gt;=0, " ", AO212-AN212)</f>
        <v xml:space="preserve"> </v>
      </c>
      <c r="AR212" s="184"/>
      <c r="AS212" s="263"/>
      <c r="AT212" s="36"/>
      <c r="AU212" s="36"/>
      <c r="AV212" s="36"/>
      <c r="AW212" s="36"/>
      <c r="AX212" s="36"/>
      <c r="AY212" s="36"/>
      <c r="AZ212" s="36"/>
    </row>
    <row r="213" spans="2:52" ht="15" customHeight="1" x14ac:dyDescent="0.2">
      <c r="B213" s="900"/>
      <c r="C213" t="s">
        <v>364</v>
      </c>
      <c r="E213" s="299"/>
      <c r="F213" s="403"/>
      <c r="G213" s="812"/>
      <c r="H213" s="293"/>
      <c r="I213" s="812"/>
      <c r="J213" s="813"/>
      <c r="K213" s="293"/>
      <c r="L213" s="813"/>
      <c r="M213" s="293"/>
      <c r="N213" s="404"/>
      <c r="O213" s="293"/>
      <c r="P213" s="293"/>
      <c r="Q213" s="812"/>
      <c r="R213" s="813"/>
      <c r="S213" s="293"/>
      <c r="T213" s="404"/>
      <c r="U213" s="184">
        <f t="shared" si="52"/>
        <v>0</v>
      </c>
      <c r="V213" s="184">
        <f t="shared" si="53"/>
        <v>0</v>
      </c>
      <c r="W213" s="262">
        <f t="shared" si="54"/>
        <v>0</v>
      </c>
      <c r="X213" s="263">
        <f t="shared" si="54"/>
        <v>0</v>
      </c>
      <c r="Y213" s="294"/>
      <c r="Z213" s="295"/>
      <c r="AA213" s="265"/>
      <c r="AB213" s="135">
        <f>'A. Revenue by Function'!N195</f>
        <v>0</v>
      </c>
      <c r="AC213" s="266"/>
      <c r="AD213" s="44"/>
      <c r="AE213" s="44"/>
      <c r="AF213" s="266"/>
      <c r="AG213" s="44"/>
      <c r="AH213" s="267"/>
      <c r="AI213" s="44"/>
      <c r="AJ213" s="266" t="str">
        <f>'I. Eliminations-Consolidations'!A250</f>
        <v>I.7</v>
      </c>
      <c r="AK213" s="135">
        <f>'I. Eliminations-Consolidations'!L295</f>
        <v>0</v>
      </c>
      <c r="AL213" s="213"/>
      <c r="AM213" s="213"/>
      <c r="AN213" s="262">
        <f>W213+Y213+AA213+AD213+AI213+AL213</f>
        <v>0</v>
      </c>
      <c r="AO213" s="263">
        <f>X213+Z213+AB213+AG213+AK213+AM213</f>
        <v>0</v>
      </c>
      <c r="AP213" s="184">
        <f>IF(AN213-AO213&lt;0, " ",AN213-AO213)</f>
        <v>0</v>
      </c>
      <c r="AQ213" s="263">
        <f>IF(AN213-AO213&gt;0, " ", AO213-AN213)</f>
        <v>0</v>
      </c>
      <c r="AR213" s="184"/>
      <c r="AS213" s="263"/>
      <c r="AT213" s="36"/>
      <c r="AU213" s="36"/>
      <c r="AV213" s="36"/>
      <c r="AW213" s="36"/>
      <c r="AX213" s="36"/>
      <c r="AY213" s="36"/>
      <c r="AZ213" s="36"/>
    </row>
    <row r="214" spans="2:52" ht="4.5" customHeight="1" x14ac:dyDescent="0.2">
      <c r="E214" s="299"/>
      <c r="F214" s="403"/>
      <c r="G214" s="812"/>
      <c r="H214" s="293"/>
      <c r="I214" s="812"/>
      <c r="J214" s="813"/>
      <c r="K214" s="293"/>
      <c r="L214" s="813"/>
      <c r="M214" s="293"/>
      <c r="N214" s="404"/>
      <c r="O214" s="293"/>
      <c r="P214" s="293"/>
      <c r="Q214" s="812"/>
      <c r="R214" s="813"/>
      <c r="S214" s="293"/>
      <c r="T214" s="404"/>
      <c r="U214" s="184"/>
      <c r="V214" s="184"/>
      <c r="W214" s="262"/>
      <c r="X214" s="263"/>
      <c r="Y214" s="292"/>
      <c r="Z214" s="293"/>
      <c r="AA214" s="261"/>
      <c r="AB214" s="134"/>
      <c r="AC214" s="257"/>
      <c r="AD214" s="45"/>
      <c r="AE214" s="45"/>
      <c r="AF214" s="257"/>
      <c r="AG214" s="45"/>
      <c r="AH214" s="256"/>
      <c r="AI214" s="45"/>
      <c r="AJ214" s="257"/>
      <c r="AK214" s="134"/>
      <c r="AL214" s="211"/>
      <c r="AM214" s="211"/>
      <c r="AN214" s="262"/>
      <c r="AO214" s="263"/>
      <c r="AP214" s="184"/>
      <c r="AQ214" s="263"/>
      <c r="AR214" s="184"/>
      <c r="AS214" s="263"/>
      <c r="AT214" s="36"/>
      <c r="AU214" s="36"/>
      <c r="AV214" s="36"/>
      <c r="AW214" s="36"/>
      <c r="AX214" s="36"/>
      <c r="AY214" s="36"/>
      <c r="AZ214" s="36"/>
    </row>
    <row r="215" spans="2:52" x14ac:dyDescent="0.2">
      <c r="B215" s="4" t="s">
        <v>503</v>
      </c>
      <c r="E215" s="299"/>
      <c r="F215" s="403"/>
      <c r="G215" s="812"/>
      <c r="H215" s="293"/>
      <c r="I215" s="812"/>
      <c r="J215" s="813"/>
      <c r="K215" s="293"/>
      <c r="L215" s="813"/>
      <c r="M215" s="293"/>
      <c r="N215" s="404"/>
      <c r="O215" s="293"/>
      <c r="P215" s="293"/>
      <c r="Q215" s="812"/>
      <c r="R215" s="813"/>
      <c r="S215" s="293"/>
      <c r="T215" s="404"/>
      <c r="U215" s="184"/>
      <c r="V215" s="184"/>
      <c r="W215" s="262"/>
      <c r="X215" s="263"/>
      <c r="Y215" s="292"/>
      <c r="Z215" s="293"/>
      <c r="AA215" s="261"/>
      <c r="AB215" s="134"/>
      <c r="AC215" s="257"/>
      <c r="AD215" s="45"/>
      <c r="AE215" s="45"/>
      <c r="AF215" s="257"/>
      <c r="AG215" s="45"/>
      <c r="AH215" s="256"/>
      <c r="AI215" s="45"/>
      <c r="AJ215" s="257"/>
      <c r="AK215" s="134"/>
      <c r="AL215" s="211"/>
      <c r="AM215" s="211"/>
      <c r="AN215" s="262"/>
      <c r="AO215" s="263"/>
      <c r="AP215" s="184"/>
      <c r="AQ215" s="263"/>
      <c r="AR215" s="184"/>
      <c r="AS215" s="263"/>
      <c r="AT215" s="36"/>
      <c r="AU215" s="36"/>
      <c r="AV215" s="36"/>
      <c r="AW215" s="36"/>
      <c r="AX215" s="36"/>
      <c r="AY215" s="36"/>
      <c r="AZ215" s="36"/>
    </row>
    <row r="216" spans="2:52" ht="15" customHeight="1" x14ac:dyDescent="0.2">
      <c r="B216" s="900" t="s">
        <v>18</v>
      </c>
      <c r="C216" t="s">
        <v>362</v>
      </c>
      <c r="E216" s="299"/>
      <c r="F216" s="403"/>
      <c r="G216" s="812"/>
      <c r="H216" s="293"/>
      <c r="I216" s="812"/>
      <c r="J216" s="813"/>
      <c r="K216" s="293"/>
      <c r="L216" s="813"/>
      <c r="M216" s="293"/>
      <c r="N216" s="404"/>
      <c r="O216" s="293"/>
      <c r="P216" s="293"/>
      <c r="Q216" s="812"/>
      <c r="R216" s="813"/>
      <c r="S216" s="293"/>
      <c r="T216" s="404"/>
      <c r="U216" s="184">
        <f t="shared" si="52"/>
        <v>0</v>
      </c>
      <c r="V216" s="184">
        <f t="shared" si="53"/>
        <v>0</v>
      </c>
      <c r="W216" s="262">
        <f t="shared" si="54"/>
        <v>0</v>
      </c>
      <c r="X216" s="263">
        <f t="shared" si="54"/>
        <v>0</v>
      </c>
      <c r="Y216" s="292"/>
      <c r="Z216" s="293"/>
      <c r="AA216" s="261"/>
      <c r="AB216" s="134">
        <f>'A. Revenue by Function'!N197</f>
        <v>0</v>
      </c>
      <c r="AC216" s="257"/>
      <c r="AD216" s="45"/>
      <c r="AE216" s="45"/>
      <c r="AF216" s="257"/>
      <c r="AG216" s="45"/>
      <c r="AH216" s="256" t="str">
        <f>'I. Eliminations-Consolidations'!A229</f>
        <v>I.5</v>
      </c>
      <c r="AI216" s="45">
        <f>'I. Eliminations-Consolidations'!J229</f>
        <v>0</v>
      </c>
      <c r="AJ216" s="257"/>
      <c r="AK216" s="134"/>
      <c r="AL216" s="211"/>
      <c r="AM216" s="211"/>
      <c r="AN216" s="262">
        <f>W216+Y216+AA216+AD216+AI216+AL216</f>
        <v>0</v>
      </c>
      <c r="AO216" s="263">
        <f>X216+Z216+AB216+AG216+AK216+AM216</f>
        <v>0</v>
      </c>
      <c r="AP216" s="184">
        <f>IF(AN216-AO216&lt;0, " ",AN216-AO216)</f>
        <v>0</v>
      </c>
      <c r="AQ216" s="263">
        <f>IF(AN216-AO216&gt;0, " ", AO216-AN216)</f>
        <v>0</v>
      </c>
      <c r="AR216" s="184"/>
      <c r="AS216" s="263"/>
      <c r="AT216" s="36"/>
      <c r="AU216" s="36"/>
      <c r="AV216" s="36"/>
      <c r="AW216" s="36"/>
      <c r="AX216" s="36"/>
      <c r="AY216" s="36"/>
      <c r="AZ216" s="36"/>
    </row>
    <row r="217" spans="2:52" ht="15" customHeight="1" x14ac:dyDescent="0.2">
      <c r="B217" s="900"/>
      <c r="C217" s="11" t="s">
        <v>363</v>
      </c>
      <c r="D217" s="11"/>
      <c r="E217" s="407"/>
      <c r="F217" s="307"/>
      <c r="G217" s="814"/>
      <c r="H217" s="295"/>
      <c r="I217" s="814"/>
      <c r="J217" s="815"/>
      <c r="K217" s="295"/>
      <c r="L217" s="815"/>
      <c r="M217" s="295"/>
      <c r="N217" s="408"/>
      <c r="O217" s="295"/>
      <c r="P217" s="295"/>
      <c r="Q217" s="814"/>
      <c r="R217" s="815"/>
      <c r="S217" s="295"/>
      <c r="T217" s="408"/>
      <c r="U217" s="184">
        <f t="shared" si="52"/>
        <v>0</v>
      </c>
      <c r="V217" s="184">
        <f t="shared" si="53"/>
        <v>0</v>
      </c>
      <c r="W217" s="262">
        <f t="shared" si="54"/>
        <v>0</v>
      </c>
      <c r="X217" s="263">
        <f t="shared" si="54"/>
        <v>0</v>
      </c>
      <c r="Y217" s="294"/>
      <c r="Z217" s="295"/>
      <c r="AA217" s="265"/>
      <c r="AB217" s="135">
        <f>'A. Revenue by Function'!N198</f>
        <v>0</v>
      </c>
      <c r="AC217" s="266"/>
      <c r="AD217" s="44"/>
      <c r="AE217" s="44"/>
      <c r="AF217" s="266"/>
      <c r="AG217" s="44"/>
      <c r="AH217" s="267"/>
      <c r="AI217" s="44"/>
      <c r="AJ217" s="266" t="str">
        <f>'I. Eliminations-Consolidations'!A250</f>
        <v>I.7</v>
      </c>
      <c r="AK217" s="135">
        <f>'I. Eliminations-Consolidations'!L279</f>
        <v>0</v>
      </c>
      <c r="AL217" s="213"/>
      <c r="AM217" s="213"/>
      <c r="AN217" s="262">
        <f>W217+Y217+AA217+AD217+AI217+AL217</f>
        <v>0</v>
      </c>
      <c r="AO217" s="263">
        <f>X217+Z217+AB217+AG217+AK217+AM217</f>
        <v>0</v>
      </c>
      <c r="AP217" s="184" t="str">
        <f>IF(AN217-AO217&lt;=0, " ",AN217-AO217)</f>
        <v xml:space="preserve"> </v>
      </c>
      <c r="AQ217" s="263" t="str">
        <f>IF(AN217-AO217&gt;=0, " ", AO217-AN217)</f>
        <v xml:space="preserve"> </v>
      </c>
      <c r="AR217" s="184"/>
      <c r="AS217" s="263"/>
      <c r="AT217" s="36"/>
      <c r="AU217" s="36"/>
      <c r="AV217" s="36"/>
      <c r="AW217" s="36"/>
      <c r="AX217" s="36"/>
      <c r="AY217" s="36"/>
      <c r="AZ217" s="36"/>
    </row>
    <row r="218" spans="2:52" ht="15" customHeight="1" x14ac:dyDescent="0.2">
      <c r="B218" s="900"/>
      <c r="C218" s="11" t="s">
        <v>364</v>
      </c>
      <c r="D218" s="11"/>
      <c r="E218" s="407"/>
      <c r="F218" s="307"/>
      <c r="G218" s="814"/>
      <c r="H218" s="295"/>
      <c r="I218" s="814"/>
      <c r="J218" s="815"/>
      <c r="K218" s="295"/>
      <c r="L218" s="815"/>
      <c r="M218" s="295"/>
      <c r="N218" s="408"/>
      <c r="O218" s="295"/>
      <c r="P218" s="295"/>
      <c r="Q218" s="814"/>
      <c r="R218" s="815"/>
      <c r="S218" s="295"/>
      <c r="T218" s="408"/>
      <c r="U218" s="184">
        <f t="shared" ref="U218:U298" si="55">O218+Q218+S218</f>
        <v>0</v>
      </c>
      <c r="V218" s="184">
        <f t="shared" ref="V218:V298" si="56">P218+R218+T218</f>
        <v>0</v>
      </c>
      <c r="W218" s="262">
        <f t="shared" si="54"/>
        <v>0</v>
      </c>
      <c r="X218" s="263">
        <f t="shared" si="54"/>
        <v>0</v>
      </c>
      <c r="Y218" s="294"/>
      <c r="Z218" s="295"/>
      <c r="AA218" s="265"/>
      <c r="AB218" s="135">
        <f>'A. Revenue by Function'!N199</f>
        <v>0</v>
      </c>
      <c r="AC218" s="266"/>
      <c r="AD218" s="44"/>
      <c r="AE218" s="44"/>
      <c r="AF218" s="266"/>
      <c r="AG218" s="44"/>
      <c r="AH218" s="267"/>
      <c r="AI218" s="44"/>
      <c r="AJ218" s="266" t="str">
        <f>'I. Eliminations-Consolidations'!A250</f>
        <v>I.7</v>
      </c>
      <c r="AK218" s="135">
        <f>'I. Eliminations-Consolidations'!L296</f>
        <v>0</v>
      </c>
      <c r="AL218" s="213"/>
      <c r="AM218" s="213"/>
      <c r="AN218" s="262">
        <f>W218+Y218+AA218+AD218+AI218+AL218</f>
        <v>0</v>
      </c>
      <c r="AO218" s="263">
        <f>X218+Z218+AB218+AG218+AK218+AM218</f>
        <v>0</v>
      </c>
      <c r="AP218" s="184">
        <f>IF(AN218-AO218&lt;0, " ",AN218-AO218)</f>
        <v>0</v>
      </c>
      <c r="AQ218" s="263">
        <f>IF(AN218-AO218&gt;0, " ", AO218-AN218)</f>
        <v>0</v>
      </c>
      <c r="AR218" s="184"/>
      <c r="AS218" s="263"/>
      <c r="AT218" s="36"/>
      <c r="AU218" s="36"/>
      <c r="AV218" s="36"/>
      <c r="AW218" s="36"/>
      <c r="AX218" s="36"/>
      <c r="AY218" s="36"/>
      <c r="AZ218" s="36"/>
    </row>
    <row r="219" spans="2:52" ht="4.5" customHeight="1" x14ac:dyDescent="0.2">
      <c r="B219" s="95"/>
      <c r="C219" s="11"/>
      <c r="D219" s="11"/>
      <c r="E219" s="407"/>
      <c r="F219" s="307"/>
      <c r="G219" s="814"/>
      <c r="H219" s="295"/>
      <c r="I219" s="814"/>
      <c r="J219" s="815"/>
      <c r="K219" s="295"/>
      <c r="L219" s="815"/>
      <c r="M219" s="295"/>
      <c r="N219" s="408"/>
      <c r="O219" s="295"/>
      <c r="P219" s="295"/>
      <c r="Q219" s="814"/>
      <c r="R219" s="815"/>
      <c r="S219" s="295"/>
      <c r="T219" s="408"/>
      <c r="U219" s="184"/>
      <c r="V219" s="184"/>
      <c r="W219" s="262"/>
      <c r="X219" s="263"/>
      <c r="Y219" s="294"/>
      <c r="Z219" s="295"/>
      <c r="AA219" s="265"/>
      <c r="AB219" s="135"/>
      <c r="AC219" s="266"/>
      <c r="AD219" s="44"/>
      <c r="AE219" s="44"/>
      <c r="AF219" s="266"/>
      <c r="AG219" s="78"/>
      <c r="AH219" s="267"/>
      <c r="AI219" s="44"/>
      <c r="AJ219" s="266"/>
      <c r="AK219" s="135"/>
      <c r="AL219" s="213"/>
      <c r="AM219" s="213"/>
      <c r="AN219" s="262"/>
      <c r="AO219" s="263"/>
      <c r="AP219" s="184"/>
      <c r="AQ219" s="263"/>
      <c r="AR219" s="184"/>
      <c r="AS219" s="263"/>
      <c r="AT219" s="36"/>
      <c r="AU219" s="36"/>
      <c r="AV219" s="36"/>
      <c r="AW219" s="36"/>
      <c r="AX219" s="36"/>
      <c r="AY219" s="36"/>
      <c r="AZ219" s="36"/>
    </row>
    <row r="220" spans="2:52" ht="12.75" customHeight="1" x14ac:dyDescent="0.2">
      <c r="B220" s="96" t="s">
        <v>504</v>
      </c>
      <c r="C220" s="11"/>
      <c r="D220" s="11"/>
      <c r="E220" s="407"/>
      <c r="F220" s="307"/>
      <c r="G220" s="814"/>
      <c r="H220" s="295"/>
      <c r="I220" s="814"/>
      <c r="J220" s="815"/>
      <c r="K220" s="295"/>
      <c r="L220" s="815"/>
      <c r="M220" s="295"/>
      <c r="N220" s="408"/>
      <c r="O220" s="295"/>
      <c r="P220" s="295"/>
      <c r="Q220" s="814"/>
      <c r="R220" s="815"/>
      <c r="S220" s="295"/>
      <c r="T220" s="408"/>
      <c r="U220" s="184"/>
      <c r="V220" s="184"/>
      <c r="W220" s="262"/>
      <c r="X220" s="263"/>
      <c r="Y220" s="294"/>
      <c r="Z220" s="295"/>
      <c r="AA220" s="265"/>
      <c r="AB220" s="135"/>
      <c r="AC220" s="266"/>
      <c r="AD220" s="44"/>
      <c r="AE220" s="44"/>
      <c r="AF220" s="266"/>
      <c r="AG220" s="78"/>
      <c r="AH220" s="267"/>
      <c r="AI220" s="44"/>
      <c r="AJ220" s="266"/>
      <c r="AK220" s="135"/>
      <c r="AL220" s="213"/>
      <c r="AM220" s="213"/>
      <c r="AN220" s="262"/>
      <c r="AO220" s="263"/>
      <c r="AP220" s="184"/>
      <c r="AQ220" s="263"/>
      <c r="AR220" s="184"/>
      <c r="AS220" s="263"/>
      <c r="AT220" s="36"/>
      <c r="AU220" s="36"/>
      <c r="AV220" s="36"/>
      <c r="AW220" s="36"/>
      <c r="AX220" s="36"/>
      <c r="AY220" s="36"/>
      <c r="AZ220" s="36"/>
    </row>
    <row r="221" spans="2:52" ht="15" customHeight="1" x14ac:dyDescent="0.2">
      <c r="B221" s="900" t="s">
        <v>18</v>
      </c>
      <c r="C221" s="11" t="s">
        <v>362</v>
      </c>
      <c r="D221" s="11"/>
      <c r="E221" s="407"/>
      <c r="F221" s="307"/>
      <c r="G221" s="814"/>
      <c r="H221" s="295"/>
      <c r="I221" s="814"/>
      <c r="J221" s="815"/>
      <c r="K221" s="295"/>
      <c r="L221" s="815"/>
      <c r="M221" s="295"/>
      <c r="N221" s="408"/>
      <c r="O221" s="295"/>
      <c r="P221" s="295"/>
      <c r="Q221" s="814"/>
      <c r="R221" s="815"/>
      <c r="S221" s="295"/>
      <c r="T221" s="408"/>
      <c r="U221" s="184">
        <f t="shared" si="55"/>
        <v>0</v>
      </c>
      <c r="V221" s="184">
        <f t="shared" si="56"/>
        <v>0</v>
      </c>
      <c r="W221" s="262">
        <f t="shared" ref="W221:X298" si="57">E221+G221+I221+K221+M221+U221</f>
        <v>0</v>
      </c>
      <c r="X221" s="263">
        <f t="shared" si="57"/>
        <v>0</v>
      </c>
      <c r="Y221" s="294"/>
      <c r="Z221" s="295"/>
      <c r="AA221" s="265"/>
      <c r="AB221" s="135">
        <f>'A. Revenue by Function'!N201</f>
        <v>0</v>
      </c>
      <c r="AC221" s="266"/>
      <c r="AD221" s="44"/>
      <c r="AE221" s="44"/>
      <c r="AF221" s="266"/>
      <c r="AG221" s="78"/>
      <c r="AH221" s="267"/>
      <c r="AI221" s="44"/>
      <c r="AJ221" s="266"/>
      <c r="AK221" s="135"/>
      <c r="AL221" s="213"/>
      <c r="AM221" s="213"/>
      <c r="AN221" s="262">
        <f>W221+Y221+AA221+AD221+AI221+AL221</f>
        <v>0</v>
      </c>
      <c r="AO221" s="263">
        <f>X221+Z221+AB221+AG221+AK221+AM221</f>
        <v>0</v>
      </c>
      <c r="AP221" s="184">
        <f>IF(AN221-AO221&lt;0, " ",AN221-AO221)</f>
        <v>0</v>
      </c>
      <c r="AQ221" s="263">
        <f>IF(AN221-AO221&gt;0, " ", AO221-AN221)</f>
        <v>0</v>
      </c>
      <c r="AR221" s="184"/>
      <c r="AS221" s="263"/>
      <c r="AT221" s="36"/>
      <c r="AU221" s="36"/>
      <c r="AV221" s="36"/>
      <c r="AW221" s="36"/>
      <c r="AX221" s="36"/>
      <c r="AY221" s="36"/>
      <c r="AZ221" s="36"/>
    </row>
    <row r="222" spans="2:52" ht="15" customHeight="1" x14ac:dyDescent="0.2">
      <c r="B222" s="900"/>
      <c r="C222" s="11" t="s">
        <v>363</v>
      </c>
      <c r="D222" s="11"/>
      <c r="E222" s="407"/>
      <c r="F222" s="307"/>
      <c r="G222" s="814"/>
      <c r="H222" s="295"/>
      <c r="I222" s="814"/>
      <c r="J222" s="815"/>
      <c r="K222" s="295"/>
      <c r="L222" s="815"/>
      <c r="M222" s="295"/>
      <c r="N222" s="408"/>
      <c r="O222" s="295"/>
      <c r="P222" s="295"/>
      <c r="Q222" s="814"/>
      <c r="R222" s="815"/>
      <c r="S222" s="295"/>
      <c r="T222" s="408"/>
      <c r="U222" s="184">
        <f t="shared" si="55"/>
        <v>0</v>
      </c>
      <c r="V222" s="184">
        <f t="shared" si="56"/>
        <v>0</v>
      </c>
      <c r="W222" s="262">
        <f t="shared" si="57"/>
        <v>0</v>
      </c>
      <c r="X222" s="263">
        <f t="shared" si="57"/>
        <v>0</v>
      </c>
      <c r="Y222" s="294"/>
      <c r="Z222" s="295"/>
      <c r="AA222" s="265"/>
      <c r="AB222" s="135">
        <f>'A. Revenue by Function'!N202</f>
        <v>0</v>
      </c>
      <c r="AC222" s="266"/>
      <c r="AD222" s="44"/>
      <c r="AE222" s="44"/>
      <c r="AF222" s="266"/>
      <c r="AG222" s="78"/>
      <c r="AH222" s="267"/>
      <c r="AI222" s="44"/>
      <c r="AJ222" s="266" t="str">
        <f>'I. Eliminations-Consolidations'!$A$250</f>
        <v>I.7</v>
      </c>
      <c r="AK222" s="135">
        <f>'I. Eliminations-Consolidations'!L280</f>
        <v>0</v>
      </c>
      <c r="AL222" s="213"/>
      <c r="AM222" s="213"/>
      <c r="AN222" s="262">
        <f>W222+Y222+AA222+AD222+AI222+AL222</f>
        <v>0</v>
      </c>
      <c r="AO222" s="263">
        <f>X222+Z222+AB222+AG222+AK222+AM222</f>
        <v>0</v>
      </c>
      <c r="AP222" s="184" t="str">
        <f>IF(AN222-AO222&lt;=0, " ",AN222-AO222)</f>
        <v xml:space="preserve"> </v>
      </c>
      <c r="AQ222" s="263" t="str">
        <f>IF(AN222-AO222&gt;=0, " ", AO222-AN222)</f>
        <v xml:space="preserve"> </v>
      </c>
      <c r="AR222" s="184"/>
      <c r="AS222" s="263"/>
      <c r="AT222" s="36"/>
      <c r="AU222" s="36"/>
      <c r="AV222" s="36"/>
      <c r="AW222" s="36"/>
      <c r="AX222" s="36"/>
      <c r="AY222" s="36"/>
      <c r="AZ222" s="36"/>
    </row>
    <row r="223" spans="2:52" ht="15" customHeight="1" x14ac:dyDescent="0.2">
      <c r="B223" s="900"/>
      <c r="C223" t="s">
        <v>364</v>
      </c>
      <c r="E223" s="299"/>
      <c r="F223" s="403"/>
      <c r="G223" s="812"/>
      <c r="H223" s="293"/>
      <c r="I223" s="812"/>
      <c r="J223" s="813"/>
      <c r="K223" s="293"/>
      <c r="L223" s="813"/>
      <c r="M223" s="293"/>
      <c r="N223" s="404"/>
      <c r="O223" s="293"/>
      <c r="P223" s="293"/>
      <c r="Q223" s="812"/>
      <c r="R223" s="813"/>
      <c r="S223" s="293"/>
      <c r="T223" s="404"/>
      <c r="U223" s="184">
        <f t="shared" si="55"/>
        <v>0</v>
      </c>
      <c r="V223" s="184">
        <f t="shared" si="56"/>
        <v>0</v>
      </c>
      <c r="W223" s="262">
        <f t="shared" si="57"/>
        <v>0</v>
      </c>
      <c r="X223" s="263">
        <f t="shared" si="57"/>
        <v>0</v>
      </c>
      <c r="Y223" s="292"/>
      <c r="Z223" s="293"/>
      <c r="AA223" s="261"/>
      <c r="AB223" s="134">
        <f>'A. Revenue by Function'!N203</f>
        <v>0</v>
      </c>
      <c r="AC223" s="257"/>
      <c r="AD223" s="45"/>
      <c r="AE223" s="45"/>
      <c r="AF223" s="257"/>
      <c r="AH223" s="256"/>
      <c r="AI223" s="45"/>
      <c r="AJ223" s="257" t="str">
        <f>'I. Eliminations-Consolidations'!A250</f>
        <v>I.7</v>
      </c>
      <c r="AK223" s="134">
        <f>'I. Eliminations-Consolidations'!L297</f>
        <v>0</v>
      </c>
      <c r="AL223" s="211"/>
      <c r="AM223" s="211"/>
      <c r="AN223" s="262">
        <f>W223+Y223+AA223+AD223+AI223+AL223</f>
        <v>0</v>
      </c>
      <c r="AO223" s="263">
        <f>X223+Z223+AB223+AG223+AK223+AM223</f>
        <v>0</v>
      </c>
      <c r="AP223" s="184">
        <f>IF(AN223-AO223&lt;0, " ",AN223-AO223)</f>
        <v>0</v>
      </c>
      <c r="AQ223" s="263">
        <f>IF(AN223-AO223&gt;0, " ", AO223-AN223)</f>
        <v>0</v>
      </c>
      <c r="AR223" s="184"/>
      <c r="AS223" s="263"/>
      <c r="AT223" s="36"/>
      <c r="AU223" s="36"/>
      <c r="AV223" s="36"/>
      <c r="AW223" s="36"/>
      <c r="AX223" s="36"/>
      <c r="AY223" s="36"/>
      <c r="AZ223" s="36"/>
    </row>
    <row r="224" spans="2:52" ht="4.5" customHeight="1" x14ac:dyDescent="0.2">
      <c r="B224" s="95"/>
      <c r="E224" s="299"/>
      <c r="F224" s="403"/>
      <c r="G224" s="812"/>
      <c r="H224" s="293"/>
      <c r="I224" s="812"/>
      <c r="J224" s="813"/>
      <c r="K224" s="293"/>
      <c r="L224" s="813"/>
      <c r="M224" s="293"/>
      <c r="N224" s="404"/>
      <c r="O224" s="293"/>
      <c r="P224" s="293"/>
      <c r="Q224" s="812"/>
      <c r="R224" s="813"/>
      <c r="S224" s="293"/>
      <c r="T224" s="404"/>
      <c r="U224" s="184"/>
      <c r="V224" s="184"/>
      <c r="W224" s="262"/>
      <c r="X224" s="263"/>
      <c r="Y224" s="292"/>
      <c r="Z224" s="293"/>
      <c r="AA224" s="261"/>
      <c r="AB224" s="134"/>
      <c r="AC224" s="257"/>
      <c r="AD224" s="45"/>
      <c r="AE224" s="45"/>
      <c r="AF224" s="257"/>
      <c r="AH224" s="256"/>
      <c r="AI224" s="45"/>
      <c r="AJ224" s="257"/>
      <c r="AK224" s="134"/>
      <c r="AL224" s="211"/>
      <c r="AM224" s="211"/>
      <c r="AN224" s="262"/>
      <c r="AO224" s="263"/>
      <c r="AP224" s="184"/>
      <c r="AQ224" s="263"/>
      <c r="AR224" s="184"/>
      <c r="AS224" s="263"/>
      <c r="AT224" s="36"/>
      <c r="AU224" s="36"/>
      <c r="AV224" s="36"/>
      <c r="AW224" s="36"/>
      <c r="AX224" s="36"/>
      <c r="AY224" s="36"/>
      <c r="AZ224" s="36"/>
    </row>
    <row r="225" spans="2:52" ht="12.75" customHeight="1" x14ac:dyDescent="0.2">
      <c r="B225" s="96" t="s">
        <v>506</v>
      </c>
      <c r="C225" s="11"/>
      <c r="D225" s="11"/>
      <c r="E225" s="407"/>
      <c r="F225" s="307"/>
      <c r="G225" s="814"/>
      <c r="H225" s="295"/>
      <c r="I225" s="814"/>
      <c r="J225" s="815"/>
      <c r="K225" s="295"/>
      <c r="L225" s="815"/>
      <c r="M225" s="295"/>
      <c r="N225" s="408"/>
      <c r="O225" s="295"/>
      <c r="P225" s="295"/>
      <c r="Q225" s="814"/>
      <c r="R225" s="815"/>
      <c r="S225" s="295"/>
      <c r="T225" s="408"/>
      <c r="U225" s="184"/>
      <c r="V225" s="184"/>
      <c r="W225" s="262"/>
      <c r="X225" s="263"/>
      <c r="Y225" s="294"/>
      <c r="Z225" s="295"/>
      <c r="AA225" s="265"/>
      <c r="AB225" s="135"/>
      <c r="AC225" s="266"/>
      <c r="AD225" s="44"/>
      <c r="AE225" s="44"/>
      <c r="AF225" s="266"/>
      <c r="AG225" s="78"/>
      <c r="AH225" s="267"/>
      <c r="AI225" s="44"/>
      <c r="AJ225" s="266"/>
      <c r="AK225" s="135"/>
      <c r="AL225" s="213"/>
      <c r="AM225" s="213"/>
      <c r="AN225" s="262"/>
      <c r="AO225" s="263"/>
      <c r="AP225" s="184"/>
      <c r="AQ225" s="263"/>
      <c r="AR225" s="184"/>
      <c r="AS225" s="263"/>
      <c r="AT225" s="36"/>
      <c r="AU225" s="36"/>
      <c r="AV225" s="36"/>
      <c r="AW225" s="36"/>
      <c r="AX225" s="36"/>
      <c r="AY225" s="36"/>
      <c r="AZ225" s="36"/>
    </row>
    <row r="226" spans="2:52" ht="15" customHeight="1" x14ac:dyDescent="0.2">
      <c r="B226" s="900" t="s">
        <v>18</v>
      </c>
      <c r="C226" s="11" t="s">
        <v>362</v>
      </c>
      <c r="D226" s="11"/>
      <c r="E226" s="407"/>
      <c r="F226" s="307"/>
      <c r="G226" s="814"/>
      <c r="H226" s="295"/>
      <c r="I226" s="814"/>
      <c r="J226" s="815"/>
      <c r="K226" s="295"/>
      <c r="L226" s="815"/>
      <c r="M226" s="295"/>
      <c r="N226" s="408"/>
      <c r="O226" s="295"/>
      <c r="P226" s="295"/>
      <c r="Q226" s="814"/>
      <c r="R226" s="815"/>
      <c r="S226" s="295"/>
      <c r="T226" s="408"/>
      <c r="U226" s="184">
        <f t="shared" ref="U226:V228" si="58">O226+Q226+S226</f>
        <v>0</v>
      </c>
      <c r="V226" s="184">
        <f t="shared" si="58"/>
        <v>0</v>
      </c>
      <c r="W226" s="262">
        <f t="shared" ref="W226:X228" si="59">E226+G226+I226+K226+M226+U226</f>
        <v>0</v>
      </c>
      <c r="X226" s="263">
        <f t="shared" si="59"/>
        <v>0</v>
      </c>
      <c r="Y226" s="294"/>
      <c r="Z226" s="295"/>
      <c r="AA226" s="265"/>
      <c r="AB226" s="135">
        <f>'A. Revenue by Function'!N205</f>
        <v>0</v>
      </c>
      <c r="AC226" s="266"/>
      <c r="AD226" s="44"/>
      <c r="AE226" s="44"/>
      <c r="AF226" s="266"/>
      <c r="AG226" s="78"/>
      <c r="AH226" s="267"/>
      <c r="AI226" s="44"/>
      <c r="AJ226" s="266"/>
      <c r="AK226" s="135"/>
      <c r="AL226" s="213"/>
      <c r="AM226" s="213"/>
      <c r="AN226" s="262">
        <f>W226+Y226+AA226+AD226+AI226+AL226</f>
        <v>0</v>
      </c>
      <c r="AO226" s="263">
        <f>X226+Z226+AB226+AG226+AK226+AM226</f>
        <v>0</v>
      </c>
      <c r="AP226" s="184">
        <f>IF(AN226-AO226&lt;0, " ",AN226-AO226)</f>
        <v>0</v>
      </c>
      <c r="AQ226" s="263">
        <f>IF(AN226-AO226&gt;0, " ", AO226-AN226)</f>
        <v>0</v>
      </c>
      <c r="AR226" s="184"/>
      <c r="AS226" s="263"/>
      <c r="AT226" s="36"/>
      <c r="AU226" s="36"/>
      <c r="AV226" s="36"/>
      <c r="AW226" s="36"/>
      <c r="AX226" s="36"/>
      <c r="AY226" s="36"/>
      <c r="AZ226" s="36"/>
    </row>
    <row r="227" spans="2:52" ht="15" customHeight="1" x14ac:dyDescent="0.2">
      <c r="B227" s="900"/>
      <c r="C227" s="11" t="s">
        <v>363</v>
      </c>
      <c r="D227" s="11"/>
      <c r="E227" s="407"/>
      <c r="F227" s="307"/>
      <c r="G227" s="814"/>
      <c r="H227" s="295"/>
      <c r="I227" s="814"/>
      <c r="J227" s="815"/>
      <c r="K227" s="295"/>
      <c r="L227" s="815"/>
      <c r="M227" s="295"/>
      <c r="N227" s="408"/>
      <c r="O227" s="295"/>
      <c r="P227" s="295"/>
      <c r="Q227" s="814"/>
      <c r="R227" s="815"/>
      <c r="S227" s="295"/>
      <c r="T227" s="408"/>
      <c r="U227" s="184">
        <f t="shared" si="58"/>
        <v>0</v>
      </c>
      <c r="V227" s="184">
        <f t="shared" si="58"/>
        <v>0</v>
      </c>
      <c r="W227" s="262">
        <f t="shared" si="59"/>
        <v>0</v>
      </c>
      <c r="X227" s="263">
        <f t="shared" si="59"/>
        <v>0</v>
      </c>
      <c r="Y227" s="294"/>
      <c r="Z227" s="295"/>
      <c r="AA227" s="265"/>
      <c r="AB227" s="135">
        <f>'A. Revenue by Function'!N206</f>
        <v>0</v>
      </c>
      <c r="AC227" s="266"/>
      <c r="AD227" s="44"/>
      <c r="AE227" s="44"/>
      <c r="AF227" s="266"/>
      <c r="AG227" s="78"/>
      <c r="AH227" s="267"/>
      <c r="AI227" s="44"/>
      <c r="AJ227" s="266" t="str">
        <f>'I. Eliminations-Consolidations'!$A$250</f>
        <v>I.7</v>
      </c>
      <c r="AK227" s="135">
        <f>'I. Eliminations-Consolidations'!L281</f>
        <v>0</v>
      </c>
      <c r="AL227" s="213"/>
      <c r="AM227" s="213"/>
      <c r="AN227" s="262">
        <f>W227+Y227+AA227+AD227+AI227+AL227</f>
        <v>0</v>
      </c>
      <c r="AO227" s="263">
        <f>X227+Z227+AB227+AG227+AK227+AM227</f>
        <v>0</v>
      </c>
      <c r="AP227" s="184" t="str">
        <f>IF(AN227-AO227&lt;=0, " ",AN227-AO227)</f>
        <v xml:space="preserve"> </v>
      </c>
      <c r="AQ227" s="263" t="str">
        <f>IF(AN227-AO227&gt;=0, " ", AO227-AN227)</f>
        <v xml:space="preserve"> </v>
      </c>
      <c r="AR227" s="184"/>
      <c r="AS227" s="263"/>
      <c r="AT227" s="36"/>
      <c r="AU227" s="36"/>
      <c r="AV227" s="36"/>
      <c r="AW227" s="36"/>
      <c r="AX227" s="36"/>
      <c r="AY227" s="36"/>
      <c r="AZ227" s="36"/>
    </row>
    <row r="228" spans="2:52" ht="15" customHeight="1" x14ac:dyDescent="0.2">
      <c r="B228" s="900"/>
      <c r="C228" t="s">
        <v>364</v>
      </c>
      <c r="E228" s="299"/>
      <c r="F228" s="403"/>
      <c r="G228" s="812"/>
      <c r="H228" s="293"/>
      <c r="I228" s="812"/>
      <c r="J228" s="813"/>
      <c r="K228" s="293"/>
      <c r="L228" s="813"/>
      <c r="M228" s="293"/>
      <c r="N228" s="404"/>
      <c r="O228" s="293"/>
      <c r="P228" s="293"/>
      <c r="Q228" s="812"/>
      <c r="R228" s="813"/>
      <c r="S228" s="293"/>
      <c r="T228" s="404"/>
      <c r="U228" s="184">
        <f t="shared" si="58"/>
        <v>0</v>
      </c>
      <c r="V228" s="184">
        <f t="shared" si="58"/>
        <v>0</v>
      </c>
      <c r="W228" s="262">
        <f t="shared" si="59"/>
        <v>0</v>
      </c>
      <c r="X228" s="263">
        <f t="shared" si="59"/>
        <v>0</v>
      </c>
      <c r="Y228" s="292"/>
      <c r="Z228" s="293"/>
      <c r="AA228" s="261"/>
      <c r="AB228" s="134">
        <f>'A. Revenue by Function'!N207</f>
        <v>0</v>
      </c>
      <c r="AC228" s="257"/>
      <c r="AD228" s="45"/>
      <c r="AE228" s="45"/>
      <c r="AF228" s="257"/>
      <c r="AH228" s="256"/>
      <c r="AI228" s="45"/>
      <c r="AJ228" s="266" t="str">
        <f>'I. Eliminations-Consolidations'!$A$250</f>
        <v>I.7</v>
      </c>
      <c r="AK228" s="134">
        <f>'I. Eliminations-Consolidations'!L298</f>
        <v>0</v>
      </c>
      <c r="AL228" s="211"/>
      <c r="AM228" s="211"/>
      <c r="AN228" s="262">
        <f>W228+Y228+AA228+AD228+AI228+AL228</f>
        <v>0</v>
      </c>
      <c r="AO228" s="263">
        <f>X228+Z228+AB228+AG228+AK228+AM228</f>
        <v>0</v>
      </c>
      <c r="AP228" s="184">
        <f>IF(AN228-AO228&lt;0, " ",AN228-AO228)</f>
        <v>0</v>
      </c>
      <c r="AQ228" s="263">
        <f>IF(AN228-AO228&gt;0, " ", AO228-AN228)</f>
        <v>0</v>
      </c>
      <c r="AR228" s="184"/>
      <c r="AS228" s="263"/>
      <c r="AT228" s="36"/>
      <c r="AU228" s="36"/>
      <c r="AV228" s="36"/>
      <c r="AW228" s="36"/>
      <c r="AX228" s="36"/>
      <c r="AY228" s="36"/>
      <c r="AZ228" s="36"/>
    </row>
    <row r="229" spans="2:52" ht="3.75" customHeight="1" x14ac:dyDescent="0.2">
      <c r="B229" s="95"/>
      <c r="E229" s="299"/>
      <c r="F229" s="403"/>
      <c r="G229" s="812"/>
      <c r="H229" s="293"/>
      <c r="I229" s="812"/>
      <c r="J229" s="813"/>
      <c r="K229" s="293"/>
      <c r="L229" s="813"/>
      <c r="M229" s="293"/>
      <c r="N229" s="404"/>
      <c r="O229" s="293"/>
      <c r="P229" s="293"/>
      <c r="Q229" s="812"/>
      <c r="R229" s="813"/>
      <c r="S229" s="293"/>
      <c r="T229" s="404"/>
      <c r="U229" s="184"/>
      <c r="V229" s="184"/>
      <c r="W229" s="262"/>
      <c r="X229" s="263"/>
      <c r="Y229" s="292"/>
      <c r="Z229" s="293"/>
      <c r="AA229" s="261"/>
      <c r="AB229" s="134"/>
      <c r="AC229" s="257"/>
      <c r="AD229" s="45"/>
      <c r="AE229" s="45"/>
      <c r="AF229" s="257"/>
      <c r="AH229" s="256"/>
      <c r="AI229" s="45"/>
      <c r="AJ229" s="257"/>
      <c r="AK229" s="134"/>
      <c r="AL229" s="211"/>
      <c r="AM229" s="211"/>
      <c r="AN229" s="262"/>
      <c r="AO229" s="263"/>
      <c r="AP229" s="184"/>
      <c r="AQ229" s="263"/>
      <c r="AR229" s="184"/>
      <c r="AS229" s="263"/>
      <c r="AT229" s="36"/>
      <c r="AU229" s="36"/>
      <c r="AV229" s="36"/>
      <c r="AW229" s="36"/>
      <c r="AX229" s="36"/>
      <c r="AY229" s="36"/>
      <c r="AZ229" s="36"/>
    </row>
    <row r="230" spans="2:52" ht="12.75" customHeight="1" x14ac:dyDescent="0.2">
      <c r="B230" s="96" t="s">
        <v>507</v>
      </c>
      <c r="C230" s="11"/>
      <c r="D230" s="11"/>
      <c r="E230" s="407"/>
      <c r="F230" s="307"/>
      <c r="G230" s="814"/>
      <c r="H230" s="295"/>
      <c r="I230" s="814"/>
      <c r="J230" s="815"/>
      <c r="K230" s="295"/>
      <c r="L230" s="815"/>
      <c r="M230" s="295"/>
      <c r="N230" s="408"/>
      <c r="O230" s="295"/>
      <c r="P230" s="295"/>
      <c r="Q230" s="814"/>
      <c r="R230" s="815"/>
      <c r="S230" s="295"/>
      <c r="T230" s="408"/>
      <c r="U230" s="184"/>
      <c r="V230" s="184"/>
      <c r="W230" s="262"/>
      <c r="X230" s="263"/>
      <c r="Y230" s="294"/>
      <c r="Z230" s="295"/>
      <c r="AA230" s="265"/>
      <c r="AB230" s="135"/>
      <c r="AC230" s="266"/>
      <c r="AD230" s="44"/>
      <c r="AE230" s="44"/>
      <c r="AF230" s="266"/>
      <c r="AG230" s="78"/>
      <c r="AH230" s="267"/>
      <c r="AI230" s="44"/>
      <c r="AJ230" s="266"/>
      <c r="AK230" s="135"/>
      <c r="AL230" s="213"/>
      <c r="AM230" s="213"/>
      <c r="AN230" s="262"/>
      <c r="AO230" s="263"/>
      <c r="AP230" s="184"/>
      <c r="AQ230" s="263"/>
      <c r="AR230" s="184"/>
      <c r="AS230" s="263"/>
      <c r="AT230" s="36"/>
      <c r="AU230" s="36"/>
      <c r="AV230" s="36"/>
      <c r="AW230" s="36"/>
      <c r="AX230" s="36"/>
      <c r="AY230" s="36"/>
      <c r="AZ230" s="36"/>
    </row>
    <row r="231" spans="2:52" ht="15" customHeight="1" x14ac:dyDescent="0.2">
      <c r="B231" s="900" t="s">
        <v>18</v>
      </c>
      <c r="C231" s="11" t="s">
        <v>362</v>
      </c>
      <c r="D231" s="11"/>
      <c r="E231" s="407"/>
      <c r="F231" s="307"/>
      <c r="G231" s="814"/>
      <c r="H231" s="295"/>
      <c r="I231" s="814"/>
      <c r="J231" s="815"/>
      <c r="K231" s="295"/>
      <c r="L231" s="815"/>
      <c r="M231" s="295"/>
      <c r="N231" s="408"/>
      <c r="O231" s="295"/>
      <c r="P231" s="295"/>
      <c r="Q231" s="814"/>
      <c r="R231" s="815"/>
      <c r="S231" s="295"/>
      <c r="T231" s="408"/>
      <c r="U231" s="184">
        <f t="shared" ref="U231:V233" si="60">O231+Q231+S231</f>
        <v>0</v>
      </c>
      <c r="V231" s="184">
        <f t="shared" si="60"/>
        <v>0</v>
      </c>
      <c r="W231" s="262">
        <f t="shared" ref="W231:X233" si="61">E231+G231+I231+K231+M231+U231</f>
        <v>0</v>
      </c>
      <c r="X231" s="263">
        <f t="shared" si="61"/>
        <v>0</v>
      </c>
      <c r="Y231" s="294"/>
      <c r="Z231" s="295"/>
      <c r="AA231" s="265"/>
      <c r="AB231" s="135">
        <f>'A. Revenue by Function'!N209</f>
        <v>0</v>
      </c>
      <c r="AC231" s="266"/>
      <c r="AD231" s="44"/>
      <c r="AE231" s="44"/>
      <c r="AF231" s="266"/>
      <c r="AG231" s="78"/>
      <c r="AH231" s="267"/>
      <c r="AI231" s="44"/>
      <c r="AJ231" s="266"/>
      <c r="AK231" s="135"/>
      <c r="AL231" s="213"/>
      <c r="AM231" s="213"/>
      <c r="AN231" s="262">
        <f>W231+Y231+AA231+AD231+AI231+AL231</f>
        <v>0</v>
      </c>
      <c r="AO231" s="263">
        <f>X231+Z231+AB231+AG231+AK231+AM231</f>
        <v>0</v>
      </c>
      <c r="AP231" s="184">
        <f>IF(AN231-AO231&lt;0, " ",AN231-AO231)</f>
        <v>0</v>
      </c>
      <c r="AQ231" s="263">
        <f>IF(AN231-AO231&gt;0, " ", AO231-AN231)</f>
        <v>0</v>
      </c>
      <c r="AR231" s="184"/>
      <c r="AS231" s="263"/>
      <c r="AT231" s="36"/>
      <c r="AU231" s="36"/>
      <c r="AV231" s="36"/>
      <c r="AW231" s="36"/>
      <c r="AX231" s="36"/>
      <c r="AY231" s="36"/>
      <c r="AZ231" s="36"/>
    </row>
    <row r="232" spans="2:52" ht="15" customHeight="1" x14ac:dyDescent="0.2">
      <c r="B232" s="900"/>
      <c r="C232" s="11" t="s">
        <v>363</v>
      </c>
      <c r="D232" s="11"/>
      <c r="E232" s="407"/>
      <c r="F232" s="307"/>
      <c r="G232" s="814"/>
      <c r="H232" s="295"/>
      <c r="I232" s="814"/>
      <c r="J232" s="815"/>
      <c r="K232" s="295"/>
      <c r="L232" s="815"/>
      <c r="M232" s="295"/>
      <c r="N232" s="408"/>
      <c r="O232" s="295"/>
      <c r="P232" s="295"/>
      <c r="Q232" s="814"/>
      <c r="R232" s="815"/>
      <c r="S232" s="295"/>
      <c r="T232" s="408"/>
      <c r="U232" s="184">
        <f t="shared" si="60"/>
        <v>0</v>
      </c>
      <c r="V232" s="184">
        <f t="shared" si="60"/>
        <v>0</v>
      </c>
      <c r="W232" s="262">
        <f t="shared" si="61"/>
        <v>0</v>
      </c>
      <c r="X232" s="263">
        <f t="shared" si="61"/>
        <v>0</v>
      </c>
      <c r="Y232" s="294"/>
      <c r="Z232" s="295"/>
      <c r="AA232" s="265"/>
      <c r="AB232" s="135">
        <f>'A. Revenue by Function'!N210</f>
        <v>0</v>
      </c>
      <c r="AC232" s="266"/>
      <c r="AD232" s="44"/>
      <c r="AE232" s="44"/>
      <c r="AF232" s="266"/>
      <c r="AG232" s="78"/>
      <c r="AH232" s="267"/>
      <c r="AI232" s="44"/>
      <c r="AJ232" s="266" t="str">
        <f>'I. Eliminations-Consolidations'!$A$250</f>
        <v>I.7</v>
      </c>
      <c r="AK232" s="135">
        <f>'I. Eliminations-Consolidations'!L282</f>
        <v>0</v>
      </c>
      <c r="AL232" s="213"/>
      <c r="AM232" s="213"/>
      <c r="AN232" s="262">
        <f>W232+Y232+AA232+AD232+AI232+AL232</f>
        <v>0</v>
      </c>
      <c r="AO232" s="263">
        <f>X232+Z232+AB232+AG232+AK232+AM232</f>
        <v>0</v>
      </c>
      <c r="AP232" s="184" t="str">
        <f>IF(AN232-AO232&lt;=0, " ",AN232-AO232)</f>
        <v xml:space="preserve"> </v>
      </c>
      <c r="AQ232" s="263" t="str">
        <f>IF(AN232-AO232&gt;=0, " ", AO232-AN232)</f>
        <v xml:space="preserve"> </v>
      </c>
      <c r="AR232" s="184"/>
      <c r="AS232" s="263"/>
      <c r="AT232" s="36"/>
      <c r="AU232" s="36"/>
      <c r="AV232" s="36"/>
      <c r="AW232" s="36"/>
      <c r="AX232" s="36"/>
      <c r="AY232" s="36"/>
      <c r="AZ232" s="36"/>
    </row>
    <row r="233" spans="2:52" ht="15" customHeight="1" x14ac:dyDescent="0.2">
      <c r="B233" s="900"/>
      <c r="C233" t="s">
        <v>364</v>
      </c>
      <c r="E233" s="299"/>
      <c r="F233" s="403"/>
      <c r="G233" s="812"/>
      <c r="H233" s="293"/>
      <c r="I233" s="812"/>
      <c r="J233" s="813"/>
      <c r="K233" s="293"/>
      <c r="L233" s="813"/>
      <c r="M233" s="293"/>
      <c r="N233" s="404"/>
      <c r="O233" s="293"/>
      <c r="P233" s="293"/>
      <c r="Q233" s="812"/>
      <c r="R233" s="813"/>
      <c r="S233" s="293"/>
      <c r="T233" s="404"/>
      <c r="U233" s="184">
        <f t="shared" si="60"/>
        <v>0</v>
      </c>
      <c r="V233" s="184">
        <f t="shared" si="60"/>
        <v>0</v>
      </c>
      <c r="W233" s="262">
        <f t="shared" si="61"/>
        <v>0</v>
      </c>
      <c r="X233" s="263">
        <f t="shared" si="61"/>
        <v>0</v>
      </c>
      <c r="Y233" s="292"/>
      <c r="Z233" s="293"/>
      <c r="AA233" s="261"/>
      <c r="AB233" s="134">
        <f>'A. Revenue by Function'!N211</f>
        <v>0</v>
      </c>
      <c r="AC233" s="257"/>
      <c r="AD233" s="45"/>
      <c r="AE233" s="45"/>
      <c r="AF233" s="257"/>
      <c r="AH233" s="256"/>
      <c r="AI233" s="45"/>
      <c r="AJ233" s="266" t="str">
        <f>'I. Eliminations-Consolidations'!$A$250</f>
        <v>I.7</v>
      </c>
      <c r="AK233" s="134">
        <f>'I. Eliminations-Consolidations'!L299</f>
        <v>0</v>
      </c>
      <c r="AL233" s="211"/>
      <c r="AM233" s="211"/>
      <c r="AN233" s="262">
        <f>W233+Y233+AA233+AD233+AI233+AL233</f>
        <v>0</v>
      </c>
      <c r="AO233" s="263">
        <f>X233+Z233+AB233+AG233+AK233+AM233</f>
        <v>0</v>
      </c>
      <c r="AP233" s="184">
        <f>IF(AN233-AO233&lt;0, " ",AN233-AO233)</f>
        <v>0</v>
      </c>
      <c r="AQ233" s="263">
        <f>IF(AN233-AO233&gt;0, " ", AO233-AN233)</f>
        <v>0</v>
      </c>
      <c r="AR233" s="184"/>
      <c r="AS233" s="263"/>
      <c r="AT233" s="36"/>
      <c r="AU233" s="36"/>
      <c r="AV233" s="36"/>
      <c r="AW233" s="36"/>
      <c r="AX233" s="36"/>
      <c r="AY233" s="36"/>
      <c r="AZ233" s="36"/>
    </row>
    <row r="234" spans="2:52" ht="3.75" customHeight="1" x14ac:dyDescent="0.2">
      <c r="B234" s="95"/>
      <c r="E234" s="299"/>
      <c r="F234" s="403"/>
      <c r="G234" s="812"/>
      <c r="H234" s="293"/>
      <c r="I234" s="812"/>
      <c r="J234" s="813"/>
      <c r="K234" s="293"/>
      <c r="L234" s="813"/>
      <c r="M234" s="293"/>
      <c r="N234" s="404"/>
      <c r="O234" s="293"/>
      <c r="P234" s="293"/>
      <c r="Q234" s="812"/>
      <c r="R234" s="813"/>
      <c r="S234" s="293"/>
      <c r="T234" s="404"/>
      <c r="U234" s="184"/>
      <c r="V234" s="184"/>
      <c r="W234" s="262"/>
      <c r="X234" s="263"/>
      <c r="Y234" s="292"/>
      <c r="Z234" s="293"/>
      <c r="AA234" s="261"/>
      <c r="AB234" s="134"/>
      <c r="AC234" s="257"/>
      <c r="AD234" s="45"/>
      <c r="AE234" s="45"/>
      <c r="AF234" s="257"/>
      <c r="AH234" s="256"/>
      <c r="AI234" s="45"/>
      <c r="AJ234" s="257"/>
      <c r="AK234" s="134"/>
      <c r="AL234" s="211"/>
      <c r="AM234" s="211"/>
      <c r="AN234" s="262"/>
      <c r="AO234" s="263"/>
      <c r="AP234" s="184"/>
      <c r="AQ234" s="263"/>
      <c r="AR234" s="184"/>
      <c r="AS234" s="263"/>
      <c r="AT234" s="36"/>
      <c r="AU234" s="36"/>
      <c r="AV234" s="36"/>
      <c r="AW234" s="36"/>
      <c r="AX234" s="36"/>
      <c r="AY234" s="36"/>
      <c r="AZ234" s="36"/>
    </row>
    <row r="235" spans="2:52" ht="12.75" customHeight="1" x14ac:dyDescent="0.2">
      <c r="B235" s="4" t="s">
        <v>505</v>
      </c>
      <c r="E235" s="299"/>
      <c r="F235" s="403"/>
      <c r="G235" s="812"/>
      <c r="H235" s="293"/>
      <c r="I235" s="812"/>
      <c r="J235" s="813"/>
      <c r="K235" s="293"/>
      <c r="L235" s="813"/>
      <c r="M235" s="293"/>
      <c r="N235" s="404"/>
      <c r="O235" s="293"/>
      <c r="P235" s="293"/>
      <c r="Q235" s="812"/>
      <c r="R235" s="813"/>
      <c r="S235" s="293"/>
      <c r="T235" s="404"/>
      <c r="U235" s="184"/>
      <c r="V235" s="184"/>
      <c r="W235" s="262"/>
      <c r="X235" s="263"/>
      <c r="Y235" s="292"/>
      <c r="Z235" s="293"/>
      <c r="AA235" s="261"/>
      <c r="AB235" s="134"/>
      <c r="AC235" s="257"/>
      <c r="AD235" s="45"/>
      <c r="AE235" s="45"/>
      <c r="AF235" s="257"/>
      <c r="AH235" s="256"/>
      <c r="AI235" s="45"/>
      <c r="AJ235" s="257"/>
      <c r="AK235" s="134"/>
      <c r="AL235" s="211"/>
      <c r="AM235" s="211"/>
      <c r="AN235" s="262"/>
      <c r="AO235" s="263"/>
      <c r="AP235" s="184"/>
      <c r="AQ235" s="263"/>
      <c r="AR235" s="184"/>
      <c r="AS235" s="263"/>
      <c r="AT235" s="36"/>
      <c r="AU235" s="36"/>
      <c r="AV235" s="36"/>
      <c r="AW235" s="36"/>
      <c r="AX235" s="36"/>
      <c r="AY235" s="36"/>
      <c r="AZ235" s="36"/>
    </row>
    <row r="236" spans="2:52" ht="15" customHeight="1" x14ac:dyDescent="0.2">
      <c r="B236" s="900" t="s">
        <v>18</v>
      </c>
      <c r="C236" t="s">
        <v>362</v>
      </c>
      <c r="E236" s="299"/>
      <c r="F236" s="403"/>
      <c r="G236" s="812"/>
      <c r="H236" s="293"/>
      <c r="I236" s="812"/>
      <c r="J236" s="813"/>
      <c r="K236" s="293"/>
      <c r="L236" s="813"/>
      <c r="M236" s="293"/>
      <c r="N236" s="404"/>
      <c r="O236" s="293"/>
      <c r="P236" s="293"/>
      <c r="Q236" s="812"/>
      <c r="R236" s="813"/>
      <c r="S236" s="293"/>
      <c r="T236" s="404"/>
      <c r="U236" s="184">
        <f t="shared" si="55"/>
        <v>0</v>
      </c>
      <c r="V236" s="184">
        <f t="shared" si="56"/>
        <v>0</v>
      </c>
      <c r="W236" s="262">
        <f t="shared" si="57"/>
        <v>0</v>
      </c>
      <c r="X236" s="263">
        <f t="shared" si="57"/>
        <v>0</v>
      </c>
      <c r="Y236" s="292"/>
      <c r="Z236" s="293"/>
      <c r="AA236" s="261"/>
      <c r="AB236" s="134">
        <f>'A. Revenue by Function'!N213</f>
        <v>0</v>
      </c>
      <c r="AC236" s="257"/>
      <c r="AD236" s="45"/>
      <c r="AE236" s="45"/>
      <c r="AF236" s="257"/>
      <c r="AH236" s="256"/>
      <c r="AI236" s="45"/>
      <c r="AJ236" s="257"/>
      <c r="AK236" s="134"/>
      <c r="AL236" s="211"/>
      <c r="AM236" s="211"/>
      <c r="AN236" s="262">
        <f>W236+Y236+AA236+AD236+AI236+AL236</f>
        <v>0</v>
      </c>
      <c r="AO236" s="263">
        <f>X236+Z236+AB236+AG236+AK236+AM236</f>
        <v>0</v>
      </c>
      <c r="AP236" s="184">
        <f>IF(AN236-AO236&lt;0, " ",AN236-AO236)</f>
        <v>0</v>
      </c>
      <c r="AQ236" s="263">
        <f>IF(AN236-AO236&gt;0, " ", AO236-AN236)</f>
        <v>0</v>
      </c>
      <c r="AR236" s="184"/>
      <c r="AS236" s="263"/>
      <c r="AT236" s="36"/>
      <c r="AU236" s="36"/>
      <c r="AV236" s="36"/>
      <c r="AW236" s="36"/>
      <c r="AX236" s="36"/>
      <c r="AY236" s="36"/>
      <c r="AZ236" s="36"/>
    </row>
    <row r="237" spans="2:52" ht="15" customHeight="1" x14ac:dyDescent="0.2">
      <c r="B237" s="900"/>
      <c r="C237" s="11" t="s">
        <v>363</v>
      </c>
      <c r="D237" s="11"/>
      <c r="E237" s="407"/>
      <c r="F237" s="307"/>
      <c r="G237" s="814"/>
      <c r="H237" s="295"/>
      <c r="I237" s="814"/>
      <c r="J237" s="815"/>
      <c r="K237" s="295"/>
      <c r="L237" s="815"/>
      <c r="M237" s="295"/>
      <c r="N237" s="408"/>
      <c r="O237" s="295"/>
      <c r="P237" s="295"/>
      <c r="Q237" s="814"/>
      <c r="R237" s="815"/>
      <c r="S237" s="295"/>
      <c r="T237" s="408"/>
      <c r="U237" s="184">
        <f t="shared" si="55"/>
        <v>0</v>
      </c>
      <c r="V237" s="184">
        <f t="shared" si="56"/>
        <v>0</v>
      </c>
      <c r="W237" s="262">
        <f t="shared" si="57"/>
        <v>0</v>
      </c>
      <c r="X237" s="263">
        <f t="shared" si="57"/>
        <v>0</v>
      </c>
      <c r="Y237" s="294"/>
      <c r="Z237" s="295"/>
      <c r="AA237" s="265"/>
      <c r="AB237" s="135">
        <f>'A. Revenue by Function'!N214</f>
        <v>0</v>
      </c>
      <c r="AC237" s="266"/>
      <c r="AD237" s="44"/>
      <c r="AE237" s="44"/>
      <c r="AF237" s="266"/>
      <c r="AG237" s="78"/>
      <c r="AH237" s="267"/>
      <c r="AI237" s="44"/>
      <c r="AJ237" s="266" t="str">
        <f>'I. Eliminations-Consolidations'!$A$250</f>
        <v>I.7</v>
      </c>
      <c r="AK237" s="135">
        <f>'I. Eliminations-Consolidations'!L283</f>
        <v>0</v>
      </c>
      <c r="AL237" s="213"/>
      <c r="AM237" s="213"/>
      <c r="AN237" s="262">
        <f>W237+Y237+AA237+AD237+AI237+AL237</f>
        <v>0</v>
      </c>
      <c r="AO237" s="263">
        <f>X237+Z237+AB237+AG237+AK237+AM237</f>
        <v>0</v>
      </c>
      <c r="AP237" s="184" t="str">
        <f>IF(AN237-AO237&lt;=0, " ",AN237-AO237)</f>
        <v xml:space="preserve"> </v>
      </c>
      <c r="AQ237" s="263" t="str">
        <f>IF(AN237-AO237&gt;=0, " ", AO237-AN237)</f>
        <v xml:space="preserve"> </v>
      </c>
      <c r="AR237" s="184"/>
      <c r="AS237" s="263"/>
      <c r="AT237" s="36"/>
      <c r="AU237" s="36"/>
      <c r="AV237" s="36"/>
      <c r="AW237" s="36"/>
      <c r="AX237" s="36"/>
      <c r="AY237" s="36"/>
      <c r="AZ237" s="36"/>
    </row>
    <row r="238" spans="2:52" ht="15" customHeight="1" x14ac:dyDescent="0.2">
      <c r="B238" s="900"/>
      <c r="C238" t="s">
        <v>364</v>
      </c>
      <c r="E238" s="299"/>
      <c r="F238" s="403"/>
      <c r="G238" s="812"/>
      <c r="H238" s="293"/>
      <c r="I238" s="812"/>
      <c r="J238" s="813"/>
      <c r="K238" s="293"/>
      <c r="L238" s="813"/>
      <c r="M238" s="293"/>
      <c r="N238" s="404"/>
      <c r="O238" s="293"/>
      <c r="P238" s="293"/>
      <c r="Q238" s="812"/>
      <c r="R238" s="813"/>
      <c r="S238" s="293"/>
      <c r="T238" s="404"/>
      <c r="U238" s="184">
        <f t="shared" si="55"/>
        <v>0</v>
      </c>
      <c r="V238" s="184">
        <f t="shared" si="56"/>
        <v>0</v>
      </c>
      <c r="W238" s="262">
        <f t="shared" si="57"/>
        <v>0</v>
      </c>
      <c r="X238" s="263">
        <f t="shared" si="57"/>
        <v>0</v>
      </c>
      <c r="Y238" s="292"/>
      <c r="Z238" s="293"/>
      <c r="AA238" s="261"/>
      <c r="AB238" s="134">
        <f>'A. Revenue by Function'!N215</f>
        <v>0</v>
      </c>
      <c r="AC238" s="257"/>
      <c r="AD238" s="45"/>
      <c r="AE238" s="45"/>
      <c r="AF238" s="257"/>
      <c r="AH238" s="256"/>
      <c r="AI238" s="45"/>
      <c r="AJ238" s="266" t="str">
        <f>'I. Eliminations-Consolidations'!$A$250</f>
        <v>I.7</v>
      </c>
      <c r="AK238" s="134">
        <f>'I. Eliminations-Consolidations'!L300</f>
        <v>0</v>
      </c>
      <c r="AL238" s="211"/>
      <c r="AM238" s="211"/>
      <c r="AN238" s="262">
        <f>W238+Y238+AA238+AD238+AI238+AL238</f>
        <v>0</v>
      </c>
      <c r="AO238" s="263">
        <f>X238+Z238+AB238+AG238+AK238+AM238</f>
        <v>0</v>
      </c>
      <c r="AP238" s="184">
        <f>IF(AN238-AO238&lt;0, " ",AN238-AO238)</f>
        <v>0</v>
      </c>
      <c r="AQ238" s="263">
        <f>IF(AN238-AO238&gt;0, " ", AO238-AN238)</f>
        <v>0</v>
      </c>
      <c r="AR238" s="184"/>
      <c r="AS238" s="263"/>
      <c r="AT238" s="36"/>
      <c r="AU238" s="36"/>
      <c r="AV238" s="36"/>
      <c r="AW238" s="36"/>
      <c r="AX238" s="36"/>
      <c r="AY238" s="36"/>
      <c r="AZ238" s="36"/>
    </row>
    <row r="239" spans="2:52" ht="4.5" customHeight="1" x14ac:dyDescent="0.2">
      <c r="E239" s="299"/>
      <c r="F239" s="403"/>
      <c r="G239" s="812"/>
      <c r="H239" s="293"/>
      <c r="I239" s="812"/>
      <c r="J239" s="813"/>
      <c r="K239" s="293"/>
      <c r="L239" s="813"/>
      <c r="M239" s="293"/>
      <c r="N239" s="404"/>
      <c r="O239" s="293"/>
      <c r="P239" s="293"/>
      <c r="Q239" s="812"/>
      <c r="R239" s="813"/>
      <c r="S239" s="293"/>
      <c r="T239" s="404"/>
      <c r="U239" s="184"/>
      <c r="V239" s="184"/>
      <c r="W239" s="262"/>
      <c r="X239" s="263"/>
      <c r="Y239" s="292"/>
      <c r="Z239" s="293"/>
      <c r="AA239" s="261"/>
      <c r="AB239" s="134"/>
      <c r="AC239" s="257"/>
      <c r="AD239" s="45"/>
      <c r="AE239" s="45"/>
      <c r="AF239" s="257"/>
      <c r="AG239" s="45"/>
      <c r="AH239" s="256"/>
      <c r="AI239" s="45"/>
      <c r="AJ239" s="257"/>
      <c r="AK239" s="134"/>
      <c r="AL239" s="211"/>
      <c r="AM239" s="211"/>
      <c r="AN239" s="262"/>
      <c r="AO239" s="263"/>
      <c r="AP239" s="184"/>
      <c r="AQ239" s="263"/>
      <c r="AR239" s="184"/>
      <c r="AS239" s="263"/>
      <c r="AT239" s="36"/>
      <c r="AU239" s="36"/>
      <c r="AV239" s="36"/>
      <c r="AW239" s="36"/>
      <c r="AX239" s="36"/>
      <c r="AY239" s="36"/>
      <c r="AZ239" s="36"/>
    </row>
    <row r="240" spans="2:52" ht="15" customHeight="1" x14ac:dyDescent="0.2">
      <c r="B240" s="96" t="s">
        <v>241</v>
      </c>
      <c r="E240" s="299"/>
      <c r="F240" s="403"/>
      <c r="G240" s="812"/>
      <c r="H240" s="293"/>
      <c r="I240" s="812"/>
      <c r="J240" s="813"/>
      <c r="K240" s="293"/>
      <c r="L240" s="813"/>
      <c r="M240" s="293"/>
      <c r="N240" s="404"/>
      <c r="O240" s="293"/>
      <c r="P240" s="293"/>
      <c r="Q240" s="812"/>
      <c r="R240" s="813"/>
      <c r="S240" s="293"/>
      <c r="T240" s="404"/>
      <c r="U240" s="184"/>
      <c r="V240" s="184"/>
      <c r="W240" s="262"/>
      <c r="X240" s="263"/>
      <c r="Y240" s="292"/>
      <c r="Z240" s="293"/>
      <c r="AA240" s="261"/>
      <c r="AB240" s="134"/>
      <c r="AC240" s="257"/>
      <c r="AD240" s="45"/>
      <c r="AE240" s="45"/>
      <c r="AF240" s="257"/>
      <c r="AG240" s="45"/>
      <c r="AH240" s="256"/>
      <c r="AI240" s="45"/>
      <c r="AJ240" s="257"/>
      <c r="AK240" s="134"/>
      <c r="AL240" s="211"/>
      <c r="AM240" s="211"/>
      <c r="AN240" s="262"/>
      <c r="AO240" s="263"/>
      <c r="AP240" s="184"/>
      <c r="AQ240" s="263"/>
      <c r="AR240" s="184"/>
      <c r="AS240" s="263"/>
      <c r="AT240" s="36"/>
      <c r="AU240" s="36"/>
      <c r="AV240" s="36"/>
      <c r="AW240" s="36"/>
      <c r="AX240" s="36"/>
      <c r="AY240" s="36"/>
      <c r="AZ240" s="36"/>
    </row>
    <row r="241" spans="2:52" ht="15" customHeight="1" x14ac:dyDescent="0.2">
      <c r="B241" s="900" t="s">
        <v>18</v>
      </c>
      <c r="C241" t="s">
        <v>362</v>
      </c>
      <c r="E241" s="299"/>
      <c r="F241" s="403"/>
      <c r="G241" s="812"/>
      <c r="H241" s="293"/>
      <c r="I241" s="812"/>
      <c r="J241" s="813"/>
      <c r="K241" s="293"/>
      <c r="L241" s="813"/>
      <c r="M241" s="293"/>
      <c r="N241" s="404"/>
      <c r="O241" s="293"/>
      <c r="P241" s="293"/>
      <c r="Q241" s="812"/>
      <c r="R241" s="813"/>
      <c r="S241" s="293"/>
      <c r="T241" s="404"/>
      <c r="U241" s="184">
        <f t="shared" si="55"/>
        <v>0</v>
      </c>
      <c r="V241" s="184">
        <f t="shared" si="56"/>
        <v>0</v>
      </c>
      <c r="W241" s="262">
        <f t="shared" si="57"/>
        <v>0</v>
      </c>
      <c r="X241" s="263">
        <f t="shared" si="57"/>
        <v>0</v>
      </c>
      <c r="Y241" s="292"/>
      <c r="Z241" s="293"/>
      <c r="AA241" s="261"/>
      <c r="AB241" s="134">
        <f>'A. Revenue by Function'!N217</f>
        <v>0</v>
      </c>
      <c r="AC241" s="257"/>
      <c r="AD241" s="45"/>
      <c r="AE241" s="45"/>
      <c r="AF241" s="257"/>
      <c r="AG241" s="45"/>
      <c r="AH241" s="256"/>
      <c r="AI241" s="45"/>
      <c r="AJ241" s="257"/>
      <c r="AK241" s="134"/>
      <c r="AL241" s="211"/>
      <c r="AM241" s="211"/>
      <c r="AN241" s="262">
        <f>W241+Y241+AA241+AD241+AI241+AL241</f>
        <v>0</v>
      </c>
      <c r="AO241" s="263">
        <f>X241+Z241+AB241+AG241+AK241+AM241</f>
        <v>0</v>
      </c>
      <c r="AP241" s="184">
        <f>IF(AN241-AO241&lt;0, " ",AN241-AO241)</f>
        <v>0</v>
      </c>
      <c r="AQ241" s="263">
        <f>IF(AN241-AO241&gt;0, " ", AO241-AN241)</f>
        <v>0</v>
      </c>
      <c r="AR241" s="184"/>
      <c r="AS241" s="263"/>
      <c r="AT241" s="36"/>
      <c r="AU241" s="36"/>
      <c r="AV241" s="36"/>
      <c r="AW241" s="36"/>
      <c r="AX241" s="36"/>
      <c r="AY241" s="36"/>
      <c r="AZ241" s="36"/>
    </row>
    <row r="242" spans="2:52" ht="15" customHeight="1" x14ac:dyDescent="0.2">
      <c r="B242" s="900"/>
      <c r="C242" s="11" t="s">
        <v>363</v>
      </c>
      <c r="D242" s="11"/>
      <c r="E242" s="407"/>
      <c r="F242" s="307"/>
      <c r="G242" s="814"/>
      <c r="H242" s="295"/>
      <c r="I242" s="814"/>
      <c r="J242" s="815"/>
      <c r="K242" s="295"/>
      <c r="L242" s="815"/>
      <c r="M242" s="295"/>
      <c r="N242" s="408"/>
      <c r="O242" s="295"/>
      <c r="P242" s="295"/>
      <c r="Q242" s="814"/>
      <c r="R242" s="815"/>
      <c r="S242" s="295"/>
      <c r="T242" s="408"/>
      <c r="U242" s="184">
        <f t="shared" si="55"/>
        <v>0</v>
      </c>
      <c r="V242" s="184">
        <f t="shared" si="56"/>
        <v>0</v>
      </c>
      <c r="W242" s="262">
        <f t="shared" si="57"/>
        <v>0</v>
      </c>
      <c r="X242" s="263">
        <f t="shared" si="57"/>
        <v>0</v>
      </c>
      <c r="Y242" s="294"/>
      <c r="Z242" s="295"/>
      <c r="AA242" s="265"/>
      <c r="AB242" s="135">
        <f>'A. Revenue by Function'!N218</f>
        <v>0</v>
      </c>
      <c r="AC242" s="266"/>
      <c r="AD242" s="44"/>
      <c r="AE242" s="44"/>
      <c r="AF242" s="266"/>
      <c r="AG242" s="44"/>
      <c r="AH242" s="267"/>
      <c r="AI242" s="44"/>
      <c r="AJ242" s="266" t="str">
        <f>'I. Eliminations-Consolidations'!A250</f>
        <v>I.7</v>
      </c>
      <c r="AK242" s="135">
        <f>'I. Eliminations-Consolidations'!L284</f>
        <v>0</v>
      </c>
      <c r="AL242" s="213"/>
      <c r="AM242" s="213"/>
      <c r="AN242" s="262">
        <f>W242+Y242+AA242+AD242+AI242+AL242</f>
        <v>0</v>
      </c>
      <c r="AO242" s="263">
        <f>X242+Z242+AB242+AG242+AK242+AM242</f>
        <v>0</v>
      </c>
      <c r="AP242" s="184" t="str">
        <f>IF(AN242-AO242&lt;=0, " ",AN242-AO242)</f>
        <v xml:space="preserve"> </v>
      </c>
      <c r="AQ242" s="263" t="str">
        <f>IF(AN242-AO242&gt;=0, " ", AO242-AN242)</f>
        <v xml:space="preserve"> </v>
      </c>
      <c r="AR242" s="184"/>
      <c r="AS242" s="263"/>
      <c r="AT242" s="36"/>
      <c r="AU242" s="36"/>
      <c r="AV242" s="36"/>
      <c r="AW242" s="36"/>
      <c r="AX242" s="36"/>
      <c r="AY242" s="36"/>
      <c r="AZ242" s="36"/>
    </row>
    <row r="243" spans="2:52" ht="15" customHeight="1" x14ac:dyDescent="0.2">
      <c r="B243" s="900"/>
      <c r="C243" t="s">
        <v>364</v>
      </c>
      <c r="E243" s="299"/>
      <c r="F243" s="403"/>
      <c r="G243" s="812"/>
      <c r="H243" s="293"/>
      <c r="I243" s="812"/>
      <c r="J243" s="813"/>
      <c r="K243" s="293"/>
      <c r="L243" s="813"/>
      <c r="M243" s="293"/>
      <c r="N243" s="404"/>
      <c r="O243" s="293"/>
      <c r="P243" s="293"/>
      <c r="Q243" s="812"/>
      <c r="R243" s="813"/>
      <c r="S243" s="293"/>
      <c r="T243" s="404"/>
      <c r="U243" s="184">
        <f t="shared" si="55"/>
        <v>0</v>
      </c>
      <c r="V243" s="184">
        <f t="shared" si="56"/>
        <v>0</v>
      </c>
      <c r="W243" s="262">
        <f t="shared" si="57"/>
        <v>0</v>
      </c>
      <c r="X243" s="263">
        <f t="shared" si="57"/>
        <v>0</v>
      </c>
      <c r="Y243" s="292"/>
      <c r="Z243" s="293"/>
      <c r="AA243" s="261"/>
      <c r="AB243" s="134">
        <f>'A. Revenue by Function'!N219</f>
        <v>0</v>
      </c>
      <c r="AC243" s="257"/>
      <c r="AD243" s="45"/>
      <c r="AE243" s="45"/>
      <c r="AF243" s="257"/>
      <c r="AG243" s="45"/>
      <c r="AH243" s="256"/>
      <c r="AI243" s="45"/>
      <c r="AJ243" s="257" t="str">
        <f>'I. Eliminations-Consolidations'!A250</f>
        <v>I.7</v>
      </c>
      <c r="AK243" s="134">
        <f>'I. Eliminations-Consolidations'!L301</f>
        <v>0</v>
      </c>
      <c r="AL243" s="211"/>
      <c r="AM243" s="211"/>
      <c r="AN243" s="262">
        <f>W243+Y243+AA243+AD243+AI243+AL243</f>
        <v>0</v>
      </c>
      <c r="AO243" s="263">
        <f>X243+Z243+AB243+AG243+AK243+AM243</f>
        <v>0</v>
      </c>
      <c r="AP243" s="184">
        <f>IF(AN243-AO243&lt;0, " ",AN243-AO243)</f>
        <v>0</v>
      </c>
      <c r="AQ243" s="263">
        <f>IF(AN243-AO243&gt;0, " ", AO243-AN243)</f>
        <v>0</v>
      </c>
      <c r="AR243" s="184"/>
      <c r="AS243" s="263"/>
      <c r="AT243" s="36"/>
      <c r="AU243" s="36"/>
      <c r="AV243" s="36"/>
      <c r="AW243" s="36"/>
      <c r="AX243" s="36"/>
      <c r="AY243" s="36"/>
      <c r="AZ243" s="36"/>
    </row>
    <row r="244" spans="2:52" ht="4.5" customHeight="1" x14ac:dyDescent="0.2">
      <c r="B244" s="95"/>
      <c r="E244" s="299"/>
      <c r="F244" s="403"/>
      <c r="G244" s="812"/>
      <c r="H244" s="293"/>
      <c r="I244" s="812"/>
      <c r="J244" s="813"/>
      <c r="K244" s="293"/>
      <c r="L244" s="813"/>
      <c r="M244" s="293"/>
      <c r="N244" s="404"/>
      <c r="O244" s="293"/>
      <c r="P244" s="293"/>
      <c r="Q244" s="812"/>
      <c r="R244" s="813"/>
      <c r="S244" s="293"/>
      <c r="T244" s="404"/>
      <c r="U244" s="184"/>
      <c r="V244" s="184"/>
      <c r="W244" s="262"/>
      <c r="X244" s="263"/>
      <c r="Y244" s="292"/>
      <c r="Z244" s="293"/>
      <c r="AA244" s="261"/>
      <c r="AB244" s="134"/>
      <c r="AC244" s="257"/>
      <c r="AD244" s="45"/>
      <c r="AE244" s="45"/>
      <c r="AF244" s="257"/>
      <c r="AG244" s="45"/>
      <c r="AH244" s="256"/>
      <c r="AI244" s="45"/>
      <c r="AJ244" s="257"/>
      <c r="AK244" s="134"/>
      <c r="AL244" s="211"/>
      <c r="AM244" s="211"/>
      <c r="AN244" s="262"/>
      <c r="AO244" s="263"/>
      <c r="AP244" s="184"/>
      <c r="AQ244" s="263"/>
      <c r="AR244" s="184"/>
      <c r="AS244" s="263"/>
      <c r="AT244" s="36"/>
      <c r="AU244" s="36"/>
      <c r="AV244" s="36"/>
      <c r="AW244" s="36"/>
      <c r="AX244" s="36"/>
      <c r="AY244" s="36"/>
      <c r="AZ244" s="36"/>
    </row>
    <row r="245" spans="2:52" ht="12.75" customHeight="1" x14ac:dyDescent="0.2">
      <c r="B245" s="96" t="s">
        <v>242</v>
      </c>
      <c r="E245" s="299"/>
      <c r="F245" s="403"/>
      <c r="G245" s="812"/>
      <c r="H245" s="293"/>
      <c r="I245" s="812"/>
      <c r="J245" s="813"/>
      <c r="K245" s="293"/>
      <c r="L245" s="813"/>
      <c r="M245" s="293"/>
      <c r="N245" s="404"/>
      <c r="O245" s="293"/>
      <c r="P245" s="293"/>
      <c r="Q245" s="812"/>
      <c r="R245" s="813"/>
      <c r="S245" s="293"/>
      <c r="T245" s="404"/>
      <c r="U245" s="184"/>
      <c r="V245" s="184"/>
      <c r="W245" s="262"/>
      <c r="X245" s="263"/>
      <c r="Y245" s="292"/>
      <c r="Z245" s="293"/>
      <c r="AA245" s="261"/>
      <c r="AB245" s="134"/>
      <c r="AC245" s="257"/>
      <c r="AD245" s="45"/>
      <c r="AE245" s="45"/>
      <c r="AF245" s="257"/>
      <c r="AH245" s="256"/>
      <c r="AI245" s="45"/>
      <c r="AJ245" s="257"/>
      <c r="AK245" s="134"/>
      <c r="AL245" s="211"/>
      <c r="AM245" s="211"/>
      <c r="AN245" s="262"/>
      <c r="AO245" s="263"/>
      <c r="AP245" s="184"/>
      <c r="AQ245" s="263"/>
      <c r="AR245" s="184"/>
      <c r="AS245" s="263"/>
      <c r="AT245" s="36"/>
      <c r="AU245" s="36"/>
      <c r="AV245" s="36"/>
      <c r="AW245" s="36"/>
      <c r="AX245" s="36"/>
      <c r="AY245" s="36"/>
      <c r="AZ245" s="36"/>
    </row>
    <row r="246" spans="2:52" ht="15" customHeight="1" x14ac:dyDescent="0.2">
      <c r="B246" s="900" t="s">
        <v>18</v>
      </c>
      <c r="C246" t="s">
        <v>362</v>
      </c>
      <c r="E246" s="299"/>
      <c r="F246" s="403"/>
      <c r="G246" s="812"/>
      <c r="H246" s="293"/>
      <c r="I246" s="812"/>
      <c r="J246" s="813"/>
      <c r="K246" s="293"/>
      <c r="L246" s="813"/>
      <c r="M246" s="293"/>
      <c r="N246" s="404"/>
      <c r="O246" s="293"/>
      <c r="P246" s="293"/>
      <c r="Q246" s="812"/>
      <c r="R246" s="813"/>
      <c r="S246" s="293"/>
      <c r="T246" s="404"/>
      <c r="U246" s="184">
        <f t="shared" si="55"/>
        <v>0</v>
      </c>
      <c r="V246" s="184">
        <f t="shared" si="56"/>
        <v>0</v>
      </c>
      <c r="W246" s="262">
        <f t="shared" si="57"/>
        <v>0</v>
      </c>
      <c r="X246" s="263">
        <f t="shared" si="57"/>
        <v>0</v>
      </c>
      <c r="Y246" s="292"/>
      <c r="Z246" s="293"/>
      <c r="AA246" s="261"/>
      <c r="AB246" s="134">
        <f>'A. Revenue by Function'!N221</f>
        <v>0</v>
      </c>
      <c r="AC246" s="257"/>
      <c r="AD246" s="45"/>
      <c r="AE246" s="45"/>
      <c r="AF246" s="257"/>
      <c r="AG246" s="45"/>
      <c r="AH246" s="256"/>
      <c r="AI246" s="45"/>
      <c r="AJ246" s="257"/>
      <c r="AK246" s="134"/>
      <c r="AL246" s="211"/>
      <c r="AM246" s="211"/>
      <c r="AN246" s="262">
        <f>W246+Y246+AA246+AD246+AI246+AL246</f>
        <v>0</v>
      </c>
      <c r="AO246" s="263">
        <f>X246+Z246+AB246+AG246+AK246+AM246</f>
        <v>0</v>
      </c>
      <c r="AP246" s="184">
        <f>IF(AN246-AO246&lt;0, " ",AN246-AO246)</f>
        <v>0</v>
      </c>
      <c r="AQ246" s="263">
        <f>IF(AN246-AO246&gt;0, " ", AO246-AN246)</f>
        <v>0</v>
      </c>
      <c r="AR246" s="184"/>
      <c r="AS246" s="263"/>
      <c r="AT246" s="36"/>
      <c r="AU246" s="36"/>
      <c r="AV246" s="36"/>
      <c r="AW246" s="36"/>
      <c r="AX246" s="36"/>
      <c r="AY246" s="36"/>
      <c r="AZ246" s="36"/>
    </row>
    <row r="247" spans="2:52" ht="14.25" customHeight="1" x14ac:dyDescent="0.2">
      <c r="B247" s="900"/>
      <c r="C247" s="11" t="s">
        <v>363</v>
      </c>
      <c r="D247" s="11"/>
      <c r="E247" s="407"/>
      <c r="F247" s="307"/>
      <c r="G247" s="814"/>
      <c r="H247" s="295"/>
      <c r="I247" s="814"/>
      <c r="J247" s="815"/>
      <c r="K247" s="295"/>
      <c r="L247" s="815"/>
      <c r="M247" s="295"/>
      <c r="N247" s="408"/>
      <c r="O247" s="295"/>
      <c r="P247" s="295"/>
      <c r="Q247" s="814"/>
      <c r="R247" s="815"/>
      <c r="S247" s="295"/>
      <c r="T247" s="408"/>
      <c r="U247" s="184">
        <f t="shared" si="55"/>
        <v>0</v>
      </c>
      <c r="V247" s="184">
        <f t="shared" si="56"/>
        <v>0</v>
      </c>
      <c r="W247" s="262">
        <f t="shared" si="57"/>
        <v>0</v>
      </c>
      <c r="X247" s="263">
        <f t="shared" si="57"/>
        <v>0</v>
      </c>
      <c r="Y247" s="294"/>
      <c r="Z247" s="295"/>
      <c r="AA247" s="265"/>
      <c r="AB247" s="135">
        <f>'A. Revenue by Function'!N222</f>
        <v>1111</v>
      </c>
      <c r="AC247" s="266"/>
      <c r="AD247" s="44"/>
      <c r="AE247" s="44"/>
      <c r="AF247" s="266"/>
      <c r="AG247" s="44"/>
      <c r="AH247" s="267"/>
      <c r="AI247" s="44"/>
      <c r="AJ247" s="266" t="str">
        <f>'I. Eliminations-Consolidations'!A250</f>
        <v>I.7</v>
      </c>
      <c r="AK247" s="135">
        <f>'I. Eliminations-Consolidations'!L285</f>
        <v>0</v>
      </c>
      <c r="AL247" s="213"/>
      <c r="AM247" s="213"/>
      <c r="AN247" s="262">
        <f>W247+Y247+AA247+AD247+AI247+AL247</f>
        <v>0</v>
      </c>
      <c r="AO247" s="263">
        <f>X247+Z247+AB247+AG247+AK247+AM247</f>
        <v>1111</v>
      </c>
      <c r="AP247" s="184" t="str">
        <f>IF(AN247-AO247&lt;=0, " ",AN247-AO247)</f>
        <v xml:space="preserve"> </v>
      </c>
      <c r="AQ247" s="263">
        <f>IF(AN247-AO247&gt;=0, " ", AO247-AN247)</f>
        <v>1111</v>
      </c>
      <c r="AR247" s="184"/>
      <c r="AS247" s="263"/>
      <c r="AT247" s="36"/>
      <c r="AU247" s="36"/>
      <c r="AV247" s="36"/>
      <c r="AW247" s="36"/>
      <c r="AX247" s="36"/>
      <c r="AY247" s="36"/>
      <c r="AZ247" s="36"/>
    </row>
    <row r="248" spans="2:52" ht="15" customHeight="1" x14ac:dyDescent="0.2">
      <c r="B248" s="900"/>
      <c r="C248" t="s">
        <v>364</v>
      </c>
      <c r="E248" s="299"/>
      <c r="F248" s="403"/>
      <c r="G248" s="812"/>
      <c r="H248" s="293"/>
      <c r="I248" s="812"/>
      <c r="J248" s="813"/>
      <c r="K248" s="293"/>
      <c r="L248" s="813"/>
      <c r="M248" s="293"/>
      <c r="N248" s="404"/>
      <c r="O248" s="293"/>
      <c r="P248" s="293"/>
      <c r="Q248" s="812"/>
      <c r="R248" s="813"/>
      <c r="S248" s="293"/>
      <c r="T248" s="404"/>
      <c r="U248" s="184">
        <f t="shared" si="55"/>
        <v>0</v>
      </c>
      <c r="V248" s="184">
        <f t="shared" si="56"/>
        <v>0</v>
      </c>
      <c r="W248" s="262">
        <f t="shared" si="57"/>
        <v>0</v>
      </c>
      <c r="X248" s="263">
        <f t="shared" si="57"/>
        <v>0</v>
      </c>
      <c r="Y248" s="292"/>
      <c r="Z248" s="293"/>
      <c r="AA248" s="261"/>
      <c r="AB248" s="134">
        <f>'A. Revenue by Function'!N223</f>
        <v>0</v>
      </c>
      <c r="AC248" s="257"/>
      <c r="AD248" s="45"/>
      <c r="AE248" s="45"/>
      <c r="AF248" s="257"/>
      <c r="AG248" s="45"/>
      <c r="AH248" s="256"/>
      <c r="AI248" s="45"/>
      <c r="AJ248" s="257" t="str">
        <f>'I. Eliminations-Consolidations'!A250</f>
        <v>I.7</v>
      </c>
      <c r="AK248" s="134">
        <f>'I. Eliminations-Consolidations'!L302</f>
        <v>0</v>
      </c>
      <c r="AL248" s="211"/>
      <c r="AM248" s="211"/>
      <c r="AN248" s="262">
        <f>W248+Y248+AA248+AD248+AI248+AL248</f>
        <v>0</v>
      </c>
      <c r="AO248" s="263">
        <f>X248+Z248+AB248+AG248+AK248+AM248</f>
        <v>0</v>
      </c>
      <c r="AP248" s="184">
        <f>IF(AN248-AO248&lt;0, " ",AN248-AO248)</f>
        <v>0</v>
      </c>
      <c r="AQ248" s="263">
        <f t="shared" ref="AQ248:AQ258" si="62">IF(AN248-AO248&gt;0, " ", AO248-AN248)</f>
        <v>0</v>
      </c>
      <c r="AR248" s="184"/>
      <c r="AS248" s="263"/>
      <c r="AT248" s="36"/>
      <c r="AU248" s="36"/>
      <c r="AV248" s="36"/>
      <c r="AW248" s="36"/>
      <c r="AX248" s="36"/>
      <c r="AY248" s="36"/>
      <c r="AZ248" s="36"/>
    </row>
    <row r="249" spans="2:52" ht="3.75" customHeight="1" x14ac:dyDescent="0.2">
      <c r="B249" s="180"/>
      <c r="E249" s="299"/>
      <c r="F249" s="403"/>
      <c r="G249" s="812"/>
      <c r="H249" s="293"/>
      <c r="I249" s="812"/>
      <c r="J249" s="813"/>
      <c r="K249" s="293"/>
      <c r="L249" s="813"/>
      <c r="M249" s="293"/>
      <c r="N249" s="404"/>
      <c r="O249" s="293"/>
      <c r="P249" s="293"/>
      <c r="Q249" s="812"/>
      <c r="R249" s="813"/>
      <c r="S249" s="293"/>
      <c r="T249" s="404"/>
      <c r="U249" s="184"/>
      <c r="V249" s="184"/>
      <c r="W249" s="262"/>
      <c r="X249" s="263"/>
      <c r="Y249" s="292"/>
      <c r="Z249" s="293"/>
      <c r="AA249" s="261"/>
      <c r="AB249" s="134"/>
      <c r="AC249" s="257"/>
      <c r="AD249" s="45"/>
      <c r="AE249" s="45"/>
      <c r="AF249" s="257"/>
      <c r="AG249" s="45"/>
      <c r="AH249" s="256"/>
      <c r="AI249" s="45"/>
      <c r="AJ249" s="257"/>
      <c r="AK249" s="134"/>
      <c r="AL249" s="211"/>
      <c r="AM249" s="211"/>
      <c r="AN249" s="262"/>
      <c r="AO249" s="263"/>
      <c r="AP249" s="184"/>
      <c r="AQ249" s="263"/>
      <c r="AR249" s="184"/>
      <c r="AS249" s="263"/>
      <c r="AT249" s="36"/>
      <c r="AU249" s="36"/>
      <c r="AV249" s="36"/>
      <c r="AW249" s="36"/>
      <c r="AX249" s="36"/>
      <c r="AY249" s="36"/>
      <c r="AZ249" s="36"/>
    </row>
    <row r="250" spans="2:52" ht="15" customHeight="1" x14ac:dyDescent="0.2">
      <c r="B250" s="4" t="s">
        <v>216</v>
      </c>
      <c r="E250" s="299"/>
      <c r="F250" s="403"/>
      <c r="G250" s="812"/>
      <c r="H250" s="293"/>
      <c r="I250" s="812"/>
      <c r="J250" s="813"/>
      <c r="K250" s="293"/>
      <c r="L250" s="813"/>
      <c r="M250" s="293"/>
      <c r="N250" s="404"/>
      <c r="O250" s="293"/>
      <c r="P250" s="293"/>
      <c r="Q250" s="812"/>
      <c r="R250" s="813"/>
      <c r="S250" s="293"/>
      <c r="T250" s="404"/>
      <c r="U250" s="184"/>
      <c r="V250" s="184"/>
      <c r="W250" s="262"/>
      <c r="X250" s="263"/>
      <c r="Y250" s="292"/>
      <c r="Z250" s="293"/>
      <c r="AA250" s="261"/>
      <c r="AB250" s="134"/>
      <c r="AC250" s="257"/>
      <c r="AD250" s="45"/>
      <c r="AE250" s="45"/>
      <c r="AF250" s="257"/>
      <c r="AG250" s="45"/>
      <c r="AH250" s="256"/>
      <c r="AI250" s="45"/>
      <c r="AJ250" s="257"/>
      <c r="AK250" s="134"/>
      <c r="AL250" s="211"/>
      <c r="AM250" s="211"/>
      <c r="AN250" s="262"/>
      <c r="AO250" s="263"/>
      <c r="AP250" s="184"/>
      <c r="AQ250" s="263"/>
      <c r="AR250" s="184"/>
      <c r="AS250" s="263"/>
      <c r="AT250" s="36"/>
      <c r="AU250" s="36"/>
      <c r="AV250" s="36"/>
      <c r="AW250" s="36"/>
      <c r="AX250" s="36"/>
      <c r="AY250" s="36"/>
      <c r="AZ250" s="36"/>
    </row>
    <row r="251" spans="2:52" ht="15" customHeight="1" x14ac:dyDescent="0.2">
      <c r="B251" s="180"/>
      <c r="C251" t="s">
        <v>203</v>
      </c>
      <c r="E251" s="299"/>
      <c r="F251" s="403"/>
      <c r="G251" s="812"/>
      <c r="H251" s="293"/>
      <c r="I251" s="812"/>
      <c r="J251" s="813"/>
      <c r="K251" s="293"/>
      <c r="L251" s="813"/>
      <c r="M251" s="293"/>
      <c r="N251" s="404"/>
      <c r="O251" s="293"/>
      <c r="P251" s="293"/>
      <c r="Q251" s="812"/>
      <c r="R251" s="813"/>
      <c r="S251" s="293"/>
      <c r="T251" s="404"/>
      <c r="U251" s="184">
        <f t="shared" si="55"/>
        <v>0</v>
      </c>
      <c r="V251" s="184">
        <f t="shared" si="56"/>
        <v>0</v>
      </c>
      <c r="W251" s="262">
        <f t="shared" si="57"/>
        <v>0</v>
      </c>
      <c r="X251" s="263">
        <f t="shared" si="57"/>
        <v>0</v>
      </c>
      <c r="Y251" s="292"/>
      <c r="Z251" s="293"/>
      <c r="AA251" s="261"/>
      <c r="AB251" s="134">
        <f>'A. Revenue by Function'!N225</f>
        <v>125000</v>
      </c>
      <c r="AC251" s="257"/>
      <c r="AD251" s="45"/>
      <c r="AE251" s="45"/>
      <c r="AF251" s="257"/>
      <c r="AG251" s="45"/>
      <c r="AH251" s="256"/>
      <c r="AI251" s="45"/>
      <c r="AJ251" s="257"/>
      <c r="AK251" s="134"/>
      <c r="AL251" s="211"/>
      <c r="AM251" s="211"/>
      <c r="AN251" s="262">
        <f t="shared" ref="AN251:AN258" si="63">W251+Y251+AA251+AD251+AI251+AL251</f>
        <v>0</v>
      </c>
      <c r="AO251" s="263">
        <f t="shared" ref="AO251:AO258" si="64">X251+Z251+AB251+AG251+AK251+AM251</f>
        <v>125000</v>
      </c>
      <c r="AP251" s="184" t="str">
        <f t="shared" ref="AP251:AP258" si="65">IF(AN251-AO251&lt;0, " ",AN251-AO251)</f>
        <v xml:space="preserve"> </v>
      </c>
      <c r="AQ251" s="263">
        <f t="shared" si="62"/>
        <v>125000</v>
      </c>
      <c r="AR251" s="184"/>
      <c r="AS251" s="263"/>
      <c r="AT251" s="36"/>
      <c r="AU251" s="36"/>
      <c r="AV251" s="36"/>
      <c r="AW251" s="36"/>
      <c r="AX251" s="36"/>
      <c r="AY251" s="36"/>
      <c r="AZ251" s="36"/>
    </row>
    <row r="252" spans="2:52" ht="15" customHeight="1" x14ac:dyDescent="0.2">
      <c r="B252" s="180"/>
      <c r="C252" t="s">
        <v>660</v>
      </c>
      <c r="E252" s="299"/>
      <c r="F252" s="403"/>
      <c r="G252" s="812"/>
      <c r="H252" s="293"/>
      <c r="I252" s="812"/>
      <c r="J252" s="813"/>
      <c r="K252" s="293"/>
      <c r="L252" s="813"/>
      <c r="M252" s="293"/>
      <c r="N252" s="404"/>
      <c r="O252" s="293"/>
      <c r="P252" s="293"/>
      <c r="Q252" s="812"/>
      <c r="R252" s="813"/>
      <c r="S252" s="293"/>
      <c r="T252" s="404"/>
      <c r="U252" s="184">
        <f t="shared" si="55"/>
        <v>0</v>
      </c>
      <c r="V252" s="184">
        <f t="shared" si="56"/>
        <v>0</v>
      </c>
      <c r="W252" s="262">
        <f t="shared" si="57"/>
        <v>0</v>
      </c>
      <c r="X252" s="263">
        <f t="shared" si="57"/>
        <v>0</v>
      </c>
      <c r="Y252" s="292"/>
      <c r="Z252" s="293"/>
      <c r="AA252" s="261"/>
      <c r="AB252" s="134">
        <f>'A. Revenue by Function'!N226</f>
        <v>0</v>
      </c>
      <c r="AC252" s="257"/>
      <c r="AD252" s="45"/>
      <c r="AE252" s="45"/>
      <c r="AF252" s="257"/>
      <c r="AG252" s="45"/>
      <c r="AH252" s="256"/>
      <c r="AI252" s="45"/>
      <c r="AJ252" s="257"/>
      <c r="AK252" s="134"/>
      <c r="AL252" s="211"/>
      <c r="AM252" s="211"/>
      <c r="AN252" s="262">
        <f t="shared" si="63"/>
        <v>0</v>
      </c>
      <c r="AO252" s="263">
        <f t="shared" si="64"/>
        <v>0</v>
      </c>
      <c r="AP252" s="184">
        <f t="shared" si="65"/>
        <v>0</v>
      </c>
      <c r="AQ252" s="263">
        <f t="shared" si="62"/>
        <v>0</v>
      </c>
      <c r="AR252" s="184"/>
      <c r="AS252" s="263"/>
      <c r="AT252" s="36"/>
      <c r="AU252" s="36"/>
      <c r="AV252" s="36"/>
      <c r="AW252" s="36"/>
      <c r="AX252" s="36"/>
      <c r="AY252" s="36"/>
      <c r="AZ252" s="36"/>
    </row>
    <row r="253" spans="2:52" ht="15" customHeight="1" x14ac:dyDescent="0.2">
      <c r="B253" s="180"/>
      <c r="C253" t="s">
        <v>204</v>
      </c>
      <c r="E253" s="299"/>
      <c r="F253" s="403"/>
      <c r="G253" s="812"/>
      <c r="H253" s="293"/>
      <c r="I253" s="812"/>
      <c r="J253" s="813"/>
      <c r="K253" s="293"/>
      <c r="L253" s="813"/>
      <c r="M253" s="293"/>
      <c r="N253" s="404"/>
      <c r="O253" s="293"/>
      <c r="P253" s="293"/>
      <c r="Q253" s="812"/>
      <c r="R253" s="813"/>
      <c r="S253" s="293"/>
      <c r="T253" s="404"/>
      <c r="U253" s="184">
        <f t="shared" si="55"/>
        <v>0</v>
      </c>
      <c r="V253" s="184">
        <f t="shared" si="56"/>
        <v>0</v>
      </c>
      <c r="W253" s="262">
        <f t="shared" si="57"/>
        <v>0</v>
      </c>
      <c r="X253" s="263">
        <f t="shared" si="57"/>
        <v>0</v>
      </c>
      <c r="Y253" s="292"/>
      <c r="Z253" s="293"/>
      <c r="AA253" s="261"/>
      <c r="AB253" s="134">
        <f>'A. Revenue by Function'!N227</f>
        <v>347531</v>
      </c>
      <c r="AC253" s="257"/>
      <c r="AD253" s="45"/>
      <c r="AE253" s="45"/>
      <c r="AF253" s="257"/>
      <c r="AG253" s="45"/>
      <c r="AH253" s="256"/>
      <c r="AI253" s="45"/>
      <c r="AJ253" s="257"/>
      <c r="AK253" s="134"/>
      <c r="AL253" s="211"/>
      <c r="AM253" s="211"/>
      <c r="AN253" s="262">
        <f t="shared" si="63"/>
        <v>0</v>
      </c>
      <c r="AO253" s="263">
        <f t="shared" si="64"/>
        <v>347531</v>
      </c>
      <c r="AP253" s="184" t="str">
        <f t="shared" si="65"/>
        <v xml:space="preserve"> </v>
      </c>
      <c r="AQ253" s="263">
        <f t="shared" si="62"/>
        <v>347531</v>
      </c>
      <c r="AR253" s="184"/>
      <c r="AS253" s="263"/>
      <c r="AT253" s="36"/>
      <c r="AU253" s="36"/>
      <c r="AV253" s="36"/>
      <c r="AW253" s="36"/>
      <c r="AX253" s="36"/>
      <c r="AY253" s="36"/>
      <c r="AZ253" s="36"/>
    </row>
    <row r="254" spans="2:52" ht="15" customHeight="1" x14ac:dyDescent="0.2">
      <c r="B254" s="180"/>
      <c r="C254" t="s">
        <v>200</v>
      </c>
      <c r="E254" s="299"/>
      <c r="F254" s="403"/>
      <c r="G254" s="812"/>
      <c r="H254" s="293"/>
      <c r="I254" s="812"/>
      <c r="J254" s="813"/>
      <c r="K254" s="293"/>
      <c r="L254" s="813"/>
      <c r="M254" s="293"/>
      <c r="N254" s="404"/>
      <c r="O254" s="293"/>
      <c r="P254" s="293"/>
      <c r="Q254" s="812"/>
      <c r="R254" s="813"/>
      <c r="S254" s="293"/>
      <c r="T254" s="404"/>
      <c r="U254" s="184">
        <f t="shared" si="55"/>
        <v>0</v>
      </c>
      <c r="V254" s="184">
        <f t="shared" si="56"/>
        <v>0</v>
      </c>
      <c r="W254" s="262">
        <f t="shared" si="57"/>
        <v>0</v>
      </c>
      <c r="X254" s="263">
        <f t="shared" si="57"/>
        <v>0</v>
      </c>
      <c r="Y254" s="292"/>
      <c r="Z254" s="293"/>
      <c r="AA254" s="261"/>
      <c r="AB254" s="134">
        <f>'A. Revenue by Function'!N228</f>
        <v>0</v>
      </c>
      <c r="AC254" s="257"/>
      <c r="AD254" s="45"/>
      <c r="AE254" s="45"/>
      <c r="AF254" s="257"/>
      <c r="AG254" s="45"/>
      <c r="AH254" s="256"/>
      <c r="AI254" s="45"/>
      <c r="AJ254" s="257"/>
      <c r="AK254" s="134"/>
      <c r="AL254" s="211"/>
      <c r="AM254" s="211"/>
      <c r="AN254" s="262">
        <f t="shared" si="63"/>
        <v>0</v>
      </c>
      <c r="AO254" s="263">
        <f t="shared" si="64"/>
        <v>0</v>
      </c>
      <c r="AP254" s="184">
        <f t="shared" si="65"/>
        <v>0</v>
      </c>
      <c r="AQ254" s="263">
        <f t="shared" si="62"/>
        <v>0</v>
      </c>
      <c r="AR254" s="184"/>
      <c r="AS254" s="263"/>
      <c r="AT254" s="36"/>
      <c r="AU254" s="36"/>
      <c r="AV254" s="36"/>
      <c r="AW254" s="36"/>
      <c r="AX254" s="36"/>
      <c r="AY254" s="36"/>
      <c r="AZ254" s="36"/>
    </row>
    <row r="255" spans="2:52" ht="15" customHeight="1" x14ac:dyDescent="0.2">
      <c r="B255" s="180"/>
      <c r="C255" t="s">
        <v>217</v>
      </c>
      <c r="E255" s="299"/>
      <c r="F255" s="403"/>
      <c r="G255" s="812"/>
      <c r="H255" s="293"/>
      <c r="I255" s="812"/>
      <c r="J255" s="813"/>
      <c r="K255" s="293"/>
      <c r="L255" s="813"/>
      <c r="M255" s="293"/>
      <c r="N255" s="404"/>
      <c r="O255" s="293"/>
      <c r="P255" s="293"/>
      <c r="Q255" s="812"/>
      <c r="R255" s="813"/>
      <c r="S255" s="293"/>
      <c r="T255" s="404"/>
      <c r="U255" s="184">
        <f t="shared" si="55"/>
        <v>0</v>
      </c>
      <c r="V255" s="184">
        <f t="shared" si="56"/>
        <v>0</v>
      </c>
      <c r="W255" s="262">
        <f t="shared" si="57"/>
        <v>0</v>
      </c>
      <c r="X255" s="263">
        <f t="shared" si="57"/>
        <v>0</v>
      </c>
      <c r="Y255" s="292"/>
      <c r="Z255" s="293"/>
      <c r="AA255" s="261"/>
      <c r="AB255" s="134">
        <f>'A. Revenue by Function'!N229</f>
        <v>27941</v>
      </c>
      <c r="AC255" s="257"/>
      <c r="AD255" s="45"/>
      <c r="AE255" s="45"/>
      <c r="AF255" s="257"/>
      <c r="AG255" s="45"/>
      <c r="AH255" s="256"/>
      <c r="AI255" s="45"/>
      <c r="AJ255" s="257"/>
      <c r="AK255" s="134"/>
      <c r="AL255" s="211"/>
      <c r="AM255" s="211"/>
      <c r="AN255" s="262">
        <f t="shared" si="63"/>
        <v>0</v>
      </c>
      <c r="AO255" s="263">
        <f t="shared" si="64"/>
        <v>27941</v>
      </c>
      <c r="AP255" s="184" t="str">
        <f t="shared" si="65"/>
        <v xml:space="preserve"> </v>
      </c>
      <c r="AQ255" s="263">
        <f t="shared" si="62"/>
        <v>27941</v>
      </c>
      <c r="AR255" s="184"/>
      <c r="AS255" s="263"/>
      <c r="AT255" s="36"/>
      <c r="AU255" s="36"/>
      <c r="AV255" s="36"/>
      <c r="AW255" s="36"/>
      <c r="AX255" s="36"/>
      <c r="AY255" s="36"/>
      <c r="AZ255" s="36"/>
    </row>
    <row r="256" spans="2:52" ht="15" customHeight="1" x14ac:dyDescent="0.2">
      <c r="B256" s="180"/>
      <c r="C256" s="210" t="s">
        <v>205</v>
      </c>
      <c r="D256" s="210"/>
      <c r="E256" s="427"/>
      <c r="F256" s="428"/>
      <c r="G256" s="816"/>
      <c r="H256" s="297"/>
      <c r="I256" s="816"/>
      <c r="J256" s="817"/>
      <c r="K256" s="297"/>
      <c r="L256" s="817"/>
      <c r="M256" s="297"/>
      <c r="N256" s="429"/>
      <c r="O256" s="297"/>
      <c r="P256" s="297"/>
      <c r="Q256" s="816"/>
      <c r="R256" s="817"/>
      <c r="S256" s="297"/>
      <c r="T256" s="429"/>
      <c r="U256" s="184">
        <f t="shared" si="55"/>
        <v>0</v>
      </c>
      <c r="V256" s="184">
        <f t="shared" si="56"/>
        <v>0</v>
      </c>
      <c r="W256" s="262">
        <f t="shared" si="57"/>
        <v>0</v>
      </c>
      <c r="X256" s="263">
        <f t="shared" si="57"/>
        <v>0</v>
      </c>
      <c r="Y256" s="296"/>
      <c r="Z256" s="297"/>
      <c r="AA256" s="268"/>
      <c r="AB256" s="178">
        <f>'A. Revenue by Function'!N231</f>
        <v>16087</v>
      </c>
      <c r="AC256" s="269" t="str">
        <f>'D.  Capital Asset Disposal'!$D$189</f>
        <v>D.1</v>
      </c>
      <c r="AD256" s="177">
        <f>'D.  Capital Asset Disposal'!M196</f>
        <v>0</v>
      </c>
      <c r="AE256" s="177"/>
      <c r="AF256" s="269" t="str">
        <f>'C. Capital Outlay &amp; Donations'!$D$154</f>
        <v>C.3</v>
      </c>
      <c r="AG256" s="177">
        <f>'C. Capital Outlay &amp; Donations'!M161</f>
        <v>0</v>
      </c>
      <c r="AH256" s="270"/>
      <c r="AI256" s="177"/>
      <c r="AJ256" s="269"/>
      <c r="AK256" s="178"/>
      <c r="AL256" s="215"/>
      <c r="AM256" s="215"/>
      <c r="AN256" s="262">
        <f t="shared" si="63"/>
        <v>0</v>
      </c>
      <c r="AO256" s="263">
        <f t="shared" si="64"/>
        <v>16087</v>
      </c>
      <c r="AP256" s="184" t="str">
        <f>IF(AN256+AN257-AO256-AO257&lt;0, " ",AN256+AN257-AO256-AO257)</f>
        <v xml:space="preserve"> </v>
      </c>
      <c r="AQ256" s="263">
        <f>IF(AN256+AN257-AO256-AO257&gt;0, " ", AO256+AO257-AN256-AN257)</f>
        <v>16087</v>
      </c>
      <c r="AR256" s="184"/>
      <c r="AS256" s="263"/>
      <c r="AT256" s="36"/>
      <c r="AU256" s="36"/>
      <c r="AV256" s="36"/>
      <c r="AW256" s="36"/>
      <c r="AX256" s="36"/>
      <c r="AY256" s="36"/>
      <c r="AZ256" s="36"/>
    </row>
    <row r="257" spans="1:52" ht="15" customHeight="1" x14ac:dyDescent="0.2">
      <c r="B257" s="180"/>
      <c r="C257" s="210"/>
      <c r="D257" s="210"/>
      <c r="E257" s="427"/>
      <c r="F257" s="428"/>
      <c r="G257" s="816"/>
      <c r="H257" s="297"/>
      <c r="I257" s="816"/>
      <c r="J257" s="817"/>
      <c r="K257" s="297"/>
      <c r="L257" s="817"/>
      <c r="M257" s="297"/>
      <c r="N257" s="429"/>
      <c r="O257" s="297"/>
      <c r="P257" s="297"/>
      <c r="Q257" s="816"/>
      <c r="R257" s="817"/>
      <c r="S257" s="297"/>
      <c r="T257" s="429"/>
      <c r="U257" s="184">
        <f t="shared" si="55"/>
        <v>0</v>
      </c>
      <c r="V257" s="184">
        <f t="shared" si="56"/>
        <v>0</v>
      </c>
      <c r="W257" s="262">
        <f t="shared" si="57"/>
        <v>0</v>
      </c>
      <c r="X257" s="263">
        <f t="shared" si="57"/>
        <v>0</v>
      </c>
      <c r="Y257" s="296"/>
      <c r="Z257" s="297"/>
      <c r="AA257" s="268"/>
      <c r="AB257" s="178"/>
      <c r="AC257" s="269"/>
      <c r="AD257" s="177"/>
      <c r="AE257" s="177"/>
      <c r="AF257" s="269" t="str">
        <f>'D.  Capital Asset Disposal'!$D$189</f>
        <v>D.1</v>
      </c>
      <c r="AG257" s="177">
        <f>'D.  Capital Asset Disposal'!O224</f>
        <v>0</v>
      </c>
      <c r="AH257" s="270"/>
      <c r="AI257" s="177"/>
      <c r="AJ257" s="269" t="str">
        <f>'I. Eliminations-Consolidations'!A305</f>
        <v>I.8</v>
      </c>
      <c r="AK257" s="178">
        <f>'I. Eliminations-Consolidations'!L306</f>
        <v>0</v>
      </c>
      <c r="AL257" s="215"/>
      <c r="AM257" s="215"/>
      <c r="AN257" s="262">
        <f t="shared" si="63"/>
        <v>0</v>
      </c>
      <c r="AO257" s="263">
        <f t="shared" si="64"/>
        <v>0</v>
      </c>
      <c r="AP257" s="184"/>
      <c r="AQ257" s="263"/>
      <c r="AR257" s="184"/>
      <c r="AS257" s="263"/>
      <c r="AT257" s="36"/>
      <c r="AU257" s="36"/>
      <c r="AV257" s="36"/>
      <c r="AW257" s="36"/>
      <c r="AX257" s="36"/>
      <c r="AY257" s="36"/>
      <c r="AZ257" s="36"/>
    </row>
    <row r="258" spans="1:52" ht="15" customHeight="1" x14ac:dyDescent="0.2">
      <c r="B258" s="180"/>
      <c r="C258" t="s">
        <v>201</v>
      </c>
      <c r="E258" s="299"/>
      <c r="F258" s="403"/>
      <c r="G258" s="812"/>
      <c r="H258" s="293"/>
      <c r="I258" s="812"/>
      <c r="J258" s="813"/>
      <c r="K258" s="293"/>
      <c r="L258" s="813"/>
      <c r="M258" s="293"/>
      <c r="N258" s="404"/>
      <c r="O258" s="293"/>
      <c r="P258" s="293"/>
      <c r="Q258" s="812"/>
      <c r="R258" s="813"/>
      <c r="S258" s="293"/>
      <c r="T258" s="404"/>
      <c r="U258" s="184">
        <f t="shared" si="55"/>
        <v>0</v>
      </c>
      <c r="V258" s="184">
        <f t="shared" si="56"/>
        <v>0</v>
      </c>
      <c r="W258" s="262">
        <f t="shared" si="57"/>
        <v>0</v>
      </c>
      <c r="X258" s="263">
        <f t="shared" si="57"/>
        <v>0</v>
      </c>
      <c r="Y258" s="292"/>
      <c r="Z258" s="293"/>
      <c r="AA258" s="261"/>
      <c r="AB258" s="134">
        <f>'A. Revenue by Function'!N230</f>
        <v>7725</v>
      </c>
      <c r="AC258" s="257" t="str">
        <f>'G.  Other Asset Entries'!B90</f>
        <v>G.1</v>
      </c>
      <c r="AD258" s="45">
        <f>'G.  Other Asset Entries'!L93</f>
        <v>0</v>
      </c>
      <c r="AE258" s="45"/>
      <c r="AF258" s="257" t="str">
        <f>'G.  Other Asset Entries'!B90</f>
        <v>G.1</v>
      </c>
      <c r="AG258" s="45">
        <f>'G.  Other Asset Entries'!N93</f>
        <v>0</v>
      </c>
      <c r="AH258" s="256"/>
      <c r="AI258" s="45"/>
      <c r="AJ258" s="257"/>
      <c r="AK258" s="134"/>
      <c r="AL258" s="211"/>
      <c r="AM258" s="211"/>
      <c r="AN258" s="262">
        <f t="shared" si="63"/>
        <v>0</v>
      </c>
      <c r="AO258" s="263">
        <f t="shared" si="64"/>
        <v>7725</v>
      </c>
      <c r="AP258" s="184" t="str">
        <f t="shared" si="65"/>
        <v xml:space="preserve"> </v>
      </c>
      <c r="AQ258" s="263">
        <f t="shared" si="62"/>
        <v>7725</v>
      </c>
      <c r="AR258" s="184"/>
      <c r="AS258" s="263"/>
      <c r="AT258" s="36"/>
      <c r="AU258" s="36"/>
      <c r="AV258" s="36"/>
      <c r="AW258" s="36"/>
      <c r="AX258" s="36"/>
      <c r="AY258" s="36"/>
      <c r="AZ258" s="36"/>
    </row>
    <row r="259" spans="1:52" ht="5.25" customHeight="1" x14ac:dyDescent="0.2">
      <c r="A259" s="303"/>
      <c r="B259" s="402"/>
      <c r="C259" s="303"/>
      <c r="D259" s="303"/>
      <c r="E259" s="299"/>
      <c r="F259" s="403"/>
      <c r="G259" s="812"/>
      <c r="H259" s="293"/>
      <c r="I259" s="812"/>
      <c r="J259" s="813"/>
      <c r="K259" s="293"/>
      <c r="L259" s="813"/>
      <c r="M259" s="293"/>
      <c r="N259" s="404"/>
      <c r="O259" s="293"/>
      <c r="P259" s="293"/>
      <c r="Q259" s="812"/>
      <c r="R259" s="813"/>
      <c r="S259" s="293"/>
      <c r="T259" s="404"/>
      <c r="U259" s="184"/>
      <c r="V259" s="184"/>
      <c r="W259" s="262"/>
      <c r="X259" s="263"/>
      <c r="Y259" s="292"/>
      <c r="Z259" s="293"/>
      <c r="AA259" s="261"/>
      <c r="AB259" s="134"/>
      <c r="AC259" s="257"/>
      <c r="AD259" s="45"/>
      <c r="AE259" s="45"/>
      <c r="AF259" s="257"/>
      <c r="AG259" s="45"/>
      <c r="AH259" s="256"/>
      <c r="AI259" s="45"/>
      <c r="AJ259" s="257"/>
      <c r="AK259" s="134"/>
      <c r="AL259" s="211"/>
      <c r="AM259" s="211"/>
      <c r="AN259" s="262"/>
      <c r="AO259" s="263"/>
      <c r="AP259" s="184"/>
      <c r="AQ259" s="263"/>
      <c r="AR259" s="184"/>
      <c r="AS259" s="263"/>
      <c r="AT259" s="36"/>
      <c r="AU259" s="36"/>
      <c r="AV259" s="36"/>
      <c r="AW259" s="36"/>
      <c r="AX259" s="36"/>
      <c r="AY259" s="36"/>
      <c r="AZ259" s="36"/>
    </row>
    <row r="260" spans="1:52" ht="3.75" customHeight="1" x14ac:dyDescent="0.2">
      <c r="A260" s="324"/>
      <c r="B260" s="324"/>
      <c r="C260" s="324"/>
      <c r="D260" s="303"/>
      <c r="E260" s="299"/>
      <c r="F260" s="403"/>
      <c r="G260" s="812"/>
      <c r="H260" s="293"/>
      <c r="I260" s="812"/>
      <c r="J260" s="813"/>
      <c r="K260" s="293"/>
      <c r="L260" s="813"/>
      <c r="M260" s="293"/>
      <c r="N260" s="404"/>
      <c r="O260" s="293"/>
      <c r="P260" s="293"/>
      <c r="Q260" s="812"/>
      <c r="R260" s="813"/>
      <c r="S260" s="293"/>
      <c r="T260" s="404"/>
      <c r="U260" s="184"/>
      <c r="V260" s="184"/>
      <c r="W260" s="262"/>
      <c r="X260" s="263"/>
      <c r="Y260" s="292"/>
      <c r="Z260" s="293"/>
      <c r="AA260" s="261"/>
      <c r="AB260" s="134"/>
      <c r="AC260" s="257"/>
      <c r="AD260" s="45"/>
      <c r="AE260" s="45"/>
      <c r="AF260" s="257"/>
      <c r="AG260" s="45"/>
      <c r="AH260" s="256"/>
      <c r="AI260" s="45"/>
      <c r="AJ260" s="257"/>
      <c r="AK260" s="134"/>
      <c r="AL260" s="211"/>
      <c r="AM260" s="211"/>
      <c r="AN260" s="262"/>
      <c r="AO260" s="263"/>
      <c r="AP260" s="184"/>
      <c r="AQ260" s="263"/>
      <c r="AR260" s="184"/>
      <c r="AS260" s="263"/>
      <c r="AT260" s="36"/>
      <c r="AU260" s="36"/>
      <c r="AV260" s="36"/>
      <c r="AW260" s="36"/>
      <c r="AX260" s="36"/>
      <c r="AY260" s="36"/>
      <c r="AZ260" s="36"/>
    </row>
    <row r="261" spans="1:52" ht="26.25" customHeight="1" x14ac:dyDescent="0.2">
      <c r="A261" s="947" t="s">
        <v>581</v>
      </c>
      <c r="B261" s="947"/>
      <c r="C261" s="947"/>
      <c r="D261" s="405"/>
      <c r="E261" s="299"/>
      <c r="F261" s="403"/>
      <c r="G261" s="812"/>
      <c r="H261" s="293"/>
      <c r="I261" s="812"/>
      <c r="J261" s="813"/>
      <c r="K261" s="293"/>
      <c r="L261" s="813"/>
      <c r="M261" s="293"/>
      <c r="N261" s="404"/>
      <c r="O261" s="293"/>
      <c r="P261" s="293"/>
      <c r="Q261" s="812"/>
      <c r="R261" s="813"/>
      <c r="S261" s="293"/>
      <c r="T261" s="404"/>
      <c r="U261" s="184"/>
      <c r="V261" s="184"/>
      <c r="W261" s="262"/>
      <c r="X261" s="263"/>
      <c r="Y261" s="292"/>
      <c r="Z261" s="293"/>
      <c r="AA261" s="261"/>
      <c r="AB261" s="134"/>
      <c r="AC261" s="257"/>
      <c r="AD261" s="45"/>
      <c r="AE261" s="45"/>
      <c r="AF261" s="257"/>
      <c r="AG261" s="45"/>
      <c r="AH261" s="256"/>
      <c r="AI261" s="45"/>
      <c r="AJ261" s="257"/>
      <c r="AK261" s="134"/>
      <c r="AL261" s="211"/>
      <c r="AM261" s="211"/>
      <c r="AN261" s="262"/>
      <c r="AO261" s="263"/>
      <c r="AP261" s="184"/>
      <c r="AQ261" s="263"/>
      <c r="AR261" s="184"/>
      <c r="AS261" s="263"/>
      <c r="AT261" s="36"/>
      <c r="AU261" s="36"/>
      <c r="AV261" s="36"/>
      <c r="AW261" s="36"/>
      <c r="AX261" s="36"/>
      <c r="AY261" s="36"/>
      <c r="AZ261" s="36"/>
    </row>
    <row r="262" spans="1:52" ht="3.75" customHeight="1" x14ac:dyDescent="0.2">
      <c r="A262" s="317"/>
      <c r="B262" s="317"/>
      <c r="C262" s="317"/>
      <c r="D262" s="317"/>
      <c r="E262" s="299"/>
      <c r="F262" s="403"/>
      <c r="G262" s="812"/>
      <c r="H262" s="293"/>
      <c r="I262" s="812"/>
      <c r="J262" s="813"/>
      <c r="K262" s="293"/>
      <c r="L262" s="813"/>
      <c r="M262" s="293"/>
      <c r="N262" s="404"/>
      <c r="O262" s="293"/>
      <c r="P262" s="293"/>
      <c r="Q262" s="812"/>
      <c r="R262" s="813"/>
      <c r="S262" s="293"/>
      <c r="T262" s="404"/>
      <c r="U262" s="184"/>
      <c r="V262" s="184"/>
      <c r="W262" s="262"/>
      <c r="X262" s="263"/>
      <c r="Y262" s="292"/>
      <c r="Z262" s="293"/>
      <c r="AA262" s="261"/>
      <c r="AB262" s="134"/>
      <c r="AC262" s="257"/>
      <c r="AD262" s="45"/>
      <c r="AE262" s="45"/>
      <c r="AF262" s="257"/>
      <c r="AG262" s="45"/>
      <c r="AH262" s="256"/>
      <c r="AI262" s="45"/>
      <c r="AJ262" s="257"/>
      <c r="AK262" s="134"/>
      <c r="AL262" s="211"/>
      <c r="AM262" s="211"/>
      <c r="AN262" s="262"/>
      <c r="AO262" s="263"/>
      <c r="AP262" s="184"/>
      <c r="AQ262" s="263"/>
      <c r="AR262" s="184"/>
      <c r="AS262" s="263"/>
      <c r="AT262" s="36"/>
      <c r="AU262" s="36"/>
      <c r="AV262" s="36"/>
      <c r="AW262" s="36"/>
      <c r="AX262" s="36"/>
      <c r="AY262" s="36"/>
      <c r="AZ262" s="36"/>
    </row>
    <row r="263" spans="1:52" x14ac:dyDescent="0.2">
      <c r="A263" s="11"/>
      <c r="B263" s="195" t="s">
        <v>497</v>
      </c>
      <c r="C263" s="176"/>
      <c r="D263" s="176"/>
      <c r="E263" s="206">
        <v>60196</v>
      </c>
      <c r="F263" s="207"/>
      <c r="G263" s="806">
        <v>160273</v>
      </c>
      <c r="H263" s="215"/>
      <c r="I263" s="806"/>
      <c r="J263" s="807"/>
      <c r="K263" s="215"/>
      <c r="L263" s="807"/>
      <c r="M263" s="215"/>
      <c r="N263" s="216"/>
      <c r="O263" s="215">
        <v>25552</v>
      </c>
      <c r="P263" s="215"/>
      <c r="Q263" s="806"/>
      <c r="R263" s="807"/>
      <c r="S263" s="215"/>
      <c r="T263" s="216"/>
      <c r="U263" s="184">
        <f t="shared" si="55"/>
        <v>25552</v>
      </c>
      <c r="V263" s="184">
        <f t="shared" si="56"/>
        <v>0</v>
      </c>
      <c r="W263" s="262">
        <f>E263+G263+I263+K263+M263+U263</f>
        <v>246021</v>
      </c>
      <c r="X263" s="263">
        <f>F263+H263+J263+L263+N263+V263</f>
        <v>0</v>
      </c>
      <c r="Y263" s="296"/>
      <c r="Z263" s="297"/>
      <c r="AA263" s="268"/>
      <c r="AB263" s="178"/>
      <c r="AC263" s="269" t="str">
        <f>'B. Depreciation'!A54</f>
        <v>B.1</v>
      </c>
      <c r="AD263" s="177">
        <f>'B. Depreciation'!J54</f>
        <v>55135</v>
      </c>
      <c r="AE263" s="177"/>
      <c r="AF263" s="269" t="str">
        <f>'C. Capital Outlay &amp; Donations'!$D$100</f>
        <v>C.1</v>
      </c>
      <c r="AG263" s="177">
        <f>'C. Capital Outlay &amp; Donations'!M108</f>
        <v>4278</v>
      </c>
      <c r="AH263" s="270" t="str">
        <f>'I. Eliminations-Consolidations'!A250</f>
        <v>I.7</v>
      </c>
      <c r="AI263" s="177">
        <f>'I. Eliminations-Consolidations'!J250</f>
        <v>0</v>
      </c>
      <c r="AJ263" s="269"/>
      <c r="AK263" s="178"/>
      <c r="AL263" s="215"/>
      <c r="AM263" s="215"/>
      <c r="AN263" s="262">
        <f t="shared" ref="AN263:AN269" si="66">W263+Y263+AA263+AD263+AI263+AL263</f>
        <v>301156</v>
      </c>
      <c r="AO263" s="263">
        <f t="shared" ref="AO263:AO269" si="67">X263+Z263+AB263+AG263+AK263+AM263</f>
        <v>4278</v>
      </c>
      <c r="AP263" s="184">
        <f>IF(SUM(AN263:AN269)-SUM(AO263:AO269)&lt;=0, " ",SUM(AN263:AN269)-SUM(AO263:AO269))</f>
        <v>464536</v>
      </c>
      <c r="AQ263" s="263" t="str">
        <f>IF(SUM(AN263:AN267)-SUM(AO263:AO267)&gt;=0, " ", SUM(AO263:AO267)-SUM(AN263:AN267))</f>
        <v xml:space="preserve"> </v>
      </c>
      <c r="AR263" s="184"/>
      <c r="AS263" s="263"/>
      <c r="AT263" s="36"/>
      <c r="AU263" s="36"/>
      <c r="AV263" s="36"/>
      <c r="AW263" s="36"/>
      <c r="AX263" s="36"/>
      <c r="AY263" s="36"/>
      <c r="AZ263" s="36"/>
    </row>
    <row r="264" spans="1:52" x14ac:dyDescent="0.2">
      <c r="A264" s="11"/>
      <c r="B264" s="195"/>
      <c r="C264" s="176"/>
      <c r="D264" s="176"/>
      <c r="E264" s="206"/>
      <c r="F264" s="207"/>
      <c r="G264" s="806">
        <v>166535</v>
      </c>
      <c r="H264" s="215"/>
      <c r="I264" s="806"/>
      <c r="J264" s="807"/>
      <c r="K264" s="215"/>
      <c r="L264" s="807"/>
      <c r="M264" s="215"/>
      <c r="N264" s="216"/>
      <c r="O264" s="215"/>
      <c r="P264" s="215"/>
      <c r="Q264" s="806"/>
      <c r="R264" s="807"/>
      <c r="S264" s="215"/>
      <c r="T264" s="216"/>
      <c r="U264" s="184">
        <f t="shared" si="55"/>
        <v>0</v>
      </c>
      <c r="V264" s="184">
        <f t="shared" si="56"/>
        <v>0</v>
      </c>
      <c r="W264" s="262">
        <f t="shared" si="57"/>
        <v>166535</v>
      </c>
      <c r="X264" s="263">
        <f t="shared" si="57"/>
        <v>0</v>
      </c>
      <c r="Y264" s="296"/>
      <c r="Z264" s="297"/>
      <c r="AA264" s="268"/>
      <c r="AB264" s="178"/>
      <c r="AC264" s="269" t="str">
        <f>'C. Capital Outlay &amp; Donations'!D130</f>
        <v>C.2</v>
      </c>
      <c r="AD264" s="179">
        <f>'C. Capital Outlay &amp; Donations'!K132</f>
        <v>0</v>
      </c>
      <c r="AE264" s="177"/>
      <c r="AF264" s="275" t="str">
        <f>'G.  Other Asset Entries'!$B$90</f>
        <v>G.1</v>
      </c>
      <c r="AG264" s="177">
        <f>'G.  Other Asset Entries'!N94</f>
        <v>0</v>
      </c>
      <c r="AH264" s="270"/>
      <c r="AI264" s="177"/>
      <c r="AJ264" s="269"/>
      <c r="AK264" s="178"/>
      <c r="AL264" s="215"/>
      <c r="AM264" s="215"/>
      <c r="AN264" s="262">
        <f t="shared" si="66"/>
        <v>166535</v>
      </c>
      <c r="AO264" s="263">
        <f t="shared" si="67"/>
        <v>0</v>
      </c>
      <c r="AP264" s="184"/>
      <c r="AQ264" s="263"/>
      <c r="AR264" s="184"/>
      <c r="AS264" s="263"/>
      <c r="AT264" s="36"/>
      <c r="AU264" s="36"/>
      <c r="AV264" s="36"/>
      <c r="AW264" s="36"/>
      <c r="AX264" s="36"/>
      <c r="AY264" s="36"/>
      <c r="AZ264" s="36"/>
    </row>
    <row r="265" spans="1:52" x14ac:dyDescent="0.2">
      <c r="A265" s="11"/>
      <c r="B265" s="195"/>
      <c r="C265" s="176"/>
      <c r="D265" s="176"/>
      <c r="E265" s="206"/>
      <c r="F265" s="207"/>
      <c r="G265" s="806">
        <v>328</v>
      </c>
      <c r="H265" s="215"/>
      <c r="I265" s="806"/>
      <c r="J265" s="807"/>
      <c r="K265" s="215"/>
      <c r="L265" s="807"/>
      <c r="M265" s="215"/>
      <c r="N265" s="216"/>
      <c r="O265" s="215"/>
      <c r="P265" s="215"/>
      <c r="Q265" s="806"/>
      <c r="R265" s="807"/>
      <c r="S265" s="215"/>
      <c r="T265" s="216"/>
      <c r="U265" s="184">
        <f t="shared" si="55"/>
        <v>0</v>
      </c>
      <c r="V265" s="184">
        <f t="shared" si="56"/>
        <v>0</v>
      </c>
      <c r="W265" s="262">
        <f t="shared" si="57"/>
        <v>328</v>
      </c>
      <c r="X265" s="263">
        <f t="shared" si="57"/>
        <v>0</v>
      </c>
      <c r="Y265" s="296"/>
      <c r="Z265" s="297"/>
      <c r="AA265" s="268"/>
      <c r="AB265" s="178"/>
      <c r="AC265" s="269" t="s">
        <v>132</v>
      </c>
      <c r="AD265" s="177">
        <f>'D.  Capital Asset Disposal'!M200</f>
        <v>0</v>
      </c>
      <c r="AE265" s="177"/>
      <c r="AF265" s="269" t="str">
        <f>'H. Other Liabilities &amp; Expenses'!$D$235</f>
        <v>H.1</v>
      </c>
      <c r="AG265" s="177">
        <f>'H. Other Liabilities &amp; Expenses'!N235</f>
        <v>6705</v>
      </c>
      <c r="AH265" s="270"/>
      <c r="AI265" s="177"/>
      <c r="AJ265" s="269"/>
      <c r="AK265" s="178"/>
      <c r="AL265" s="215"/>
      <c r="AM265" s="215"/>
      <c r="AN265" s="262">
        <f t="shared" si="66"/>
        <v>328</v>
      </c>
      <c r="AO265" s="263">
        <f t="shared" si="67"/>
        <v>6705</v>
      </c>
      <c r="AP265" s="184"/>
      <c r="AQ265" s="263"/>
      <c r="AR265" s="184"/>
      <c r="AS265" s="263"/>
      <c r="AT265" s="36"/>
      <c r="AU265" s="36"/>
      <c r="AV265" s="36"/>
      <c r="AW265" s="36"/>
      <c r="AX265" s="36"/>
      <c r="AY265" s="36"/>
      <c r="AZ265" s="36"/>
    </row>
    <row r="266" spans="1:52" x14ac:dyDescent="0.2">
      <c r="A266" s="11"/>
      <c r="B266" s="195"/>
      <c r="C266" s="176"/>
      <c r="D266" s="176"/>
      <c r="E266" s="206"/>
      <c r="F266" s="207"/>
      <c r="G266" s="806"/>
      <c r="H266" s="215"/>
      <c r="I266" s="806"/>
      <c r="J266" s="807"/>
      <c r="K266" s="215"/>
      <c r="L266" s="807"/>
      <c r="M266" s="215"/>
      <c r="N266" s="216"/>
      <c r="O266" s="215"/>
      <c r="P266" s="215"/>
      <c r="Q266" s="806"/>
      <c r="R266" s="807"/>
      <c r="S266" s="215"/>
      <c r="T266" s="216"/>
      <c r="U266" s="184">
        <f t="shared" si="55"/>
        <v>0</v>
      </c>
      <c r="V266" s="184">
        <f t="shared" si="56"/>
        <v>0</v>
      </c>
      <c r="W266" s="262">
        <f t="shared" si="57"/>
        <v>0</v>
      </c>
      <c r="X266" s="263">
        <f t="shared" si="57"/>
        <v>0</v>
      </c>
      <c r="Y266" s="296"/>
      <c r="Z266" s="297"/>
      <c r="AA266" s="268"/>
      <c r="AB266" s="178"/>
      <c r="AC266" s="269" t="str">
        <f>'H. Other Liabilities &amp; Expenses'!D235</f>
        <v>H.1</v>
      </c>
      <c r="AD266" s="177">
        <f>'H. Other Liabilities &amp; Expenses'!L235</f>
        <v>7500</v>
      </c>
      <c r="AE266" s="177"/>
      <c r="AF266" s="269" t="str">
        <f>'E. Debt Service'!$D$81</f>
        <v>E.1</v>
      </c>
      <c r="AG266" s="177">
        <f>'E. Debt Service'!N83</f>
        <v>0</v>
      </c>
      <c r="AH266" s="270"/>
      <c r="AI266" s="177"/>
      <c r="AJ266" s="269"/>
      <c r="AK266" s="178"/>
      <c r="AL266" s="215"/>
      <c r="AM266" s="215"/>
      <c r="AN266" s="262">
        <f t="shared" si="66"/>
        <v>7500</v>
      </c>
      <c r="AO266" s="263">
        <f t="shared" si="67"/>
        <v>0</v>
      </c>
      <c r="AP266" s="184"/>
      <c r="AQ266" s="263"/>
      <c r="AR266" s="184"/>
      <c r="AS266" s="263"/>
      <c r="AT266" s="36"/>
      <c r="AU266" s="36"/>
      <c r="AV266" s="36"/>
      <c r="AW266" s="36"/>
      <c r="AX266" s="36"/>
      <c r="AY266" s="36"/>
      <c r="AZ266" s="36"/>
    </row>
    <row r="267" spans="1:52" s="473" customFormat="1" x14ac:dyDescent="0.2">
      <c r="A267" s="474"/>
      <c r="B267" s="195"/>
      <c r="C267" s="176"/>
      <c r="D267" s="176"/>
      <c r="E267" s="206"/>
      <c r="F267" s="207"/>
      <c r="G267" s="806"/>
      <c r="H267" s="215"/>
      <c r="I267" s="806"/>
      <c r="J267" s="807"/>
      <c r="K267" s="215"/>
      <c r="L267" s="807"/>
      <c r="M267" s="215"/>
      <c r="N267" s="216"/>
      <c r="O267" s="215"/>
      <c r="P267" s="215"/>
      <c r="Q267" s="806"/>
      <c r="R267" s="807"/>
      <c r="S267" s="215"/>
      <c r="T267" s="216"/>
      <c r="U267" s="184"/>
      <c r="V267" s="184"/>
      <c r="W267" s="262"/>
      <c r="X267" s="263"/>
      <c r="Y267" s="296"/>
      <c r="Z267" s="297"/>
      <c r="AA267" s="268"/>
      <c r="AB267" s="178"/>
      <c r="AC267" s="269" t="s">
        <v>1080</v>
      </c>
      <c r="AD267" s="177">
        <f>'J. GASB 68 TSERS'!C93</f>
        <v>0</v>
      </c>
      <c r="AE267" s="177"/>
      <c r="AF267" s="269" t="s">
        <v>1080</v>
      </c>
      <c r="AG267" s="177">
        <f>'J. GASB 68 TSERS'!D93</f>
        <v>0</v>
      </c>
      <c r="AH267" s="270"/>
      <c r="AI267" s="177"/>
      <c r="AJ267" s="269"/>
      <c r="AK267" s="178"/>
      <c r="AL267" s="215"/>
      <c r="AM267" s="215"/>
      <c r="AN267" s="262">
        <f t="shared" si="66"/>
        <v>0</v>
      </c>
      <c r="AO267" s="263">
        <f t="shared" si="67"/>
        <v>0</v>
      </c>
      <c r="AP267" s="184"/>
      <c r="AQ267" s="263"/>
      <c r="AR267" s="184"/>
      <c r="AS267" s="263"/>
      <c r="AT267" s="36"/>
      <c r="AU267" s="36"/>
      <c r="AV267" s="36"/>
      <c r="AW267" s="36"/>
      <c r="AX267" s="36"/>
      <c r="AY267" s="36"/>
      <c r="AZ267" s="36"/>
    </row>
    <row r="268" spans="1:52" s="613" customFormat="1" x14ac:dyDescent="0.2">
      <c r="A268" s="615"/>
      <c r="B268" s="195"/>
      <c r="C268" s="176"/>
      <c r="D268" s="176"/>
      <c r="E268" s="206"/>
      <c r="F268" s="207"/>
      <c r="G268" s="806"/>
      <c r="H268" s="215"/>
      <c r="I268" s="806"/>
      <c r="J268" s="807"/>
      <c r="K268" s="215"/>
      <c r="L268" s="807"/>
      <c r="M268" s="215"/>
      <c r="N268" s="216"/>
      <c r="O268" s="215"/>
      <c r="P268" s="215"/>
      <c r="Q268" s="806"/>
      <c r="R268" s="807"/>
      <c r="S268" s="215"/>
      <c r="T268" s="216"/>
      <c r="U268" s="184"/>
      <c r="V268" s="184"/>
      <c r="W268" s="262"/>
      <c r="X268" s="263"/>
      <c r="Y268" s="296"/>
      <c r="Z268" s="297"/>
      <c r="AA268" s="268"/>
      <c r="AB268" s="178"/>
      <c r="AC268" s="674" t="s">
        <v>1519</v>
      </c>
      <c r="AD268" s="177">
        <f>'K. GASB 75 RHBF'!C94</f>
        <v>0</v>
      </c>
      <c r="AE268" s="177"/>
      <c r="AF268" s="269" t="s">
        <v>1518</v>
      </c>
      <c r="AG268" s="177">
        <f>'K. GASB 75 RHBF'!D120</f>
        <v>0</v>
      </c>
      <c r="AH268" s="270"/>
      <c r="AI268" s="177"/>
      <c r="AJ268" s="269"/>
      <c r="AK268" s="178"/>
      <c r="AL268" s="215"/>
      <c r="AM268" s="215"/>
      <c r="AN268" s="262">
        <f t="shared" si="66"/>
        <v>0</v>
      </c>
      <c r="AO268" s="263">
        <f t="shared" si="67"/>
        <v>0</v>
      </c>
      <c r="AP268" s="184"/>
      <c r="AQ268" s="263"/>
      <c r="AR268" s="184"/>
      <c r="AS268" s="263"/>
      <c r="AT268" s="36"/>
      <c r="AU268" s="36"/>
      <c r="AV268" s="36"/>
      <c r="AW268" s="36"/>
      <c r="AX268" s="36"/>
      <c r="AY268" s="36"/>
      <c r="AZ268" s="36"/>
    </row>
    <row r="269" spans="1:52" s="739" customFormat="1" x14ac:dyDescent="0.2">
      <c r="A269" s="740"/>
      <c r="B269" s="195"/>
      <c r="C269" s="176"/>
      <c r="D269" s="176"/>
      <c r="E269" s="206"/>
      <c r="F269" s="207"/>
      <c r="G269" s="806"/>
      <c r="H269" s="215"/>
      <c r="I269" s="806"/>
      <c r="J269" s="807"/>
      <c r="K269" s="215"/>
      <c r="L269" s="807"/>
      <c r="M269" s="215"/>
      <c r="N269" s="216"/>
      <c r="O269" s="215"/>
      <c r="P269" s="215"/>
      <c r="Q269" s="806"/>
      <c r="R269" s="807"/>
      <c r="S269" s="215"/>
      <c r="T269" s="216"/>
      <c r="U269" s="184"/>
      <c r="V269" s="184"/>
      <c r="W269" s="262"/>
      <c r="X269" s="263"/>
      <c r="Y269" s="296"/>
      <c r="Z269" s="297"/>
      <c r="AA269" s="268"/>
      <c r="AB269" s="178"/>
      <c r="AC269" s="674" t="s">
        <v>1633</v>
      </c>
      <c r="AD269" s="177">
        <f>'L. GASB 75 DIPNC'!C94</f>
        <v>0</v>
      </c>
      <c r="AE269" s="177"/>
      <c r="AF269" s="269" t="s">
        <v>1633</v>
      </c>
      <c r="AG269" s="177">
        <f>'L. GASB 75 DIPNC'!D120</f>
        <v>0</v>
      </c>
      <c r="AH269" s="270"/>
      <c r="AI269" s="177"/>
      <c r="AJ269" s="269"/>
      <c r="AK269" s="178"/>
      <c r="AL269" s="215"/>
      <c r="AM269" s="215"/>
      <c r="AN269" s="262">
        <f t="shared" si="66"/>
        <v>0</v>
      </c>
      <c r="AO269" s="263">
        <f t="shared" si="67"/>
        <v>0</v>
      </c>
      <c r="AP269" s="184"/>
      <c r="AQ269" s="263"/>
      <c r="AR269" s="184"/>
      <c r="AS269" s="263"/>
      <c r="AT269" s="36"/>
      <c r="AU269" s="36"/>
      <c r="AV269" s="36"/>
      <c r="AW269" s="36"/>
      <c r="AX269" s="36"/>
      <c r="AY269" s="36"/>
      <c r="AZ269" s="36"/>
    </row>
    <row r="270" spans="1:52" x14ac:dyDescent="0.2">
      <c r="A270" s="303"/>
      <c r="B270" s="303"/>
      <c r="C270" s="306"/>
      <c r="D270" s="306"/>
      <c r="E270" s="299"/>
      <c r="F270" s="403"/>
      <c r="G270" s="812"/>
      <c r="H270" s="293"/>
      <c r="I270" s="812"/>
      <c r="J270" s="813"/>
      <c r="K270" s="293"/>
      <c r="L270" s="813"/>
      <c r="M270" s="293"/>
      <c r="N270" s="404"/>
      <c r="O270" s="293"/>
      <c r="P270" s="293"/>
      <c r="Q270" s="812"/>
      <c r="R270" s="813"/>
      <c r="S270" s="293"/>
      <c r="T270" s="404"/>
      <c r="U270" s="184"/>
      <c r="V270" s="184"/>
      <c r="W270" s="262"/>
      <c r="X270" s="263"/>
      <c r="Y270" s="292"/>
      <c r="Z270" s="293"/>
      <c r="AA270" s="261"/>
      <c r="AB270" s="134"/>
      <c r="AC270" s="276"/>
      <c r="AE270" s="45"/>
      <c r="AF270" s="257"/>
      <c r="AG270" s="45"/>
      <c r="AH270" s="256"/>
      <c r="AI270" s="45"/>
      <c r="AJ270" s="257"/>
      <c r="AK270" s="134"/>
      <c r="AL270" s="211"/>
      <c r="AM270" s="211"/>
      <c r="AN270" s="262"/>
      <c r="AO270" s="263"/>
      <c r="AP270" s="184"/>
      <c r="AQ270" s="263"/>
      <c r="AR270" s="184"/>
      <c r="AS270" s="263"/>
      <c r="AT270" s="36"/>
      <c r="AU270" s="36"/>
      <c r="AV270" s="36"/>
      <c r="AW270" s="36"/>
      <c r="AX270" s="36"/>
      <c r="AY270" s="36"/>
      <c r="AZ270" s="36"/>
    </row>
    <row r="271" spans="1:52" x14ac:dyDescent="0.2">
      <c r="A271" s="11"/>
      <c r="B271" s="195" t="s">
        <v>498</v>
      </c>
      <c r="C271" s="176"/>
      <c r="D271" s="176"/>
      <c r="E271" s="206"/>
      <c r="F271" s="207"/>
      <c r="G271" s="806"/>
      <c r="H271" s="215"/>
      <c r="I271" s="806"/>
      <c r="J271" s="807"/>
      <c r="K271" s="215"/>
      <c r="L271" s="807"/>
      <c r="M271" s="215"/>
      <c r="N271" s="216"/>
      <c r="O271" s="215"/>
      <c r="P271" s="215"/>
      <c r="Q271" s="806"/>
      <c r="R271" s="807"/>
      <c r="S271" s="215"/>
      <c r="T271" s="216"/>
      <c r="U271" s="184">
        <f t="shared" si="55"/>
        <v>0</v>
      </c>
      <c r="V271" s="184">
        <f t="shared" si="56"/>
        <v>0</v>
      </c>
      <c r="W271" s="262">
        <f t="shared" si="57"/>
        <v>0</v>
      </c>
      <c r="X271" s="263">
        <f t="shared" si="57"/>
        <v>0</v>
      </c>
      <c r="Y271" s="296"/>
      <c r="Z271" s="297"/>
      <c r="AA271" s="268"/>
      <c r="AB271" s="178"/>
      <c r="AC271" s="269" t="str">
        <f>'B. Depreciation'!A54</f>
        <v>B.1</v>
      </c>
      <c r="AD271" s="177">
        <f>'B. Depreciation'!J55</f>
        <v>0</v>
      </c>
      <c r="AE271" s="177"/>
      <c r="AF271" s="269" t="str">
        <f>'C. Capital Outlay &amp; Donations'!$D$100</f>
        <v>C.1</v>
      </c>
      <c r="AG271" s="177">
        <f>'C. Capital Outlay &amp; Donations'!M109</f>
        <v>0</v>
      </c>
      <c r="AH271" s="270" t="str">
        <f>'I. Eliminations-Consolidations'!A250</f>
        <v>I.7</v>
      </c>
      <c r="AI271" s="177">
        <f>'I. Eliminations-Consolidations'!J251</f>
        <v>0</v>
      </c>
      <c r="AJ271" s="269"/>
      <c r="AK271" s="178"/>
      <c r="AL271" s="215"/>
      <c r="AM271" s="215"/>
      <c r="AN271" s="262">
        <f t="shared" ref="AN271:AN276" si="68">W271+Y271+AA271+AD271+AI271+AL271</f>
        <v>0</v>
      </c>
      <c r="AO271" s="263">
        <f t="shared" ref="AO271:AO276" si="69">X271+Z271+AB271+AG271+AK271+AM271</f>
        <v>0</v>
      </c>
      <c r="AP271" s="184" t="str">
        <f>IF(SUM(AN271:AN277)-SUM(AO271:AO277)&lt;=0, " ",SUM(AN271:AN277)-SUM(AO271:AO277))</f>
        <v xml:space="preserve"> </v>
      </c>
      <c r="AQ271" s="263" t="str">
        <f>IF(SUM(AN271:AN275)-SUM(AO271:AO275)&gt;=0, " ", SUM(AO271:AO275)-SUM(AN271:AN275))</f>
        <v xml:space="preserve"> </v>
      </c>
      <c r="AR271" s="184"/>
      <c r="AS271" s="263"/>
      <c r="AT271" s="36"/>
      <c r="AU271" s="36"/>
      <c r="AV271" s="36"/>
      <c r="AW271" s="36"/>
      <c r="AX271" s="36"/>
      <c r="AY271" s="36"/>
      <c r="AZ271" s="36"/>
    </row>
    <row r="272" spans="1:52" x14ac:dyDescent="0.2">
      <c r="A272" s="11"/>
      <c r="B272" s="195"/>
      <c r="C272" s="176"/>
      <c r="D272" s="176"/>
      <c r="E272" s="206"/>
      <c r="F272" s="207"/>
      <c r="G272" s="806"/>
      <c r="H272" s="215"/>
      <c r="I272" s="806"/>
      <c r="J272" s="807"/>
      <c r="K272" s="215"/>
      <c r="L272" s="807"/>
      <c r="M272" s="215"/>
      <c r="N272" s="216"/>
      <c r="O272" s="215"/>
      <c r="P272" s="215"/>
      <c r="Q272" s="806"/>
      <c r="R272" s="807"/>
      <c r="S272" s="215"/>
      <c r="T272" s="216"/>
      <c r="U272" s="184">
        <f t="shared" si="55"/>
        <v>0</v>
      </c>
      <c r="V272" s="184">
        <f t="shared" si="56"/>
        <v>0</v>
      </c>
      <c r="W272" s="262">
        <f t="shared" si="57"/>
        <v>0</v>
      </c>
      <c r="X272" s="263">
        <f t="shared" si="57"/>
        <v>0</v>
      </c>
      <c r="Y272" s="296"/>
      <c r="Z272" s="297"/>
      <c r="AA272" s="268"/>
      <c r="AB272" s="178"/>
      <c r="AC272" s="269" t="str">
        <f>'H. Other Liabilities &amp; Expenses'!D235</f>
        <v>H.1</v>
      </c>
      <c r="AD272" s="177">
        <f>'H. Other Liabilities &amp; Expenses'!L236</f>
        <v>0</v>
      </c>
      <c r="AE272" s="177"/>
      <c r="AF272" s="275" t="str">
        <f>'G.  Other Asset Entries'!$B$90</f>
        <v>G.1</v>
      </c>
      <c r="AG272" s="177">
        <f>'G.  Other Asset Entries'!N95</f>
        <v>0</v>
      </c>
      <c r="AH272" s="270"/>
      <c r="AI272" s="177"/>
      <c r="AJ272" s="269"/>
      <c r="AK272" s="178"/>
      <c r="AL272" s="215"/>
      <c r="AM272" s="215"/>
      <c r="AN272" s="262">
        <f t="shared" si="68"/>
        <v>0</v>
      </c>
      <c r="AO272" s="263">
        <f t="shared" si="69"/>
        <v>0</v>
      </c>
      <c r="AP272" s="184"/>
      <c r="AQ272" s="263"/>
      <c r="AR272" s="184"/>
      <c r="AS272" s="263"/>
      <c r="AT272" s="36"/>
      <c r="AU272" s="36"/>
      <c r="AV272" s="36"/>
      <c r="AW272" s="36"/>
      <c r="AX272" s="36"/>
      <c r="AY272" s="36"/>
      <c r="AZ272" s="36"/>
    </row>
    <row r="273" spans="1:52" x14ac:dyDescent="0.2">
      <c r="A273" s="11"/>
      <c r="B273" s="195"/>
      <c r="C273" s="176"/>
      <c r="D273" s="176"/>
      <c r="E273" s="206"/>
      <c r="F273" s="207"/>
      <c r="G273" s="806"/>
      <c r="H273" s="215"/>
      <c r="I273" s="806"/>
      <c r="J273" s="807"/>
      <c r="K273" s="215"/>
      <c r="L273" s="807"/>
      <c r="M273" s="215"/>
      <c r="N273" s="216"/>
      <c r="O273" s="215"/>
      <c r="P273" s="215"/>
      <c r="Q273" s="806"/>
      <c r="R273" s="807"/>
      <c r="S273" s="215"/>
      <c r="T273" s="216"/>
      <c r="U273" s="184">
        <f t="shared" si="55"/>
        <v>0</v>
      </c>
      <c r="V273" s="184">
        <f t="shared" si="56"/>
        <v>0</v>
      </c>
      <c r="W273" s="262">
        <f t="shared" si="57"/>
        <v>0</v>
      </c>
      <c r="X273" s="263">
        <f t="shared" si="57"/>
        <v>0</v>
      </c>
      <c r="Y273" s="296"/>
      <c r="Z273" s="297"/>
      <c r="AA273" s="268"/>
      <c r="AB273" s="178"/>
      <c r="AC273" s="269" t="str">
        <f>'C. Capital Outlay &amp; Donations'!D130</f>
        <v>C.2</v>
      </c>
      <c r="AD273" s="179">
        <f>'C. Capital Outlay &amp; Donations'!K133</f>
        <v>0</v>
      </c>
      <c r="AE273" s="177"/>
      <c r="AF273" s="269" t="str">
        <f>'H. Other Liabilities &amp; Expenses'!$D$235</f>
        <v>H.1</v>
      </c>
      <c r="AG273" s="177">
        <f>'H. Other Liabilities &amp; Expenses'!N236</f>
        <v>0</v>
      </c>
      <c r="AH273" s="270"/>
      <c r="AI273" s="177"/>
      <c r="AJ273" s="269"/>
      <c r="AK273" s="178"/>
      <c r="AL273" s="215"/>
      <c r="AM273" s="215"/>
      <c r="AN273" s="262">
        <f t="shared" si="68"/>
        <v>0</v>
      </c>
      <c r="AO273" s="263">
        <f t="shared" si="69"/>
        <v>0</v>
      </c>
      <c r="AP273" s="184"/>
      <c r="AQ273" s="263"/>
      <c r="AR273" s="184"/>
      <c r="AS273" s="263"/>
      <c r="AT273" s="36"/>
      <c r="AU273" s="36"/>
      <c r="AV273" s="36"/>
      <c r="AW273" s="36"/>
      <c r="AX273" s="36"/>
      <c r="AY273" s="36"/>
      <c r="AZ273" s="36"/>
    </row>
    <row r="274" spans="1:52" x14ac:dyDescent="0.2">
      <c r="A274" s="11"/>
      <c r="B274" s="195"/>
      <c r="C274" s="176"/>
      <c r="D274" s="176"/>
      <c r="E274" s="206"/>
      <c r="F274" s="207"/>
      <c r="G274" s="806"/>
      <c r="H274" s="215"/>
      <c r="I274" s="806"/>
      <c r="J274" s="807"/>
      <c r="K274" s="215"/>
      <c r="L274" s="807"/>
      <c r="M274" s="215"/>
      <c r="N274" s="216"/>
      <c r="O274" s="215"/>
      <c r="P274" s="215"/>
      <c r="Q274" s="806"/>
      <c r="R274" s="807"/>
      <c r="S274" s="215"/>
      <c r="T274" s="216"/>
      <c r="U274" s="184">
        <f t="shared" si="55"/>
        <v>0</v>
      </c>
      <c r="V274" s="184">
        <f t="shared" si="56"/>
        <v>0</v>
      </c>
      <c r="W274" s="262">
        <f t="shared" si="57"/>
        <v>0</v>
      </c>
      <c r="X274" s="263">
        <f t="shared" si="57"/>
        <v>0</v>
      </c>
      <c r="Y274" s="296"/>
      <c r="Z274" s="297"/>
      <c r="AA274" s="268"/>
      <c r="AB274" s="178"/>
      <c r="AC274" s="269" t="s">
        <v>132</v>
      </c>
      <c r="AD274" s="177">
        <f>'D.  Capital Asset Disposal'!M201</f>
        <v>0</v>
      </c>
      <c r="AE274" s="177"/>
      <c r="AF274" s="269" t="str">
        <f>'E. Debt Service'!$D$81</f>
        <v>E.1</v>
      </c>
      <c r="AG274" s="177">
        <f>'E. Debt Service'!N84</f>
        <v>0</v>
      </c>
      <c r="AH274" s="270"/>
      <c r="AI274" s="177"/>
      <c r="AJ274" s="269"/>
      <c r="AK274" s="178"/>
      <c r="AL274" s="215"/>
      <c r="AM274" s="215"/>
      <c r="AN274" s="262">
        <f t="shared" si="68"/>
        <v>0</v>
      </c>
      <c r="AO274" s="263">
        <f t="shared" si="69"/>
        <v>0</v>
      </c>
      <c r="AP274" s="184"/>
      <c r="AQ274" s="263"/>
      <c r="AR274" s="184"/>
      <c r="AS274" s="263"/>
      <c r="AT274" s="36"/>
      <c r="AU274" s="36"/>
      <c r="AV274" s="36"/>
      <c r="AW274" s="36"/>
      <c r="AX274" s="36"/>
      <c r="AY274" s="36"/>
      <c r="AZ274" s="36"/>
    </row>
    <row r="275" spans="1:52" s="478" customFormat="1" x14ac:dyDescent="0.2">
      <c r="A275" s="483"/>
      <c r="B275" s="195"/>
      <c r="C275" s="176"/>
      <c r="D275" s="176"/>
      <c r="E275" s="206"/>
      <c r="F275" s="207"/>
      <c r="G275" s="806"/>
      <c r="H275" s="215"/>
      <c r="I275" s="806"/>
      <c r="J275" s="807"/>
      <c r="K275" s="215"/>
      <c r="L275" s="807"/>
      <c r="M275" s="215"/>
      <c r="N275" s="216"/>
      <c r="O275" s="215"/>
      <c r="P275" s="215"/>
      <c r="Q275" s="806"/>
      <c r="R275" s="807"/>
      <c r="S275" s="215"/>
      <c r="T275" s="216"/>
      <c r="U275" s="184"/>
      <c r="V275" s="184"/>
      <c r="W275" s="262"/>
      <c r="X275" s="263"/>
      <c r="Y275" s="296"/>
      <c r="Z275" s="297"/>
      <c r="AA275" s="268"/>
      <c r="AB275" s="178"/>
      <c r="AC275" s="269" t="s">
        <v>1080</v>
      </c>
      <c r="AD275" s="177">
        <f>'J. GASB 68 TSERS'!C94</f>
        <v>0</v>
      </c>
      <c r="AE275" s="177"/>
      <c r="AF275" s="269" t="s">
        <v>1080</v>
      </c>
      <c r="AG275" s="177">
        <f>'J. GASB 68 TSERS'!D94</f>
        <v>0</v>
      </c>
      <c r="AH275" s="270"/>
      <c r="AI275" s="177"/>
      <c r="AJ275" s="269"/>
      <c r="AK275" s="178"/>
      <c r="AL275" s="215"/>
      <c r="AM275" s="215"/>
      <c r="AN275" s="262">
        <f t="shared" si="68"/>
        <v>0</v>
      </c>
      <c r="AO275" s="263">
        <f t="shared" si="69"/>
        <v>0</v>
      </c>
      <c r="AP275" s="184"/>
      <c r="AQ275" s="263"/>
      <c r="AR275" s="184"/>
      <c r="AS275" s="263"/>
      <c r="AT275" s="36"/>
      <c r="AU275" s="36"/>
      <c r="AV275" s="36"/>
      <c r="AW275" s="36"/>
      <c r="AX275" s="36"/>
      <c r="AY275" s="36"/>
      <c r="AZ275" s="36"/>
    </row>
    <row r="276" spans="1:52" s="613" customFormat="1" x14ac:dyDescent="0.2">
      <c r="A276" s="615"/>
      <c r="B276" s="195"/>
      <c r="C276" s="176"/>
      <c r="D276" s="176"/>
      <c r="E276" s="206"/>
      <c r="F276" s="207"/>
      <c r="G276" s="806"/>
      <c r="H276" s="215"/>
      <c r="I276" s="806"/>
      <c r="J276" s="807"/>
      <c r="K276" s="215"/>
      <c r="L276" s="807"/>
      <c r="M276" s="215"/>
      <c r="N276" s="216"/>
      <c r="O276" s="215"/>
      <c r="P276" s="215"/>
      <c r="Q276" s="806"/>
      <c r="R276" s="807"/>
      <c r="S276" s="215"/>
      <c r="T276" s="216"/>
      <c r="U276" s="184"/>
      <c r="V276" s="184"/>
      <c r="W276" s="262"/>
      <c r="X276" s="263"/>
      <c r="Y276" s="296"/>
      <c r="Z276" s="297"/>
      <c r="AA276" s="268"/>
      <c r="AB276" s="178"/>
      <c r="AC276" s="674" t="s">
        <v>1519</v>
      </c>
      <c r="AD276" s="177">
        <f>'K. GASB 75 RHBF'!C95</f>
        <v>0</v>
      </c>
      <c r="AE276" s="177"/>
      <c r="AF276" s="269" t="s">
        <v>1518</v>
      </c>
      <c r="AG276" s="177">
        <f>'K. GASB 75 RHBF'!D121</f>
        <v>0</v>
      </c>
      <c r="AH276" s="270"/>
      <c r="AI276" s="177"/>
      <c r="AJ276" s="269"/>
      <c r="AK276" s="178"/>
      <c r="AL276" s="215"/>
      <c r="AM276" s="215"/>
      <c r="AN276" s="262">
        <f t="shared" si="68"/>
        <v>0</v>
      </c>
      <c r="AO276" s="263">
        <f t="shared" si="69"/>
        <v>0</v>
      </c>
      <c r="AP276" s="184"/>
      <c r="AQ276" s="263"/>
      <c r="AR276" s="184"/>
      <c r="AS276" s="263"/>
      <c r="AT276" s="36"/>
      <c r="AU276" s="36"/>
      <c r="AV276" s="36"/>
      <c r="AW276" s="36"/>
      <c r="AX276" s="36"/>
      <c r="AY276" s="36"/>
      <c r="AZ276" s="36"/>
    </row>
    <row r="277" spans="1:52" s="751" customFormat="1" x14ac:dyDescent="0.2">
      <c r="A277" s="752"/>
      <c r="B277" s="195"/>
      <c r="C277" s="176"/>
      <c r="D277" s="176"/>
      <c r="E277" s="206"/>
      <c r="F277" s="207"/>
      <c r="G277" s="806"/>
      <c r="H277" s="215"/>
      <c r="I277" s="806"/>
      <c r="J277" s="807"/>
      <c r="K277" s="215"/>
      <c r="L277" s="807"/>
      <c r="M277" s="215"/>
      <c r="N277" s="216"/>
      <c r="O277" s="215"/>
      <c r="P277" s="215"/>
      <c r="Q277" s="806"/>
      <c r="R277" s="807"/>
      <c r="S277" s="215"/>
      <c r="T277" s="216"/>
      <c r="U277" s="184"/>
      <c r="V277" s="184"/>
      <c r="W277" s="262"/>
      <c r="X277" s="263"/>
      <c r="Y277" s="296"/>
      <c r="Z277" s="297"/>
      <c r="AA277" s="268"/>
      <c r="AB277" s="178"/>
      <c r="AC277" s="674" t="s">
        <v>1633</v>
      </c>
      <c r="AD277" s="177">
        <f>'L. GASB 75 DIPNC'!C95</f>
        <v>0</v>
      </c>
      <c r="AE277" s="177"/>
      <c r="AF277" s="269" t="s">
        <v>1633</v>
      </c>
      <c r="AG277" s="177">
        <f>'L. GASB 75 DIPNC'!D121</f>
        <v>0</v>
      </c>
      <c r="AH277" s="270"/>
      <c r="AI277" s="177"/>
      <c r="AJ277" s="269"/>
      <c r="AK277" s="178"/>
      <c r="AL277" s="215"/>
      <c r="AM277" s="215"/>
      <c r="AN277" s="262">
        <f t="shared" ref="AN277" si="70">W277+Y277+AA277+AD277+AI277+AL277</f>
        <v>0</v>
      </c>
      <c r="AO277" s="263">
        <f t="shared" ref="AO277" si="71">X277+Z277+AB277+AG277+AK277+AM277</f>
        <v>0</v>
      </c>
      <c r="AP277" s="184"/>
      <c r="AQ277" s="263"/>
      <c r="AR277" s="184"/>
      <c r="AS277" s="263"/>
      <c r="AT277" s="36"/>
      <c r="AU277" s="36"/>
      <c r="AV277" s="36"/>
      <c r="AW277" s="36"/>
      <c r="AX277" s="36"/>
      <c r="AY277" s="36"/>
      <c r="AZ277" s="36"/>
    </row>
    <row r="278" spans="1:52" ht="3.75" customHeight="1" x14ac:dyDescent="0.2">
      <c r="A278" s="311"/>
      <c r="B278" s="406"/>
      <c r="C278" s="311"/>
      <c r="D278" s="311"/>
      <c r="E278" s="407"/>
      <c r="F278" s="307"/>
      <c r="G278" s="814"/>
      <c r="H278" s="295"/>
      <c r="I278" s="814"/>
      <c r="J278" s="815"/>
      <c r="K278" s="295"/>
      <c r="L278" s="815"/>
      <c r="M278" s="295"/>
      <c r="N278" s="408"/>
      <c r="O278" s="295"/>
      <c r="P278" s="295"/>
      <c r="Q278" s="814"/>
      <c r="R278" s="815"/>
      <c r="S278" s="295"/>
      <c r="T278" s="408"/>
      <c r="U278" s="184"/>
      <c r="V278" s="184"/>
      <c r="W278" s="262"/>
      <c r="X278" s="263"/>
      <c r="Y278" s="294"/>
      <c r="Z278" s="295"/>
      <c r="AA278" s="265"/>
      <c r="AB278" s="135"/>
      <c r="AC278" s="266"/>
      <c r="AD278" s="44"/>
      <c r="AE278" s="44"/>
      <c r="AF278" s="271"/>
      <c r="AG278" s="44"/>
      <c r="AH278" s="267"/>
      <c r="AI278" s="44"/>
      <c r="AJ278" s="266"/>
      <c r="AK278" s="135"/>
      <c r="AL278" s="213"/>
      <c r="AM278" s="213"/>
      <c r="AN278" s="262"/>
      <c r="AO278" s="263"/>
      <c r="AP278" s="184"/>
      <c r="AQ278" s="263"/>
      <c r="AR278" s="184"/>
      <c r="AS278" s="263"/>
      <c r="AT278" s="36"/>
      <c r="AU278" s="36"/>
      <c r="AV278" s="36"/>
      <c r="AW278" s="36"/>
      <c r="AX278" s="36"/>
      <c r="AY278" s="36"/>
      <c r="AZ278" s="36"/>
    </row>
    <row r="279" spans="1:52" x14ac:dyDescent="0.2">
      <c r="A279" s="11"/>
      <c r="B279" s="195" t="s">
        <v>230</v>
      </c>
      <c r="C279" s="176"/>
      <c r="D279" s="176"/>
      <c r="E279" s="206"/>
      <c r="F279" s="207"/>
      <c r="G279" s="806"/>
      <c r="H279" s="215"/>
      <c r="I279" s="806"/>
      <c r="J279" s="807"/>
      <c r="K279" s="215"/>
      <c r="L279" s="807"/>
      <c r="M279" s="215"/>
      <c r="N279" s="216"/>
      <c r="O279" s="215"/>
      <c r="P279" s="215"/>
      <c r="Q279" s="806"/>
      <c r="R279" s="807"/>
      <c r="S279" s="215"/>
      <c r="T279" s="216"/>
      <c r="U279" s="184">
        <f t="shared" si="55"/>
        <v>0</v>
      </c>
      <c r="V279" s="184">
        <f t="shared" si="56"/>
        <v>0</v>
      </c>
      <c r="W279" s="262">
        <f t="shared" si="57"/>
        <v>0</v>
      </c>
      <c r="X279" s="263">
        <f t="shared" si="57"/>
        <v>0</v>
      </c>
      <c r="Y279" s="296"/>
      <c r="Z279" s="297"/>
      <c r="AA279" s="268"/>
      <c r="AB279" s="178"/>
      <c r="AC279" s="269" t="str">
        <f>'B. Depreciation'!A54</f>
        <v>B.1</v>
      </c>
      <c r="AD279" s="177">
        <f>'B. Depreciation'!J56</f>
        <v>0</v>
      </c>
      <c r="AE279" s="177"/>
      <c r="AF279" s="269" t="str">
        <f>'C. Capital Outlay &amp; Donations'!$D$100</f>
        <v>C.1</v>
      </c>
      <c r="AG279" s="177">
        <f>'C. Capital Outlay &amp; Donations'!M110</f>
        <v>0</v>
      </c>
      <c r="AH279" s="270" t="str">
        <f>'I. Eliminations-Consolidations'!A250</f>
        <v>I.7</v>
      </c>
      <c r="AI279" s="177">
        <f>'I. Eliminations-Consolidations'!J252</f>
        <v>0</v>
      </c>
      <c r="AJ279" s="269"/>
      <c r="AK279" s="178"/>
      <c r="AL279" s="215"/>
      <c r="AM279" s="215"/>
      <c r="AN279" s="262">
        <f t="shared" ref="AN279:AN284" si="72">W279+Y279+AA279+AD279+AI279+AL279</f>
        <v>0</v>
      </c>
      <c r="AO279" s="263">
        <f t="shared" ref="AO279:AO284" si="73">X279+Z279+AB279+AG279+AK279+AM279</f>
        <v>0</v>
      </c>
      <c r="AP279" s="184" t="str">
        <f>IF(SUM(AN279:AN285)-SUM(AO279:AO285)&lt;=0, " ",SUM(AN279:AN285)-SUM(AO279:AO285))</f>
        <v xml:space="preserve"> </v>
      </c>
      <c r="AQ279" s="263" t="str">
        <f>IF(SUM(AN279:AN283)-SUM(AO279:AO283)&gt;=0, " ", SUM(AO279:AO283)-SUM(AN279:AN283))</f>
        <v xml:space="preserve"> </v>
      </c>
      <c r="AR279" s="184"/>
      <c r="AS279" s="263"/>
      <c r="AT279" s="36"/>
      <c r="AU279" s="36"/>
      <c r="AV279" s="36"/>
      <c r="AW279" s="36"/>
      <c r="AX279" s="36"/>
      <c r="AY279" s="36"/>
      <c r="AZ279" s="36"/>
    </row>
    <row r="280" spans="1:52" x14ac:dyDescent="0.2">
      <c r="A280" s="11"/>
      <c r="B280" s="195"/>
      <c r="C280" s="176"/>
      <c r="D280" s="176"/>
      <c r="E280" s="206"/>
      <c r="F280" s="207"/>
      <c r="G280" s="806"/>
      <c r="H280" s="215"/>
      <c r="I280" s="806"/>
      <c r="J280" s="807"/>
      <c r="K280" s="215"/>
      <c r="L280" s="807"/>
      <c r="M280" s="215"/>
      <c r="N280" s="216"/>
      <c r="O280" s="215"/>
      <c r="P280" s="215"/>
      <c r="Q280" s="806"/>
      <c r="R280" s="807"/>
      <c r="S280" s="215"/>
      <c r="T280" s="216"/>
      <c r="U280" s="184">
        <f t="shared" si="55"/>
        <v>0</v>
      </c>
      <c r="V280" s="184">
        <f t="shared" si="56"/>
        <v>0</v>
      </c>
      <c r="W280" s="262">
        <f t="shared" si="57"/>
        <v>0</v>
      </c>
      <c r="X280" s="263">
        <f t="shared" si="57"/>
        <v>0</v>
      </c>
      <c r="Y280" s="296"/>
      <c r="Z280" s="297"/>
      <c r="AA280" s="268"/>
      <c r="AB280" s="178"/>
      <c r="AC280" s="269" t="str">
        <f>'H. Other Liabilities &amp; Expenses'!D235</f>
        <v>H.1</v>
      </c>
      <c r="AD280" s="177">
        <f>'H. Other Liabilities &amp; Expenses'!L237</f>
        <v>0</v>
      </c>
      <c r="AE280" s="177"/>
      <c r="AF280" s="275" t="str">
        <f>'G.  Other Asset Entries'!$B$90</f>
        <v>G.1</v>
      </c>
      <c r="AG280" s="177">
        <f>'G.  Other Asset Entries'!N96</f>
        <v>0</v>
      </c>
      <c r="AH280" s="270"/>
      <c r="AI280" s="177"/>
      <c r="AJ280" s="269"/>
      <c r="AK280" s="178"/>
      <c r="AL280" s="215"/>
      <c r="AM280" s="215"/>
      <c r="AN280" s="262">
        <f t="shared" si="72"/>
        <v>0</v>
      </c>
      <c r="AO280" s="263">
        <f t="shared" si="73"/>
        <v>0</v>
      </c>
      <c r="AP280" s="184"/>
      <c r="AQ280" s="263"/>
      <c r="AR280" s="184"/>
      <c r="AS280" s="263"/>
      <c r="AT280" s="36"/>
      <c r="AU280" s="36"/>
      <c r="AV280" s="36"/>
      <c r="AW280" s="36"/>
      <c r="AX280" s="36"/>
      <c r="AY280" s="36"/>
      <c r="AZ280" s="36"/>
    </row>
    <row r="281" spans="1:52" x14ac:dyDescent="0.2">
      <c r="A281" s="11"/>
      <c r="B281" s="195"/>
      <c r="C281" s="176"/>
      <c r="D281" s="176"/>
      <c r="E281" s="206"/>
      <c r="F281" s="207"/>
      <c r="G281" s="806"/>
      <c r="H281" s="215"/>
      <c r="I281" s="806"/>
      <c r="J281" s="807"/>
      <c r="K281" s="215"/>
      <c r="L281" s="807"/>
      <c r="M281" s="215"/>
      <c r="N281" s="216"/>
      <c r="O281" s="215"/>
      <c r="P281" s="215"/>
      <c r="Q281" s="806"/>
      <c r="R281" s="807"/>
      <c r="S281" s="215"/>
      <c r="T281" s="216"/>
      <c r="U281" s="184">
        <f t="shared" si="55"/>
        <v>0</v>
      </c>
      <c r="V281" s="184">
        <f t="shared" si="56"/>
        <v>0</v>
      </c>
      <c r="W281" s="262">
        <f t="shared" si="57"/>
        <v>0</v>
      </c>
      <c r="X281" s="263">
        <f t="shared" si="57"/>
        <v>0</v>
      </c>
      <c r="Y281" s="296"/>
      <c r="Z281" s="297"/>
      <c r="AA281" s="268"/>
      <c r="AB281" s="178"/>
      <c r="AC281" s="269" t="str">
        <f>'C. Capital Outlay &amp; Donations'!D130</f>
        <v>C.2</v>
      </c>
      <c r="AD281" s="179">
        <f>'C. Capital Outlay &amp; Donations'!K134</f>
        <v>0</v>
      </c>
      <c r="AE281" s="177"/>
      <c r="AF281" s="269" t="str">
        <f>'H. Other Liabilities &amp; Expenses'!$D$235</f>
        <v>H.1</v>
      </c>
      <c r="AG281" s="177">
        <f>'H. Other Liabilities &amp; Expenses'!N237</f>
        <v>0</v>
      </c>
      <c r="AH281" s="270"/>
      <c r="AI281" s="177"/>
      <c r="AJ281" s="269"/>
      <c r="AK281" s="178"/>
      <c r="AL281" s="215"/>
      <c r="AM281" s="215"/>
      <c r="AN281" s="262">
        <f t="shared" si="72"/>
        <v>0</v>
      </c>
      <c r="AO281" s="263">
        <f t="shared" si="73"/>
        <v>0</v>
      </c>
      <c r="AP281" s="184"/>
      <c r="AQ281" s="263"/>
      <c r="AR281" s="184"/>
      <c r="AS281" s="263"/>
      <c r="AT281" s="36"/>
      <c r="AU281" s="36"/>
      <c r="AV281" s="36"/>
      <c r="AW281" s="36"/>
      <c r="AX281" s="36"/>
      <c r="AY281" s="36"/>
      <c r="AZ281" s="36"/>
    </row>
    <row r="282" spans="1:52" x14ac:dyDescent="0.2">
      <c r="A282" s="11"/>
      <c r="B282" s="195"/>
      <c r="C282" s="176"/>
      <c r="D282" s="176"/>
      <c r="E282" s="206"/>
      <c r="F282" s="207"/>
      <c r="G282" s="806"/>
      <c r="H282" s="215"/>
      <c r="I282" s="806"/>
      <c r="J282" s="807"/>
      <c r="K282" s="215"/>
      <c r="L282" s="807"/>
      <c r="M282" s="215"/>
      <c r="N282" s="216"/>
      <c r="O282" s="215"/>
      <c r="P282" s="215"/>
      <c r="Q282" s="806"/>
      <c r="R282" s="807"/>
      <c r="S282" s="215"/>
      <c r="T282" s="216"/>
      <c r="U282" s="184">
        <f>O282+Q282+S282</f>
        <v>0</v>
      </c>
      <c r="V282" s="184">
        <f>P282+R282+T282</f>
        <v>0</v>
      </c>
      <c r="W282" s="262">
        <f>E282+G282+I282+K282+M282+U282</f>
        <v>0</v>
      </c>
      <c r="X282" s="263">
        <f>F282+H282+J282+L282+N282+V282</f>
        <v>0</v>
      </c>
      <c r="Y282" s="296"/>
      <c r="Z282" s="297"/>
      <c r="AA282" s="268"/>
      <c r="AB282" s="178"/>
      <c r="AC282" s="269" t="s">
        <v>132</v>
      </c>
      <c r="AD282" s="179">
        <f>'D.  Capital Asset Disposal'!M202</f>
        <v>0</v>
      </c>
      <c r="AE282" s="177"/>
      <c r="AF282" s="269" t="str">
        <f>'E. Debt Service'!$D$81</f>
        <v>E.1</v>
      </c>
      <c r="AG282" s="177">
        <f>'E. Debt Service'!N85</f>
        <v>0</v>
      </c>
      <c r="AH282" s="270"/>
      <c r="AI282" s="177"/>
      <c r="AJ282" s="269"/>
      <c r="AK282" s="178"/>
      <c r="AL282" s="215"/>
      <c r="AM282" s="215"/>
      <c r="AN282" s="262">
        <f t="shared" si="72"/>
        <v>0</v>
      </c>
      <c r="AO282" s="263">
        <f t="shared" si="73"/>
        <v>0</v>
      </c>
      <c r="AP282" s="184"/>
      <c r="AQ282" s="263"/>
      <c r="AR282" s="184"/>
      <c r="AS282" s="263"/>
      <c r="AT282" s="36"/>
      <c r="AU282" s="36"/>
      <c r="AV282" s="36"/>
      <c r="AW282" s="36"/>
      <c r="AX282" s="36"/>
      <c r="AY282" s="36"/>
      <c r="AZ282" s="36"/>
    </row>
    <row r="283" spans="1:52" s="478" customFormat="1" x14ac:dyDescent="0.2">
      <c r="A283" s="483"/>
      <c r="B283" s="195"/>
      <c r="C283" s="176"/>
      <c r="D283" s="176"/>
      <c r="E283" s="206"/>
      <c r="F283" s="207"/>
      <c r="G283" s="806"/>
      <c r="H283" s="215"/>
      <c r="I283" s="806"/>
      <c r="J283" s="807"/>
      <c r="K283" s="215"/>
      <c r="L283" s="807"/>
      <c r="M283" s="215"/>
      <c r="N283" s="216"/>
      <c r="O283" s="215"/>
      <c r="P283" s="215"/>
      <c r="Q283" s="806"/>
      <c r="R283" s="807"/>
      <c r="S283" s="215"/>
      <c r="T283" s="216"/>
      <c r="U283" s="184"/>
      <c r="V283" s="184"/>
      <c r="W283" s="262"/>
      <c r="X283" s="263"/>
      <c r="Y283" s="296"/>
      <c r="Z283" s="297"/>
      <c r="AA283" s="268"/>
      <c r="AB283" s="178"/>
      <c r="AC283" s="269" t="s">
        <v>1080</v>
      </c>
      <c r="AD283" s="179">
        <f>'J. GASB 68 TSERS'!C95</f>
        <v>0</v>
      </c>
      <c r="AE283" s="177"/>
      <c r="AF283" s="269" t="s">
        <v>1080</v>
      </c>
      <c r="AG283" s="177">
        <f>'J. GASB 68 TSERS'!D95</f>
        <v>0</v>
      </c>
      <c r="AH283" s="270"/>
      <c r="AI283" s="177"/>
      <c r="AJ283" s="269"/>
      <c r="AK283" s="178"/>
      <c r="AL283" s="215"/>
      <c r="AM283" s="215"/>
      <c r="AN283" s="262">
        <f t="shared" si="72"/>
        <v>0</v>
      </c>
      <c r="AO283" s="263">
        <f t="shared" si="73"/>
        <v>0</v>
      </c>
      <c r="AP283" s="184"/>
      <c r="AQ283" s="263"/>
      <c r="AR283" s="184"/>
      <c r="AS283" s="263"/>
      <c r="AT283" s="36"/>
      <c r="AU283" s="36"/>
      <c r="AV283" s="36"/>
      <c r="AW283" s="36"/>
      <c r="AX283" s="36"/>
      <c r="AY283" s="36"/>
      <c r="AZ283" s="36"/>
    </row>
    <row r="284" spans="1:52" s="613" customFormat="1" x14ac:dyDescent="0.2">
      <c r="A284" s="615"/>
      <c r="B284" s="195"/>
      <c r="C284" s="176"/>
      <c r="D284" s="176"/>
      <c r="E284" s="206"/>
      <c r="F284" s="207"/>
      <c r="G284" s="806"/>
      <c r="H284" s="215"/>
      <c r="I284" s="806"/>
      <c r="J284" s="807"/>
      <c r="K284" s="215"/>
      <c r="L284" s="807"/>
      <c r="M284" s="215"/>
      <c r="N284" s="216"/>
      <c r="O284" s="215"/>
      <c r="P284" s="215"/>
      <c r="Q284" s="806"/>
      <c r="R284" s="807"/>
      <c r="S284" s="215"/>
      <c r="T284" s="216"/>
      <c r="U284" s="184"/>
      <c r="V284" s="184"/>
      <c r="W284" s="262"/>
      <c r="X284" s="263"/>
      <c r="Y284" s="296"/>
      <c r="Z284" s="297"/>
      <c r="AA284" s="268"/>
      <c r="AB284" s="178"/>
      <c r="AC284" s="674" t="s">
        <v>1519</v>
      </c>
      <c r="AD284" s="177">
        <f>'K. GASB 75 RHBF'!C96</f>
        <v>0</v>
      </c>
      <c r="AE284" s="177"/>
      <c r="AF284" s="269" t="s">
        <v>1518</v>
      </c>
      <c r="AG284" s="177">
        <f>'K. GASB 75 RHBF'!D122</f>
        <v>0</v>
      </c>
      <c r="AH284" s="270"/>
      <c r="AI284" s="177"/>
      <c r="AJ284" s="269"/>
      <c r="AK284" s="178"/>
      <c r="AL284" s="215"/>
      <c r="AM284" s="215"/>
      <c r="AN284" s="262">
        <f t="shared" si="72"/>
        <v>0</v>
      </c>
      <c r="AO284" s="263">
        <f t="shared" si="73"/>
        <v>0</v>
      </c>
      <c r="AP284" s="184"/>
      <c r="AQ284" s="263"/>
      <c r="AR284" s="184"/>
      <c r="AS284" s="263"/>
      <c r="AT284" s="36"/>
      <c r="AU284" s="36"/>
      <c r="AV284" s="36"/>
      <c r="AW284" s="36"/>
      <c r="AX284" s="36"/>
      <c r="AY284" s="36"/>
      <c r="AZ284" s="36"/>
    </row>
    <row r="285" spans="1:52" s="751" customFormat="1" x14ac:dyDescent="0.2">
      <c r="A285" s="752"/>
      <c r="B285" s="195"/>
      <c r="C285" s="176"/>
      <c r="D285" s="176"/>
      <c r="E285" s="206"/>
      <c r="F285" s="207"/>
      <c r="G285" s="806"/>
      <c r="H285" s="215"/>
      <c r="I285" s="806"/>
      <c r="J285" s="807"/>
      <c r="K285" s="215"/>
      <c r="L285" s="807"/>
      <c r="M285" s="215"/>
      <c r="N285" s="216"/>
      <c r="O285" s="215"/>
      <c r="P285" s="215"/>
      <c r="Q285" s="806"/>
      <c r="R285" s="807"/>
      <c r="S285" s="215"/>
      <c r="T285" s="216"/>
      <c r="U285" s="184"/>
      <c r="V285" s="184"/>
      <c r="W285" s="262"/>
      <c r="X285" s="263"/>
      <c r="Y285" s="296"/>
      <c r="Z285" s="297"/>
      <c r="AA285" s="268"/>
      <c r="AB285" s="178"/>
      <c r="AC285" s="674" t="s">
        <v>1633</v>
      </c>
      <c r="AD285" s="177">
        <f>'L. GASB 75 DIPNC'!C96</f>
        <v>0</v>
      </c>
      <c r="AE285" s="177"/>
      <c r="AF285" s="269" t="s">
        <v>1633</v>
      </c>
      <c r="AG285" s="177">
        <f>'L. GASB 75 DIPNC'!D122</f>
        <v>0</v>
      </c>
      <c r="AH285" s="270"/>
      <c r="AI285" s="177"/>
      <c r="AJ285" s="269"/>
      <c r="AK285" s="178"/>
      <c r="AL285" s="215"/>
      <c r="AM285" s="215"/>
      <c r="AN285" s="262">
        <f t="shared" ref="AN285" si="74">W285+Y285+AA285+AD285+AI285+AL285</f>
        <v>0</v>
      </c>
      <c r="AO285" s="263">
        <f t="shared" ref="AO285" si="75">X285+Z285+AB285+AG285+AK285+AM285</f>
        <v>0</v>
      </c>
      <c r="AP285" s="184"/>
      <c r="AQ285" s="263"/>
      <c r="AR285" s="184"/>
      <c r="AS285" s="263"/>
      <c r="AT285" s="36"/>
      <c r="AU285" s="36"/>
      <c r="AV285" s="36"/>
      <c r="AW285" s="36"/>
      <c r="AX285" s="36"/>
      <c r="AY285" s="36"/>
      <c r="AZ285" s="36"/>
    </row>
    <row r="286" spans="1:52" ht="3.75" customHeight="1" x14ac:dyDescent="0.2">
      <c r="A286" s="311"/>
      <c r="B286" s="303"/>
      <c r="C286" s="303"/>
      <c r="D286" s="303"/>
      <c r="E286" s="299"/>
      <c r="F286" s="403"/>
      <c r="G286" s="812"/>
      <c r="H286" s="293"/>
      <c r="I286" s="812"/>
      <c r="J286" s="813"/>
      <c r="K286" s="293"/>
      <c r="L286" s="813"/>
      <c r="M286" s="293"/>
      <c r="N286" s="404"/>
      <c r="O286" s="293"/>
      <c r="P286" s="293"/>
      <c r="Q286" s="812"/>
      <c r="R286" s="813"/>
      <c r="S286" s="293"/>
      <c r="T286" s="404"/>
      <c r="U286" s="184"/>
      <c r="V286" s="184"/>
      <c r="W286" s="262"/>
      <c r="X286" s="263"/>
      <c r="Y286" s="292"/>
      <c r="Z286" s="293"/>
      <c r="AA286" s="261"/>
      <c r="AB286" s="134"/>
      <c r="AC286" s="276"/>
      <c r="AE286" s="45"/>
      <c r="AF286" s="257"/>
      <c r="AG286" s="45"/>
      <c r="AH286" s="256"/>
      <c r="AI286" s="45"/>
      <c r="AJ286" s="257"/>
      <c r="AK286" s="134"/>
      <c r="AL286" s="211"/>
      <c r="AM286" s="211"/>
      <c r="AN286" s="262"/>
      <c r="AO286" s="263"/>
      <c r="AP286" s="184"/>
      <c r="AQ286" s="263"/>
      <c r="AR286" s="184"/>
      <c r="AS286" s="263"/>
      <c r="AT286" s="36"/>
      <c r="AU286" s="36"/>
      <c r="AV286" s="36"/>
      <c r="AW286" s="36"/>
      <c r="AX286" s="36"/>
      <c r="AY286" s="36"/>
      <c r="AZ286" s="36"/>
    </row>
    <row r="287" spans="1:52" x14ac:dyDescent="0.2">
      <c r="A287" s="11"/>
      <c r="B287" s="195" t="s">
        <v>231</v>
      </c>
      <c r="C287" s="176"/>
      <c r="D287" s="176"/>
      <c r="E287" s="206"/>
      <c r="F287" s="207"/>
      <c r="G287" s="806"/>
      <c r="H287" s="215"/>
      <c r="I287" s="806"/>
      <c r="J287" s="807"/>
      <c r="K287" s="215"/>
      <c r="L287" s="807"/>
      <c r="M287" s="215"/>
      <c r="N287" s="216"/>
      <c r="O287" s="215"/>
      <c r="P287" s="215"/>
      <c r="Q287" s="806"/>
      <c r="R287" s="807"/>
      <c r="S287" s="215"/>
      <c r="T287" s="216"/>
      <c r="U287" s="184">
        <f t="shared" si="55"/>
        <v>0</v>
      </c>
      <c r="V287" s="184">
        <f t="shared" si="56"/>
        <v>0</v>
      </c>
      <c r="W287" s="262">
        <f t="shared" si="57"/>
        <v>0</v>
      </c>
      <c r="X287" s="263">
        <f t="shared" si="57"/>
        <v>0</v>
      </c>
      <c r="Y287" s="296"/>
      <c r="Z287" s="297"/>
      <c r="AA287" s="268"/>
      <c r="AB287" s="178"/>
      <c r="AC287" s="269" t="str">
        <f>'B. Depreciation'!A54</f>
        <v>B.1</v>
      </c>
      <c r="AD287" s="177">
        <f>'B. Depreciation'!J57</f>
        <v>0</v>
      </c>
      <c r="AE287" s="177"/>
      <c r="AF287" s="269" t="str">
        <f>'C. Capital Outlay &amp; Donations'!$D$100</f>
        <v>C.1</v>
      </c>
      <c r="AG287" s="177">
        <f>'C. Capital Outlay &amp; Donations'!M111</f>
        <v>0</v>
      </c>
      <c r="AH287" s="270" t="str">
        <f>'I. Eliminations-Consolidations'!A250</f>
        <v>I.7</v>
      </c>
      <c r="AI287" s="177">
        <f>'I. Eliminations-Consolidations'!J253</f>
        <v>0</v>
      </c>
      <c r="AJ287" s="269"/>
      <c r="AK287" s="178"/>
      <c r="AL287" s="215"/>
      <c r="AM287" s="215"/>
      <c r="AN287" s="262">
        <f t="shared" ref="AN287:AN292" si="76">W287+Y287+AA287+AD287+AI287+AL287</f>
        <v>0</v>
      </c>
      <c r="AO287" s="263">
        <f t="shared" ref="AO287:AO292" si="77">X287+Z287+AB287+AG287+AK287+AM287</f>
        <v>0</v>
      </c>
      <c r="AP287" s="184" t="str">
        <f>IF(SUM(AN287:AN293)-SUM(AO287:AO293)&lt;=0, " ",SUM(AN287:AN293)-SUM(AO287:AO293))</f>
        <v xml:space="preserve"> </v>
      </c>
      <c r="AQ287" s="263" t="str">
        <f>IF(SUM(AN287:AN291)-SUM(AO287:AO291)&gt;=0, " ", SUM(AO287:AO291)-SUM(AN287:AN291))</f>
        <v xml:space="preserve"> </v>
      </c>
      <c r="AR287" s="184"/>
      <c r="AS287" s="263"/>
      <c r="AT287" s="36"/>
      <c r="AU287" s="36"/>
      <c r="AV287" s="36"/>
      <c r="AW287" s="36"/>
      <c r="AX287" s="36"/>
      <c r="AY287" s="36"/>
      <c r="AZ287" s="36"/>
    </row>
    <row r="288" spans="1:52" x14ac:dyDescent="0.2">
      <c r="A288" s="11"/>
      <c r="B288" s="195"/>
      <c r="C288" s="176"/>
      <c r="D288" s="176"/>
      <c r="E288" s="206"/>
      <c r="F288" s="207"/>
      <c r="G288" s="806"/>
      <c r="H288" s="215"/>
      <c r="I288" s="806"/>
      <c r="J288" s="807"/>
      <c r="K288" s="215"/>
      <c r="L288" s="807"/>
      <c r="M288" s="215"/>
      <c r="N288" s="216"/>
      <c r="O288" s="215"/>
      <c r="P288" s="215"/>
      <c r="Q288" s="806"/>
      <c r="R288" s="807"/>
      <c r="S288" s="215"/>
      <c r="T288" s="216"/>
      <c r="U288" s="184">
        <f t="shared" si="55"/>
        <v>0</v>
      </c>
      <c r="V288" s="184">
        <f t="shared" si="56"/>
        <v>0</v>
      </c>
      <c r="W288" s="262">
        <f t="shared" si="57"/>
        <v>0</v>
      </c>
      <c r="X288" s="263">
        <f t="shared" si="57"/>
        <v>0</v>
      </c>
      <c r="Y288" s="296"/>
      <c r="Z288" s="297"/>
      <c r="AA288" s="268"/>
      <c r="AB288" s="178"/>
      <c r="AC288" s="269" t="str">
        <f>'H. Other Liabilities &amp; Expenses'!D235</f>
        <v>H.1</v>
      </c>
      <c r="AD288" s="177">
        <f>'H. Other Liabilities &amp; Expenses'!L238</f>
        <v>0</v>
      </c>
      <c r="AE288" s="177"/>
      <c r="AF288" s="275" t="str">
        <f>'G.  Other Asset Entries'!$B$90</f>
        <v>G.1</v>
      </c>
      <c r="AG288" s="177">
        <f>'G.  Other Asset Entries'!N97</f>
        <v>0</v>
      </c>
      <c r="AH288" s="270"/>
      <c r="AI288" s="177"/>
      <c r="AJ288" s="269"/>
      <c r="AK288" s="178"/>
      <c r="AL288" s="215"/>
      <c r="AM288" s="215"/>
      <c r="AN288" s="262">
        <f t="shared" si="76"/>
        <v>0</v>
      </c>
      <c r="AO288" s="263">
        <f t="shared" si="77"/>
        <v>0</v>
      </c>
      <c r="AP288" s="184"/>
      <c r="AQ288" s="263"/>
      <c r="AR288" s="184"/>
      <c r="AS288" s="263"/>
      <c r="AT288" s="36"/>
      <c r="AU288" s="36"/>
      <c r="AV288" s="36"/>
      <c r="AW288" s="36"/>
      <c r="AX288" s="36"/>
      <c r="AY288" s="36"/>
      <c r="AZ288" s="36"/>
    </row>
    <row r="289" spans="1:52" x14ac:dyDescent="0.2">
      <c r="A289" s="11"/>
      <c r="B289" s="195"/>
      <c r="C289" s="176"/>
      <c r="D289" s="176"/>
      <c r="E289" s="206"/>
      <c r="F289" s="207"/>
      <c r="G289" s="806"/>
      <c r="H289" s="215"/>
      <c r="I289" s="806"/>
      <c r="J289" s="807"/>
      <c r="K289" s="215"/>
      <c r="L289" s="807"/>
      <c r="M289" s="215"/>
      <c r="N289" s="216"/>
      <c r="O289" s="215"/>
      <c r="P289" s="215"/>
      <c r="Q289" s="806"/>
      <c r="R289" s="807"/>
      <c r="S289" s="215"/>
      <c r="T289" s="216"/>
      <c r="U289" s="184">
        <f t="shared" si="55"/>
        <v>0</v>
      </c>
      <c r="V289" s="184">
        <f t="shared" si="56"/>
        <v>0</v>
      </c>
      <c r="W289" s="262">
        <f t="shared" si="57"/>
        <v>0</v>
      </c>
      <c r="X289" s="263">
        <f t="shared" si="57"/>
        <v>0</v>
      </c>
      <c r="Y289" s="296"/>
      <c r="Z289" s="297"/>
      <c r="AA289" s="268"/>
      <c r="AB289" s="178"/>
      <c r="AC289" s="269" t="str">
        <f>'C. Capital Outlay &amp; Donations'!D130</f>
        <v>C.2</v>
      </c>
      <c r="AD289" s="179">
        <f>'C. Capital Outlay &amp; Donations'!K135</f>
        <v>0</v>
      </c>
      <c r="AE289" s="177"/>
      <c r="AF289" s="269" t="str">
        <f>'H. Other Liabilities &amp; Expenses'!$D$235</f>
        <v>H.1</v>
      </c>
      <c r="AG289" s="177">
        <f>'H. Other Liabilities &amp; Expenses'!N238</f>
        <v>0</v>
      </c>
      <c r="AH289" s="270"/>
      <c r="AI289" s="177"/>
      <c r="AJ289" s="269"/>
      <c r="AK289" s="178"/>
      <c r="AL289" s="215"/>
      <c r="AM289" s="215"/>
      <c r="AN289" s="262">
        <f t="shared" si="76"/>
        <v>0</v>
      </c>
      <c r="AO289" s="263">
        <f t="shared" si="77"/>
        <v>0</v>
      </c>
      <c r="AP289" s="184"/>
      <c r="AQ289" s="263"/>
      <c r="AR289" s="184"/>
      <c r="AS289" s="263"/>
      <c r="AT289" s="36"/>
      <c r="AU289" s="36"/>
      <c r="AV289" s="36"/>
      <c r="AW289" s="36"/>
      <c r="AX289" s="36"/>
      <c r="AY289" s="36"/>
      <c r="AZ289" s="36"/>
    </row>
    <row r="290" spans="1:52" x14ac:dyDescent="0.2">
      <c r="A290" s="11"/>
      <c r="B290" s="195"/>
      <c r="C290" s="176"/>
      <c r="D290" s="176"/>
      <c r="E290" s="206"/>
      <c r="F290" s="207"/>
      <c r="G290" s="806"/>
      <c r="H290" s="215"/>
      <c r="I290" s="806"/>
      <c r="J290" s="807"/>
      <c r="K290" s="215"/>
      <c r="L290" s="807"/>
      <c r="M290" s="215"/>
      <c r="N290" s="216"/>
      <c r="O290" s="215"/>
      <c r="P290" s="215"/>
      <c r="Q290" s="806"/>
      <c r="R290" s="807"/>
      <c r="S290" s="215"/>
      <c r="T290" s="216"/>
      <c r="U290" s="184">
        <f t="shared" si="55"/>
        <v>0</v>
      </c>
      <c r="V290" s="184">
        <f t="shared" si="56"/>
        <v>0</v>
      </c>
      <c r="W290" s="262">
        <f t="shared" si="57"/>
        <v>0</v>
      </c>
      <c r="X290" s="263">
        <f t="shared" si="57"/>
        <v>0</v>
      </c>
      <c r="Y290" s="296"/>
      <c r="Z290" s="297"/>
      <c r="AA290" s="268"/>
      <c r="AB290" s="178"/>
      <c r="AC290" s="269" t="s">
        <v>132</v>
      </c>
      <c r="AD290" s="177">
        <f>'D.  Capital Asset Disposal'!M203</f>
        <v>0</v>
      </c>
      <c r="AE290" s="177"/>
      <c r="AF290" s="269" t="str">
        <f>'E. Debt Service'!$D$81</f>
        <v>E.1</v>
      </c>
      <c r="AG290" s="177">
        <f>'E. Debt Service'!N86</f>
        <v>0</v>
      </c>
      <c r="AH290" s="270"/>
      <c r="AI290" s="177"/>
      <c r="AJ290" s="269"/>
      <c r="AK290" s="178"/>
      <c r="AL290" s="215"/>
      <c r="AM290" s="215"/>
      <c r="AN290" s="262">
        <f t="shared" si="76"/>
        <v>0</v>
      </c>
      <c r="AO290" s="263">
        <f t="shared" si="77"/>
        <v>0</v>
      </c>
      <c r="AP290" s="184"/>
      <c r="AQ290" s="263"/>
      <c r="AR290" s="184"/>
      <c r="AS290" s="263"/>
      <c r="AT290" s="36"/>
      <c r="AU290" s="36"/>
      <c r="AV290" s="36"/>
      <c r="AW290" s="36"/>
      <c r="AX290" s="36"/>
      <c r="AY290" s="36"/>
      <c r="AZ290" s="36"/>
    </row>
    <row r="291" spans="1:52" s="478" customFormat="1" x14ac:dyDescent="0.2">
      <c r="A291" s="483"/>
      <c r="B291" s="195"/>
      <c r="C291" s="176"/>
      <c r="D291" s="176"/>
      <c r="E291" s="206"/>
      <c r="F291" s="207"/>
      <c r="G291" s="806"/>
      <c r="H291" s="215"/>
      <c r="I291" s="806"/>
      <c r="J291" s="807"/>
      <c r="K291" s="215"/>
      <c r="L291" s="807"/>
      <c r="M291" s="215"/>
      <c r="N291" s="216"/>
      <c r="O291" s="215"/>
      <c r="P291" s="215"/>
      <c r="Q291" s="806"/>
      <c r="R291" s="807"/>
      <c r="S291" s="215"/>
      <c r="T291" s="216"/>
      <c r="U291" s="184"/>
      <c r="V291" s="184"/>
      <c r="W291" s="262"/>
      <c r="X291" s="263"/>
      <c r="Y291" s="296"/>
      <c r="Z291" s="297"/>
      <c r="AA291" s="268"/>
      <c r="AB291" s="178"/>
      <c r="AC291" s="269" t="s">
        <v>1080</v>
      </c>
      <c r="AD291" s="177">
        <f>'J. GASB 68 TSERS'!C96</f>
        <v>0</v>
      </c>
      <c r="AE291" s="177"/>
      <c r="AF291" s="269" t="s">
        <v>1080</v>
      </c>
      <c r="AG291" s="177">
        <f>'J. GASB 68 TSERS'!D96</f>
        <v>0</v>
      </c>
      <c r="AH291" s="270"/>
      <c r="AI291" s="177"/>
      <c r="AJ291" s="269"/>
      <c r="AK291" s="178"/>
      <c r="AL291" s="215"/>
      <c r="AM291" s="215"/>
      <c r="AN291" s="262">
        <f t="shared" si="76"/>
        <v>0</v>
      </c>
      <c r="AO291" s="263">
        <f t="shared" si="77"/>
        <v>0</v>
      </c>
      <c r="AP291" s="184"/>
      <c r="AQ291" s="263"/>
      <c r="AR291" s="184"/>
      <c r="AS291" s="263"/>
      <c r="AT291" s="36"/>
      <c r="AU291" s="36"/>
      <c r="AV291" s="36"/>
      <c r="AW291" s="36"/>
      <c r="AX291" s="36"/>
      <c r="AY291" s="36"/>
      <c r="AZ291" s="36"/>
    </row>
    <row r="292" spans="1:52" s="613" customFormat="1" x14ac:dyDescent="0.2">
      <c r="A292" s="615"/>
      <c r="B292" s="195"/>
      <c r="C292" s="176"/>
      <c r="D292" s="176"/>
      <c r="E292" s="206"/>
      <c r="F292" s="207"/>
      <c r="G292" s="806"/>
      <c r="H292" s="215"/>
      <c r="I292" s="806"/>
      <c r="J292" s="807"/>
      <c r="K292" s="215"/>
      <c r="L292" s="807"/>
      <c r="M292" s="215"/>
      <c r="N292" s="216"/>
      <c r="O292" s="215"/>
      <c r="P292" s="215"/>
      <c r="Q292" s="806"/>
      <c r="R292" s="807"/>
      <c r="S292" s="215"/>
      <c r="T292" s="216"/>
      <c r="U292" s="184"/>
      <c r="V292" s="184"/>
      <c r="W292" s="262"/>
      <c r="X292" s="263"/>
      <c r="Y292" s="296"/>
      <c r="Z292" s="297"/>
      <c r="AA292" s="268"/>
      <c r="AB292" s="178"/>
      <c r="AC292" s="674" t="s">
        <v>1519</v>
      </c>
      <c r="AD292" s="177">
        <f>'K. GASB 75 RHBF'!C97</f>
        <v>0</v>
      </c>
      <c r="AE292" s="177"/>
      <c r="AF292" s="269" t="s">
        <v>1518</v>
      </c>
      <c r="AG292" s="177">
        <f>'K. GASB 75 RHBF'!D123</f>
        <v>0</v>
      </c>
      <c r="AH292" s="270"/>
      <c r="AI292" s="177"/>
      <c r="AJ292" s="269"/>
      <c r="AK292" s="178"/>
      <c r="AL292" s="215"/>
      <c r="AM292" s="215"/>
      <c r="AN292" s="262">
        <f t="shared" si="76"/>
        <v>0</v>
      </c>
      <c r="AO292" s="263">
        <f t="shared" si="77"/>
        <v>0</v>
      </c>
      <c r="AP292" s="184"/>
      <c r="AQ292" s="263"/>
      <c r="AR292" s="184"/>
      <c r="AS292" s="263"/>
      <c r="AT292" s="36"/>
      <c r="AU292" s="36"/>
      <c r="AV292" s="36"/>
      <c r="AW292" s="36"/>
      <c r="AX292" s="36"/>
      <c r="AY292" s="36"/>
      <c r="AZ292" s="36"/>
    </row>
    <row r="293" spans="1:52" s="751" customFormat="1" x14ac:dyDescent="0.2">
      <c r="A293" s="752"/>
      <c r="B293" s="195"/>
      <c r="C293" s="176"/>
      <c r="D293" s="176"/>
      <c r="E293" s="206"/>
      <c r="F293" s="207"/>
      <c r="G293" s="806"/>
      <c r="H293" s="215"/>
      <c r="I293" s="806"/>
      <c r="J293" s="807"/>
      <c r="K293" s="215"/>
      <c r="L293" s="807"/>
      <c r="M293" s="215"/>
      <c r="N293" s="216"/>
      <c r="O293" s="215"/>
      <c r="P293" s="215"/>
      <c r="Q293" s="806"/>
      <c r="R293" s="807"/>
      <c r="S293" s="215"/>
      <c r="T293" s="216"/>
      <c r="U293" s="184"/>
      <c r="V293" s="184"/>
      <c r="W293" s="262"/>
      <c r="X293" s="263"/>
      <c r="Y293" s="296"/>
      <c r="Z293" s="297"/>
      <c r="AA293" s="268"/>
      <c r="AB293" s="178"/>
      <c r="AC293" s="674" t="s">
        <v>1633</v>
      </c>
      <c r="AD293" s="177">
        <f>'L. GASB 75 DIPNC'!C97</f>
        <v>0</v>
      </c>
      <c r="AE293" s="177"/>
      <c r="AF293" s="269" t="s">
        <v>1633</v>
      </c>
      <c r="AG293" s="177">
        <f>'L. GASB 75 DIPNC'!D123</f>
        <v>0</v>
      </c>
      <c r="AH293" s="270"/>
      <c r="AI293" s="177"/>
      <c r="AJ293" s="269"/>
      <c r="AK293" s="178"/>
      <c r="AL293" s="215"/>
      <c r="AM293" s="215"/>
      <c r="AN293" s="262">
        <f t="shared" ref="AN293" si="78">W293+Y293+AA293+AD293+AI293+AL293</f>
        <v>0</v>
      </c>
      <c r="AO293" s="263">
        <f t="shared" ref="AO293" si="79">X293+Z293+AB293+AG293+AK293+AM293</f>
        <v>0</v>
      </c>
      <c r="AP293" s="184"/>
      <c r="AQ293" s="263"/>
      <c r="AR293" s="184"/>
      <c r="AS293" s="263"/>
      <c r="AT293" s="36"/>
      <c r="AU293" s="36"/>
      <c r="AV293" s="36"/>
      <c r="AW293" s="36"/>
      <c r="AX293" s="36"/>
      <c r="AY293" s="36"/>
      <c r="AZ293" s="36"/>
    </row>
    <row r="294" spans="1:52" ht="4.5" customHeight="1" x14ac:dyDescent="0.2">
      <c r="A294" s="311"/>
      <c r="B294" s="303"/>
      <c r="C294" s="303"/>
      <c r="D294" s="303"/>
      <c r="E294" s="299"/>
      <c r="F294" s="403"/>
      <c r="G294" s="812"/>
      <c r="H294" s="293"/>
      <c r="I294" s="812"/>
      <c r="J294" s="813"/>
      <c r="K294" s="293"/>
      <c r="L294" s="813"/>
      <c r="M294" s="293"/>
      <c r="N294" s="404"/>
      <c r="O294" s="293"/>
      <c r="P294" s="293"/>
      <c r="Q294" s="812"/>
      <c r="R294" s="813"/>
      <c r="S294" s="293"/>
      <c r="T294" s="404"/>
      <c r="U294" s="184"/>
      <c r="V294" s="184"/>
      <c r="W294" s="262"/>
      <c r="X294" s="263"/>
      <c r="Y294" s="292"/>
      <c r="Z294" s="293"/>
      <c r="AA294" s="261"/>
      <c r="AB294" s="134"/>
      <c r="AC294" s="276"/>
      <c r="AE294" s="45"/>
      <c r="AF294" s="257"/>
      <c r="AG294" s="45"/>
      <c r="AH294" s="256"/>
      <c r="AI294" s="45"/>
      <c r="AJ294" s="257"/>
      <c r="AK294" s="134"/>
      <c r="AL294" s="211"/>
      <c r="AM294" s="211"/>
      <c r="AN294" s="262"/>
      <c r="AO294" s="263"/>
      <c r="AP294" s="184"/>
      <c r="AQ294" s="263"/>
      <c r="AR294" s="184"/>
      <c r="AS294" s="263"/>
      <c r="AT294" s="36"/>
      <c r="AU294" s="36"/>
      <c r="AV294" s="36"/>
      <c r="AW294" s="36"/>
      <c r="AX294" s="36"/>
      <c r="AY294" s="36"/>
      <c r="AZ294" s="36"/>
    </row>
    <row r="295" spans="1:52" x14ac:dyDescent="0.2">
      <c r="A295" s="11"/>
      <c r="B295" s="195" t="s">
        <v>232</v>
      </c>
      <c r="C295" s="176"/>
      <c r="D295" s="176"/>
      <c r="E295" s="206"/>
      <c r="F295" s="207"/>
      <c r="G295" s="806"/>
      <c r="H295" s="215"/>
      <c r="I295" s="806"/>
      <c r="J295" s="807"/>
      <c r="K295" s="215"/>
      <c r="L295" s="807"/>
      <c r="M295" s="215"/>
      <c r="N295" s="216"/>
      <c r="O295" s="215"/>
      <c r="P295" s="215"/>
      <c r="Q295" s="806"/>
      <c r="R295" s="807"/>
      <c r="S295" s="215"/>
      <c r="T295" s="216"/>
      <c r="U295" s="184">
        <f t="shared" si="55"/>
        <v>0</v>
      </c>
      <c r="V295" s="184">
        <f t="shared" si="56"/>
        <v>0</v>
      </c>
      <c r="W295" s="262">
        <f t="shared" si="57"/>
        <v>0</v>
      </c>
      <c r="X295" s="263">
        <f t="shared" si="57"/>
        <v>0</v>
      </c>
      <c r="Y295" s="296"/>
      <c r="Z295" s="297"/>
      <c r="AA295" s="268"/>
      <c r="AB295" s="178"/>
      <c r="AC295" s="273" t="str">
        <f>'B. Depreciation'!A54</f>
        <v>B.1</v>
      </c>
      <c r="AD295" s="179">
        <f>'B. Depreciation'!J58</f>
        <v>0</v>
      </c>
      <c r="AE295" s="177"/>
      <c r="AF295" s="269" t="str">
        <f>'C. Capital Outlay &amp; Donations'!$D$100</f>
        <v>C.1</v>
      </c>
      <c r="AG295" s="177">
        <f>'C. Capital Outlay &amp; Donations'!M112</f>
        <v>0</v>
      </c>
      <c r="AH295" s="270" t="str">
        <f>'I. Eliminations-Consolidations'!A250</f>
        <v>I.7</v>
      </c>
      <c r="AI295" s="177">
        <f>'I. Eliminations-Consolidations'!J254</f>
        <v>0</v>
      </c>
      <c r="AJ295" s="269"/>
      <c r="AK295" s="178"/>
      <c r="AL295" s="215"/>
      <c r="AM295" s="215"/>
      <c r="AN295" s="262">
        <f t="shared" ref="AN295:AN300" si="80">W295+Y295+AA295+AD295+AI295+AL295</f>
        <v>0</v>
      </c>
      <c r="AO295" s="263">
        <f t="shared" ref="AO295:AO300" si="81">X295+Z295+AB295+AG295+AK295+AM295</f>
        <v>0</v>
      </c>
      <c r="AP295" s="184" t="str">
        <f>IF(SUM(AN295:AN301)-SUM(AO295:AO301)&lt;=0, " ",SUM(AN295:AN301)-SUM(AO295:AO301))</f>
        <v xml:space="preserve"> </v>
      </c>
      <c r="AQ295" s="263" t="str">
        <f>IF(SUM(AN295:AN299)-SUM(AO295:AO299)&gt;=0, " ", SUM(AO295:AO299)-SUM(AN295:AN299))</f>
        <v xml:space="preserve"> </v>
      </c>
      <c r="AR295" s="184"/>
      <c r="AS295" s="263"/>
      <c r="AT295" s="36"/>
      <c r="AU295" s="36"/>
      <c r="AV295" s="36"/>
      <c r="AW295" s="36"/>
      <c r="AX295" s="36"/>
      <c r="AY295" s="36"/>
      <c r="AZ295" s="36"/>
    </row>
    <row r="296" spans="1:52" x14ac:dyDescent="0.2">
      <c r="A296" s="11"/>
      <c r="B296" s="176"/>
      <c r="C296" s="176"/>
      <c r="D296" s="176"/>
      <c r="E296" s="206"/>
      <c r="F296" s="207"/>
      <c r="G296" s="806"/>
      <c r="H296" s="215"/>
      <c r="I296" s="806"/>
      <c r="J296" s="807"/>
      <c r="K296" s="215"/>
      <c r="L296" s="807"/>
      <c r="M296" s="215"/>
      <c r="N296" s="216"/>
      <c r="O296" s="215"/>
      <c r="P296" s="215"/>
      <c r="Q296" s="806"/>
      <c r="R296" s="807"/>
      <c r="S296" s="215"/>
      <c r="T296" s="216"/>
      <c r="U296" s="184">
        <f t="shared" si="55"/>
        <v>0</v>
      </c>
      <c r="V296" s="184">
        <f t="shared" si="56"/>
        <v>0</v>
      </c>
      <c r="W296" s="262">
        <f t="shared" si="57"/>
        <v>0</v>
      </c>
      <c r="X296" s="263">
        <f t="shared" si="57"/>
        <v>0</v>
      </c>
      <c r="Y296" s="296"/>
      <c r="Z296" s="297"/>
      <c r="AA296" s="268"/>
      <c r="AB296" s="178"/>
      <c r="AC296" s="273" t="str">
        <f>'H. Other Liabilities &amp; Expenses'!D235</f>
        <v>H.1</v>
      </c>
      <c r="AD296" s="179">
        <f>'H. Other Liabilities &amp; Expenses'!L239</f>
        <v>0</v>
      </c>
      <c r="AE296" s="177"/>
      <c r="AF296" s="275" t="str">
        <f>'G.  Other Asset Entries'!$B$90</f>
        <v>G.1</v>
      </c>
      <c r="AG296" s="177">
        <f>'G.  Other Asset Entries'!N98</f>
        <v>0</v>
      </c>
      <c r="AH296" s="270"/>
      <c r="AI296" s="177"/>
      <c r="AJ296" s="269"/>
      <c r="AK296" s="178"/>
      <c r="AL296" s="215"/>
      <c r="AM296" s="215"/>
      <c r="AN296" s="262">
        <f t="shared" si="80"/>
        <v>0</v>
      </c>
      <c r="AO296" s="263">
        <f t="shared" si="81"/>
        <v>0</v>
      </c>
      <c r="AP296" s="184"/>
      <c r="AQ296" s="263"/>
      <c r="AR296" s="184"/>
      <c r="AS296" s="263"/>
      <c r="AT296" s="36"/>
      <c r="AU296" s="36"/>
      <c r="AV296" s="36"/>
      <c r="AW296" s="36"/>
      <c r="AX296" s="36"/>
      <c r="AY296" s="36"/>
      <c r="AZ296" s="36"/>
    </row>
    <row r="297" spans="1:52" x14ac:dyDescent="0.2">
      <c r="A297" s="11"/>
      <c r="B297" s="176"/>
      <c r="C297" s="176"/>
      <c r="D297" s="176"/>
      <c r="E297" s="206"/>
      <c r="F297" s="207"/>
      <c r="G297" s="806"/>
      <c r="H297" s="215"/>
      <c r="I297" s="806"/>
      <c r="J297" s="807"/>
      <c r="K297" s="215"/>
      <c r="L297" s="807"/>
      <c r="M297" s="215"/>
      <c r="N297" s="216"/>
      <c r="O297" s="215"/>
      <c r="P297" s="215"/>
      <c r="Q297" s="806"/>
      <c r="R297" s="807"/>
      <c r="S297" s="215"/>
      <c r="T297" s="216"/>
      <c r="U297" s="184">
        <f t="shared" si="55"/>
        <v>0</v>
      </c>
      <c r="V297" s="184">
        <f t="shared" si="56"/>
        <v>0</v>
      </c>
      <c r="W297" s="262">
        <f t="shared" si="57"/>
        <v>0</v>
      </c>
      <c r="X297" s="263">
        <f t="shared" si="57"/>
        <v>0</v>
      </c>
      <c r="Y297" s="296"/>
      <c r="Z297" s="297"/>
      <c r="AA297" s="268"/>
      <c r="AB297" s="178"/>
      <c r="AC297" s="269" t="str">
        <f>'C. Capital Outlay &amp; Donations'!D130</f>
        <v>C.2</v>
      </c>
      <c r="AD297" s="179">
        <f>'C. Capital Outlay &amp; Donations'!K136</f>
        <v>0</v>
      </c>
      <c r="AE297" s="177"/>
      <c r="AF297" s="269" t="str">
        <f>'H. Other Liabilities &amp; Expenses'!$D$235</f>
        <v>H.1</v>
      </c>
      <c r="AG297" s="177">
        <f>'H. Other Liabilities &amp; Expenses'!N239</f>
        <v>0</v>
      </c>
      <c r="AH297" s="270"/>
      <c r="AI297" s="177"/>
      <c r="AJ297" s="269"/>
      <c r="AK297" s="178"/>
      <c r="AL297" s="215"/>
      <c r="AM297" s="215"/>
      <c r="AN297" s="262">
        <f t="shared" si="80"/>
        <v>0</v>
      </c>
      <c r="AO297" s="263">
        <f t="shared" si="81"/>
        <v>0</v>
      </c>
      <c r="AP297" s="184"/>
      <c r="AQ297" s="263"/>
      <c r="AR297" s="184"/>
      <c r="AS297" s="263"/>
      <c r="AT297" s="36"/>
      <c r="AU297" s="36"/>
      <c r="AV297" s="36"/>
      <c r="AW297" s="36"/>
      <c r="AX297" s="36"/>
      <c r="AY297" s="36"/>
      <c r="AZ297" s="36"/>
    </row>
    <row r="298" spans="1:52" x14ac:dyDescent="0.2">
      <c r="A298" s="11"/>
      <c r="B298" s="176"/>
      <c r="C298" s="176"/>
      <c r="D298" s="176"/>
      <c r="E298" s="206"/>
      <c r="F298" s="207"/>
      <c r="G298" s="806"/>
      <c r="H298" s="215"/>
      <c r="I298" s="806"/>
      <c r="J298" s="807"/>
      <c r="K298" s="215"/>
      <c r="L298" s="807"/>
      <c r="M298" s="215"/>
      <c r="N298" s="216"/>
      <c r="O298" s="215"/>
      <c r="P298" s="215"/>
      <c r="Q298" s="806"/>
      <c r="R298" s="807"/>
      <c r="S298" s="215"/>
      <c r="T298" s="216"/>
      <c r="U298" s="184">
        <f t="shared" si="55"/>
        <v>0</v>
      </c>
      <c r="V298" s="184">
        <f t="shared" si="56"/>
        <v>0</v>
      </c>
      <c r="W298" s="262">
        <f t="shared" si="57"/>
        <v>0</v>
      </c>
      <c r="X298" s="263">
        <f t="shared" si="57"/>
        <v>0</v>
      </c>
      <c r="Y298" s="296"/>
      <c r="Z298" s="297"/>
      <c r="AA298" s="268"/>
      <c r="AB298" s="178"/>
      <c r="AC298" s="273" t="s">
        <v>132</v>
      </c>
      <c r="AD298" s="179">
        <f>'D.  Capital Asset Disposal'!M204</f>
        <v>0</v>
      </c>
      <c r="AE298" s="177"/>
      <c r="AF298" s="269" t="str">
        <f>'E. Debt Service'!$D$81</f>
        <v>E.1</v>
      </c>
      <c r="AG298" s="177">
        <f>'E. Debt Service'!N87</f>
        <v>0</v>
      </c>
      <c r="AH298" s="270"/>
      <c r="AI298" s="177"/>
      <c r="AJ298" s="269"/>
      <c r="AK298" s="178"/>
      <c r="AL298" s="215"/>
      <c r="AM298" s="215"/>
      <c r="AN298" s="262">
        <f t="shared" si="80"/>
        <v>0</v>
      </c>
      <c r="AO298" s="263">
        <f t="shared" si="81"/>
        <v>0</v>
      </c>
      <c r="AP298" s="184"/>
      <c r="AQ298" s="263"/>
      <c r="AR298" s="184"/>
      <c r="AS298" s="263"/>
      <c r="AT298" s="36"/>
      <c r="AU298" s="36"/>
      <c r="AV298" s="36"/>
      <c r="AW298" s="36"/>
      <c r="AX298" s="36"/>
      <c r="AY298" s="36"/>
      <c r="AZ298" s="36"/>
    </row>
    <row r="299" spans="1:52" s="478" customFormat="1" x14ac:dyDescent="0.2">
      <c r="A299" s="483"/>
      <c r="B299" s="176"/>
      <c r="C299" s="176"/>
      <c r="D299" s="176"/>
      <c r="E299" s="206"/>
      <c r="F299" s="207"/>
      <c r="G299" s="806"/>
      <c r="H299" s="215"/>
      <c r="I299" s="806"/>
      <c r="J299" s="807"/>
      <c r="K299" s="215"/>
      <c r="L299" s="807"/>
      <c r="M299" s="215"/>
      <c r="N299" s="216"/>
      <c r="O299" s="215"/>
      <c r="P299" s="215"/>
      <c r="Q299" s="806"/>
      <c r="R299" s="807"/>
      <c r="S299" s="215"/>
      <c r="T299" s="216"/>
      <c r="U299" s="184"/>
      <c r="V299" s="184"/>
      <c r="W299" s="262"/>
      <c r="X299" s="263"/>
      <c r="Y299" s="296"/>
      <c r="Z299" s="297"/>
      <c r="AA299" s="268"/>
      <c r="AB299" s="178"/>
      <c r="AC299" s="273" t="s">
        <v>1080</v>
      </c>
      <c r="AD299" s="179">
        <f>'J. GASB 68 TSERS'!C97</f>
        <v>0</v>
      </c>
      <c r="AE299" s="177"/>
      <c r="AF299" s="269" t="s">
        <v>1080</v>
      </c>
      <c r="AG299" s="177">
        <f>'J. GASB 68 TSERS'!D97</f>
        <v>0</v>
      </c>
      <c r="AH299" s="270"/>
      <c r="AI299" s="177"/>
      <c r="AJ299" s="269"/>
      <c r="AK299" s="178"/>
      <c r="AL299" s="215"/>
      <c r="AM299" s="215"/>
      <c r="AN299" s="262">
        <f t="shared" si="80"/>
        <v>0</v>
      </c>
      <c r="AO299" s="263">
        <f t="shared" si="81"/>
        <v>0</v>
      </c>
      <c r="AP299" s="184"/>
      <c r="AQ299" s="263"/>
      <c r="AR299" s="184"/>
      <c r="AS299" s="263"/>
      <c r="AT299" s="36"/>
      <c r="AU299" s="36"/>
      <c r="AV299" s="36"/>
      <c r="AW299" s="36"/>
      <c r="AX299" s="36"/>
      <c r="AY299" s="36"/>
      <c r="AZ299" s="36"/>
    </row>
    <row r="300" spans="1:52" s="613" customFormat="1" x14ac:dyDescent="0.2">
      <c r="A300" s="615"/>
      <c r="B300" s="176"/>
      <c r="C300" s="176"/>
      <c r="D300" s="176"/>
      <c r="E300" s="206"/>
      <c r="F300" s="207"/>
      <c r="G300" s="806"/>
      <c r="H300" s="215"/>
      <c r="I300" s="806"/>
      <c r="J300" s="807"/>
      <c r="K300" s="215"/>
      <c r="L300" s="807"/>
      <c r="M300" s="215"/>
      <c r="N300" s="216"/>
      <c r="O300" s="215"/>
      <c r="P300" s="215"/>
      <c r="Q300" s="806"/>
      <c r="R300" s="807"/>
      <c r="S300" s="215"/>
      <c r="T300" s="216"/>
      <c r="U300" s="184"/>
      <c r="V300" s="184"/>
      <c r="W300" s="262"/>
      <c r="X300" s="263"/>
      <c r="Y300" s="296"/>
      <c r="Z300" s="297"/>
      <c r="AA300" s="268"/>
      <c r="AB300" s="178"/>
      <c r="AC300" s="674" t="s">
        <v>1519</v>
      </c>
      <c r="AD300" s="675">
        <f>'K. GASB 75 RHBF'!C98</f>
        <v>0</v>
      </c>
      <c r="AE300" s="177"/>
      <c r="AF300" s="269" t="s">
        <v>1518</v>
      </c>
      <c r="AG300" s="177">
        <f>'K. GASB 75 RHBF'!D124</f>
        <v>0</v>
      </c>
      <c r="AH300" s="270"/>
      <c r="AI300" s="177"/>
      <c r="AJ300" s="269"/>
      <c r="AK300" s="178"/>
      <c r="AL300" s="215"/>
      <c r="AM300" s="215"/>
      <c r="AN300" s="262">
        <f t="shared" si="80"/>
        <v>0</v>
      </c>
      <c r="AO300" s="263">
        <f t="shared" si="81"/>
        <v>0</v>
      </c>
      <c r="AP300" s="184"/>
      <c r="AQ300" s="263"/>
      <c r="AR300" s="184"/>
      <c r="AS300" s="263"/>
      <c r="AT300" s="36"/>
      <c r="AU300" s="36"/>
      <c r="AV300" s="36"/>
      <c r="AW300" s="36"/>
      <c r="AX300" s="36"/>
      <c r="AY300" s="36"/>
      <c r="AZ300" s="36"/>
    </row>
    <row r="301" spans="1:52" s="751" customFormat="1" x14ac:dyDescent="0.2">
      <c r="A301" s="752"/>
      <c r="B301" s="176"/>
      <c r="C301" s="176"/>
      <c r="D301" s="176"/>
      <c r="E301" s="206"/>
      <c r="F301" s="207"/>
      <c r="G301" s="806"/>
      <c r="H301" s="215"/>
      <c r="I301" s="806"/>
      <c r="J301" s="807"/>
      <c r="K301" s="215"/>
      <c r="L301" s="807"/>
      <c r="M301" s="215"/>
      <c r="N301" s="216"/>
      <c r="O301" s="215"/>
      <c r="P301" s="215"/>
      <c r="Q301" s="806"/>
      <c r="R301" s="807"/>
      <c r="S301" s="215"/>
      <c r="T301" s="216"/>
      <c r="U301" s="184"/>
      <c r="V301" s="184"/>
      <c r="W301" s="262"/>
      <c r="X301" s="263"/>
      <c r="Y301" s="296"/>
      <c r="Z301" s="297"/>
      <c r="AA301" s="268"/>
      <c r="AB301" s="178"/>
      <c r="AC301" s="674" t="s">
        <v>1633</v>
      </c>
      <c r="AD301" s="675">
        <f>'L. GASB 75 DIPNC'!C98</f>
        <v>0</v>
      </c>
      <c r="AE301" s="177"/>
      <c r="AF301" s="269" t="s">
        <v>1633</v>
      </c>
      <c r="AG301" s="177">
        <f>'L. GASB 75 DIPNC'!D124</f>
        <v>0</v>
      </c>
      <c r="AH301" s="270"/>
      <c r="AI301" s="177"/>
      <c r="AJ301" s="269"/>
      <c r="AK301" s="178"/>
      <c r="AL301" s="215"/>
      <c r="AM301" s="215"/>
      <c r="AN301" s="262">
        <f t="shared" ref="AN301" si="82">W301+Y301+AA301+AD301+AI301+AL301</f>
        <v>0</v>
      </c>
      <c r="AO301" s="263">
        <f t="shared" ref="AO301" si="83">X301+Z301+AB301+AG301+AK301+AM301</f>
        <v>0</v>
      </c>
      <c r="AP301" s="184"/>
      <c r="AQ301" s="263"/>
      <c r="AR301" s="184"/>
      <c r="AS301" s="263"/>
      <c r="AT301" s="36"/>
      <c r="AU301" s="36"/>
      <c r="AV301" s="36"/>
      <c r="AW301" s="36"/>
      <c r="AX301" s="36"/>
      <c r="AY301" s="36"/>
      <c r="AZ301" s="36"/>
    </row>
    <row r="302" spans="1:52" ht="4.5" customHeight="1" x14ac:dyDescent="0.2">
      <c r="A302" s="311"/>
      <c r="B302" s="303"/>
      <c r="C302" s="303"/>
      <c r="D302" s="303"/>
      <c r="E302" s="299"/>
      <c r="F302" s="403"/>
      <c r="G302" s="812"/>
      <c r="H302" s="293"/>
      <c r="I302" s="812"/>
      <c r="J302" s="813"/>
      <c r="K302" s="293"/>
      <c r="L302" s="813"/>
      <c r="M302" s="293"/>
      <c r="N302" s="404"/>
      <c r="O302" s="293"/>
      <c r="P302" s="293"/>
      <c r="Q302" s="812"/>
      <c r="R302" s="813"/>
      <c r="S302" s="293"/>
      <c r="T302" s="404"/>
      <c r="U302" s="184"/>
      <c r="V302" s="184"/>
      <c r="W302" s="262"/>
      <c r="X302" s="263"/>
      <c r="Y302" s="292"/>
      <c r="Z302" s="293"/>
      <c r="AA302" s="261"/>
      <c r="AB302" s="134"/>
      <c r="AC302" s="276"/>
      <c r="AE302" s="45"/>
      <c r="AF302" s="257"/>
      <c r="AG302" s="45"/>
      <c r="AH302" s="256"/>
      <c r="AI302" s="45"/>
      <c r="AJ302" s="257"/>
      <c r="AK302" s="134"/>
      <c r="AL302" s="211"/>
      <c r="AM302" s="211"/>
      <c r="AN302" s="262"/>
      <c r="AO302" s="263"/>
      <c r="AP302" s="184"/>
      <c r="AQ302" s="263"/>
      <c r="AR302" s="184"/>
      <c r="AS302" s="263"/>
      <c r="AT302" s="36"/>
      <c r="AU302" s="36"/>
      <c r="AV302" s="36"/>
      <c r="AW302" s="36"/>
      <c r="AX302" s="36"/>
      <c r="AY302" s="36"/>
      <c r="AZ302" s="36"/>
    </row>
    <row r="303" spans="1:52" x14ac:dyDescent="0.2">
      <c r="A303" s="11"/>
      <c r="B303" s="195" t="s">
        <v>499</v>
      </c>
      <c r="C303" s="176"/>
      <c r="D303" s="176"/>
      <c r="E303" s="206"/>
      <c r="F303" s="207"/>
      <c r="G303" s="806"/>
      <c r="H303" s="215"/>
      <c r="I303" s="806"/>
      <c r="J303" s="807"/>
      <c r="K303" s="215"/>
      <c r="L303" s="807"/>
      <c r="M303" s="215"/>
      <c r="N303" s="216"/>
      <c r="O303" s="215"/>
      <c r="P303" s="215"/>
      <c r="Q303" s="806"/>
      <c r="R303" s="807"/>
      <c r="S303" s="215"/>
      <c r="T303" s="216"/>
      <c r="U303" s="184">
        <f t="shared" ref="U303:V306" si="84">O303+Q303+S303</f>
        <v>0</v>
      </c>
      <c r="V303" s="184">
        <f t="shared" si="84"/>
        <v>0</v>
      </c>
      <c r="W303" s="262">
        <f t="shared" ref="W303:X306" si="85">E303+G303+I303+K303+M303+U303</f>
        <v>0</v>
      </c>
      <c r="X303" s="263">
        <f t="shared" si="85"/>
        <v>0</v>
      </c>
      <c r="Y303" s="296"/>
      <c r="Z303" s="297"/>
      <c r="AA303" s="268"/>
      <c r="AB303" s="178"/>
      <c r="AC303" s="269" t="str">
        <f>'B. Depreciation'!A54</f>
        <v>B.1</v>
      </c>
      <c r="AD303" s="177">
        <f>'B. Depreciation'!J59</f>
        <v>0</v>
      </c>
      <c r="AE303" s="177"/>
      <c r="AF303" s="269" t="str">
        <f>'C. Capital Outlay &amp; Donations'!$D$100</f>
        <v>C.1</v>
      </c>
      <c r="AG303" s="177">
        <f>'C. Capital Outlay &amp; Donations'!M113</f>
        <v>0</v>
      </c>
      <c r="AH303" s="270" t="str">
        <f>'I. Eliminations-Consolidations'!A250</f>
        <v>I.7</v>
      </c>
      <c r="AI303" s="177">
        <f>'I. Eliminations-Consolidations'!J255</f>
        <v>0</v>
      </c>
      <c r="AJ303" s="269"/>
      <c r="AK303" s="178"/>
      <c r="AL303" s="215"/>
      <c r="AM303" s="215"/>
      <c r="AN303" s="262">
        <f t="shared" ref="AN303:AN308" si="86">W303+Y303+AA303+AD303+AI303+AL303</f>
        <v>0</v>
      </c>
      <c r="AO303" s="263">
        <f t="shared" ref="AO303:AO308" si="87">X303+Z303+AB303+AG303+AK303+AM303</f>
        <v>0</v>
      </c>
      <c r="AP303" s="184" t="str">
        <f>IF(SUM(AN303:AN309)-SUM(AO303:AO309)&lt;=0, " ",SUM(AN303:AN309)-SUM(AO303:AO309))</f>
        <v xml:space="preserve"> </v>
      </c>
      <c r="AQ303" s="263" t="str">
        <f>IF(SUM(AN303:AN307)-SUM(AO303:AO307)&gt;=0, " ", SUM(AO303:AO307)-SUM(AN303:AN307))</f>
        <v xml:space="preserve"> </v>
      </c>
      <c r="AR303" s="184"/>
      <c r="AS303" s="263"/>
      <c r="AT303" s="36"/>
      <c r="AU303" s="36"/>
      <c r="AV303" s="36"/>
      <c r="AW303" s="36"/>
      <c r="AX303" s="36"/>
      <c r="AY303" s="36"/>
      <c r="AZ303" s="36"/>
    </row>
    <row r="304" spans="1:52" x14ac:dyDescent="0.2">
      <c r="A304" s="11"/>
      <c r="B304" s="195"/>
      <c r="C304" s="176"/>
      <c r="D304" s="176"/>
      <c r="E304" s="206"/>
      <c r="F304" s="207"/>
      <c r="G304" s="806"/>
      <c r="H304" s="215"/>
      <c r="I304" s="806"/>
      <c r="J304" s="807"/>
      <c r="K304" s="215"/>
      <c r="L304" s="807"/>
      <c r="M304" s="215"/>
      <c r="N304" s="216"/>
      <c r="O304" s="215"/>
      <c r="P304" s="215"/>
      <c r="Q304" s="806"/>
      <c r="R304" s="807"/>
      <c r="S304" s="215"/>
      <c r="T304" s="216"/>
      <c r="U304" s="184">
        <f t="shared" si="84"/>
        <v>0</v>
      </c>
      <c r="V304" s="184">
        <f t="shared" si="84"/>
        <v>0</v>
      </c>
      <c r="W304" s="262">
        <f t="shared" si="85"/>
        <v>0</v>
      </c>
      <c r="X304" s="263">
        <f t="shared" si="85"/>
        <v>0</v>
      </c>
      <c r="Y304" s="296"/>
      <c r="Z304" s="297"/>
      <c r="AA304" s="268"/>
      <c r="AB304" s="178"/>
      <c r="AC304" s="269" t="str">
        <f>'H. Other Liabilities &amp; Expenses'!D235</f>
        <v>H.1</v>
      </c>
      <c r="AD304" s="177">
        <f>'H. Other Liabilities &amp; Expenses'!L240</f>
        <v>0</v>
      </c>
      <c r="AE304" s="177"/>
      <c r="AF304" s="275" t="str">
        <f>'G.  Other Asset Entries'!$B$90</f>
        <v>G.1</v>
      </c>
      <c r="AG304" s="177">
        <f>'G.  Other Asset Entries'!N99</f>
        <v>0</v>
      </c>
      <c r="AH304" s="270"/>
      <c r="AI304" s="177"/>
      <c r="AJ304" s="269"/>
      <c r="AK304" s="178"/>
      <c r="AL304" s="215"/>
      <c r="AM304" s="215"/>
      <c r="AN304" s="262">
        <f t="shared" si="86"/>
        <v>0</v>
      </c>
      <c r="AO304" s="263">
        <f t="shared" si="87"/>
        <v>0</v>
      </c>
      <c r="AP304" s="184"/>
      <c r="AQ304" s="263"/>
      <c r="AR304" s="184"/>
      <c r="AS304" s="263"/>
      <c r="AT304" s="36"/>
      <c r="AU304" s="36"/>
      <c r="AV304" s="36"/>
      <c r="AW304" s="36"/>
      <c r="AX304" s="36"/>
      <c r="AY304" s="36"/>
      <c r="AZ304" s="36"/>
    </row>
    <row r="305" spans="1:52" x14ac:dyDescent="0.2">
      <c r="A305" s="11"/>
      <c r="B305" s="195"/>
      <c r="C305" s="176"/>
      <c r="D305" s="176"/>
      <c r="E305" s="206"/>
      <c r="F305" s="207"/>
      <c r="G305" s="806"/>
      <c r="H305" s="215"/>
      <c r="I305" s="806"/>
      <c r="J305" s="807"/>
      <c r="K305" s="215"/>
      <c r="L305" s="807"/>
      <c r="M305" s="215"/>
      <c r="N305" s="216"/>
      <c r="O305" s="215"/>
      <c r="P305" s="215"/>
      <c r="Q305" s="806"/>
      <c r="R305" s="807"/>
      <c r="S305" s="215"/>
      <c r="T305" s="216"/>
      <c r="U305" s="184">
        <f t="shared" si="84"/>
        <v>0</v>
      </c>
      <c r="V305" s="184">
        <f t="shared" si="84"/>
        <v>0</v>
      </c>
      <c r="W305" s="262">
        <f t="shared" si="85"/>
        <v>0</v>
      </c>
      <c r="X305" s="263">
        <f t="shared" si="85"/>
        <v>0</v>
      </c>
      <c r="Y305" s="296"/>
      <c r="Z305" s="297"/>
      <c r="AA305" s="268"/>
      <c r="AB305" s="178"/>
      <c r="AC305" s="269" t="str">
        <f>'C. Capital Outlay &amp; Donations'!D130</f>
        <v>C.2</v>
      </c>
      <c r="AD305" s="179">
        <f>'C. Capital Outlay &amp; Donations'!K137</f>
        <v>0</v>
      </c>
      <c r="AE305" s="177"/>
      <c r="AF305" s="269" t="str">
        <f>'H. Other Liabilities &amp; Expenses'!$D$235</f>
        <v>H.1</v>
      </c>
      <c r="AG305" s="177">
        <f>'H. Other Liabilities &amp; Expenses'!N240</f>
        <v>0</v>
      </c>
      <c r="AH305" s="270"/>
      <c r="AI305" s="177"/>
      <c r="AJ305" s="269"/>
      <c r="AK305" s="178"/>
      <c r="AL305" s="215"/>
      <c r="AM305" s="215"/>
      <c r="AN305" s="262">
        <f t="shared" si="86"/>
        <v>0</v>
      </c>
      <c r="AO305" s="263">
        <f t="shared" si="87"/>
        <v>0</v>
      </c>
      <c r="AP305" s="184"/>
      <c r="AQ305" s="263"/>
      <c r="AR305" s="184"/>
      <c r="AS305" s="263"/>
      <c r="AT305" s="36"/>
      <c r="AU305" s="36"/>
      <c r="AV305" s="36"/>
      <c r="AW305" s="36"/>
      <c r="AX305" s="36"/>
      <c r="AY305" s="36"/>
      <c r="AZ305" s="36"/>
    </row>
    <row r="306" spans="1:52" x14ac:dyDescent="0.2">
      <c r="A306" s="11"/>
      <c r="B306" s="195"/>
      <c r="C306" s="176"/>
      <c r="D306" s="176"/>
      <c r="E306" s="206"/>
      <c r="F306" s="207"/>
      <c r="G306" s="806"/>
      <c r="H306" s="215"/>
      <c r="I306" s="806"/>
      <c r="J306" s="807"/>
      <c r="K306" s="215"/>
      <c r="L306" s="807"/>
      <c r="M306" s="215"/>
      <c r="N306" s="216"/>
      <c r="O306" s="215"/>
      <c r="P306" s="215"/>
      <c r="Q306" s="806"/>
      <c r="R306" s="807"/>
      <c r="S306" s="215"/>
      <c r="T306" s="216"/>
      <c r="U306" s="184">
        <f t="shared" si="84"/>
        <v>0</v>
      </c>
      <c r="V306" s="184">
        <f t="shared" si="84"/>
        <v>0</v>
      </c>
      <c r="W306" s="262">
        <f t="shared" si="85"/>
        <v>0</v>
      </c>
      <c r="X306" s="263">
        <f t="shared" si="85"/>
        <v>0</v>
      </c>
      <c r="Y306" s="296"/>
      <c r="Z306" s="297"/>
      <c r="AA306" s="268"/>
      <c r="AB306" s="178"/>
      <c r="AC306" s="269" t="s">
        <v>132</v>
      </c>
      <c r="AD306" s="177">
        <f>'D.  Capital Asset Disposal'!M205</f>
        <v>0</v>
      </c>
      <c r="AE306" s="177"/>
      <c r="AF306" s="269" t="str">
        <f>'E. Debt Service'!$D$81</f>
        <v>E.1</v>
      </c>
      <c r="AG306" s="177">
        <f>'E. Debt Service'!N88</f>
        <v>0</v>
      </c>
      <c r="AH306" s="270"/>
      <c r="AI306" s="177"/>
      <c r="AJ306" s="269"/>
      <c r="AK306" s="178"/>
      <c r="AL306" s="215"/>
      <c r="AM306" s="215"/>
      <c r="AN306" s="262">
        <f t="shared" si="86"/>
        <v>0</v>
      </c>
      <c r="AO306" s="263">
        <f t="shared" si="87"/>
        <v>0</v>
      </c>
      <c r="AP306" s="184"/>
      <c r="AQ306" s="263"/>
      <c r="AR306" s="184"/>
      <c r="AS306" s="263"/>
      <c r="AT306" s="36"/>
      <c r="AU306" s="36"/>
      <c r="AV306" s="36"/>
      <c r="AW306" s="36"/>
      <c r="AX306" s="36"/>
      <c r="AY306" s="36"/>
      <c r="AZ306" s="36"/>
    </row>
    <row r="307" spans="1:52" s="478" customFormat="1" x14ac:dyDescent="0.2">
      <c r="A307" s="483"/>
      <c r="B307" s="195"/>
      <c r="C307" s="176"/>
      <c r="D307" s="176"/>
      <c r="E307" s="206"/>
      <c r="F307" s="207"/>
      <c r="G307" s="806"/>
      <c r="H307" s="215"/>
      <c r="I307" s="806"/>
      <c r="J307" s="807"/>
      <c r="K307" s="215"/>
      <c r="L307" s="807"/>
      <c r="M307" s="215"/>
      <c r="N307" s="216"/>
      <c r="O307" s="215"/>
      <c r="P307" s="215"/>
      <c r="Q307" s="806"/>
      <c r="R307" s="807"/>
      <c r="S307" s="215"/>
      <c r="T307" s="216"/>
      <c r="U307" s="184"/>
      <c r="V307" s="184"/>
      <c r="W307" s="262"/>
      <c r="X307" s="263"/>
      <c r="Y307" s="296"/>
      <c r="Z307" s="297"/>
      <c r="AA307" s="268"/>
      <c r="AB307" s="178"/>
      <c r="AC307" s="269" t="s">
        <v>1080</v>
      </c>
      <c r="AD307" s="177">
        <f>'J. GASB 68 TSERS'!C98</f>
        <v>0</v>
      </c>
      <c r="AE307" s="177"/>
      <c r="AF307" s="269" t="s">
        <v>1080</v>
      </c>
      <c r="AG307" s="177">
        <f>'J. GASB 68 TSERS'!D98</f>
        <v>0</v>
      </c>
      <c r="AH307" s="270"/>
      <c r="AI307" s="177"/>
      <c r="AJ307" s="269"/>
      <c r="AK307" s="178"/>
      <c r="AL307" s="215"/>
      <c r="AM307" s="215"/>
      <c r="AN307" s="262">
        <f t="shared" si="86"/>
        <v>0</v>
      </c>
      <c r="AO307" s="263">
        <f t="shared" si="87"/>
        <v>0</v>
      </c>
      <c r="AP307" s="184"/>
      <c r="AQ307" s="263"/>
      <c r="AR307" s="184"/>
      <c r="AS307" s="263"/>
      <c r="AT307" s="36"/>
      <c r="AU307" s="36"/>
      <c r="AV307" s="36"/>
      <c r="AW307" s="36"/>
      <c r="AX307" s="36"/>
      <c r="AY307" s="36"/>
      <c r="AZ307" s="36"/>
    </row>
    <row r="308" spans="1:52" s="613" customFormat="1" x14ac:dyDescent="0.2">
      <c r="A308" s="615"/>
      <c r="B308" s="195"/>
      <c r="C308" s="176"/>
      <c r="D308" s="176"/>
      <c r="E308" s="206"/>
      <c r="F308" s="207"/>
      <c r="G308" s="806"/>
      <c r="H308" s="215"/>
      <c r="I308" s="806"/>
      <c r="J308" s="807"/>
      <c r="K308" s="215"/>
      <c r="L308" s="807"/>
      <c r="M308" s="215"/>
      <c r="N308" s="216"/>
      <c r="O308" s="215"/>
      <c r="P308" s="215"/>
      <c r="Q308" s="806"/>
      <c r="R308" s="807"/>
      <c r="S308" s="215"/>
      <c r="T308" s="216"/>
      <c r="U308" s="184"/>
      <c r="V308" s="184"/>
      <c r="W308" s="262"/>
      <c r="X308" s="263"/>
      <c r="Y308" s="296"/>
      <c r="Z308" s="297"/>
      <c r="AA308" s="268"/>
      <c r="AB308" s="178"/>
      <c r="AC308" s="674" t="s">
        <v>1519</v>
      </c>
      <c r="AD308" s="177">
        <f>'K. GASB 75 RHBF'!C99</f>
        <v>0</v>
      </c>
      <c r="AE308" s="177"/>
      <c r="AF308" s="269" t="s">
        <v>1518</v>
      </c>
      <c r="AG308" s="177">
        <f>'K. GASB 75 RHBF'!D125</f>
        <v>0</v>
      </c>
      <c r="AH308" s="270"/>
      <c r="AI308" s="177"/>
      <c r="AJ308" s="269"/>
      <c r="AK308" s="178"/>
      <c r="AL308" s="215"/>
      <c r="AM308" s="215"/>
      <c r="AN308" s="262">
        <f t="shared" si="86"/>
        <v>0</v>
      </c>
      <c r="AO308" s="263">
        <f t="shared" si="87"/>
        <v>0</v>
      </c>
      <c r="AP308" s="184"/>
      <c r="AQ308" s="263"/>
      <c r="AR308" s="184"/>
      <c r="AS308" s="263"/>
      <c r="AT308" s="36"/>
      <c r="AU308" s="36"/>
      <c r="AV308" s="36"/>
      <c r="AW308" s="36"/>
      <c r="AX308" s="36"/>
      <c r="AY308" s="36"/>
      <c r="AZ308" s="36"/>
    </row>
    <row r="309" spans="1:52" s="751" customFormat="1" x14ac:dyDescent="0.2">
      <c r="A309" s="752"/>
      <c r="B309" s="195"/>
      <c r="C309" s="176"/>
      <c r="D309" s="176"/>
      <c r="E309" s="206"/>
      <c r="F309" s="207"/>
      <c r="G309" s="806"/>
      <c r="H309" s="215"/>
      <c r="I309" s="806"/>
      <c r="J309" s="807"/>
      <c r="K309" s="215"/>
      <c r="L309" s="807"/>
      <c r="M309" s="215"/>
      <c r="N309" s="216"/>
      <c r="O309" s="215"/>
      <c r="P309" s="215"/>
      <c r="Q309" s="806"/>
      <c r="R309" s="807"/>
      <c r="S309" s="215"/>
      <c r="T309" s="216"/>
      <c r="U309" s="184"/>
      <c r="V309" s="184"/>
      <c r="W309" s="262"/>
      <c r="X309" s="263"/>
      <c r="Y309" s="296"/>
      <c r="Z309" s="297"/>
      <c r="AA309" s="268"/>
      <c r="AB309" s="178"/>
      <c r="AC309" s="674" t="s">
        <v>1633</v>
      </c>
      <c r="AD309" s="177">
        <f>'L. GASB 75 DIPNC'!C99</f>
        <v>0</v>
      </c>
      <c r="AE309" s="177"/>
      <c r="AF309" s="269" t="s">
        <v>1633</v>
      </c>
      <c r="AG309" s="177">
        <f>'L. GASB 75 DIPNC'!D125</f>
        <v>0</v>
      </c>
      <c r="AH309" s="270"/>
      <c r="AI309" s="177"/>
      <c r="AJ309" s="269"/>
      <c r="AK309" s="178"/>
      <c r="AL309" s="215"/>
      <c r="AM309" s="215"/>
      <c r="AN309" s="262">
        <f t="shared" ref="AN309" si="88">W309+Y309+AA309+AD309+AI309+AL309</f>
        <v>0</v>
      </c>
      <c r="AO309" s="263">
        <f t="shared" ref="AO309" si="89">X309+Z309+AB309+AG309+AK309+AM309</f>
        <v>0</v>
      </c>
      <c r="AP309" s="184"/>
      <c r="AQ309" s="263"/>
      <c r="AR309" s="184"/>
      <c r="AS309" s="263"/>
      <c r="AT309" s="36"/>
      <c r="AU309" s="36"/>
      <c r="AV309" s="36"/>
      <c r="AW309" s="36"/>
      <c r="AX309" s="36"/>
      <c r="AY309" s="36"/>
      <c r="AZ309" s="36"/>
    </row>
    <row r="310" spans="1:52" ht="4.5" customHeight="1" x14ac:dyDescent="0.2">
      <c r="A310" s="311"/>
      <c r="B310" s="303"/>
      <c r="C310" s="303"/>
      <c r="D310" s="303"/>
      <c r="E310" s="407"/>
      <c r="F310" s="307"/>
      <c r="G310" s="814"/>
      <c r="H310" s="295"/>
      <c r="I310" s="814"/>
      <c r="J310" s="815"/>
      <c r="K310" s="295"/>
      <c r="L310" s="815"/>
      <c r="M310" s="295"/>
      <c r="N310" s="408"/>
      <c r="O310" s="295"/>
      <c r="P310" s="295"/>
      <c r="Q310" s="814"/>
      <c r="R310" s="815"/>
      <c r="S310" s="295"/>
      <c r="T310" s="408"/>
      <c r="U310" s="184"/>
      <c r="V310" s="184"/>
      <c r="W310" s="262"/>
      <c r="X310" s="263"/>
      <c r="Y310" s="292"/>
      <c r="Z310" s="293"/>
      <c r="AA310" s="261"/>
      <c r="AB310" s="134"/>
      <c r="AC310" s="276"/>
      <c r="AE310" s="45"/>
      <c r="AF310" s="257"/>
      <c r="AG310" s="45"/>
      <c r="AH310" s="256"/>
      <c r="AI310" s="45"/>
      <c r="AJ310" s="257"/>
      <c r="AK310" s="134"/>
      <c r="AL310" s="211"/>
      <c r="AM310" s="211"/>
      <c r="AN310" s="262"/>
      <c r="AO310" s="263"/>
      <c r="AP310" s="184"/>
      <c r="AQ310" s="263"/>
      <c r="AR310" s="184"/>
      <c r="AS310" s="263"/>
      <c r="AT310" s="36"/>
      <c r="AU310" s="36"/>
      <c r="AV310" s="36"/>
      <c r="AW310" s="36"/>
      <c r="AX310" s="36"/>
      <c r="AY310" s="36"/>
      <c r="AZ310" s="36"/>
    </row>
    <row r="311" spans="1:52" x14ac:dyDescent="0.2">
      <c r="A311" s="11"/>
      <c r="B311" s="195" t="s">
        <v>500</v>
      </c>
      <c r="C311" s="176"/>
      <c r="D311" s="176"/>
      <c r="E311" s="206">
        <v>59442</v>
      </c>
      <c r="F311" s="207"/>
      <c r="G311" s="806">
        <v>8778</v>
      </c>
      <c r="H311" s="215"/>
      <c r="I311" s="806"/>
      <c r="J311" s="807"/>
      <c r="K311" s="215"/>
      <c r="L311" s="807"/>
      <c r="M311" s="215"/>
      <c r="N311" s="216"/>
      <c r="O311" s="215">
        <v>2376</v>
      </c>
      <c r="P311" s="215"/>
      <c r="Q311" s="806">
        <v>1038</v>
      </c>
      <c r="R311" s="807"/>
      <c r="S311" s="215"/>
      <c r="T311" s="216"/>
      <c r="U311" s="184">
        <f t="shared" ref="U311:V314" si="90">O311+Q311+S311</f>
        <v>3414</v>
      </c>
      <c r="V311" s="184">
        <f t="shared" si="90"/>
        <v>0</v>
      </c>
      <c r="W311" s="262">
        <f t="shared" ref="W311:X314" si="91">E311+G311+I311+K311+M311+U311</f>
        <v>71634</v>
      </c>
      <c r="X311" s="263">
        <f t="shared" si="91"/>
        <v>0</v>
      </c>
      <c r="Y311" s="296"/>
      <c r="Z311" s="297"/>
      <c r="AA311" s="268"/>
      <c r="AB311" s="178"/>
      <c r="AC311" s="273" t="str">
        <f>'B. Depreciation'!A54</f>
        <v>B.1</v>
      </c>
      <c r="AD311" s="179">
        <f>'B. Depreciation'!J60</f>
        <v>16096</v>
      </c>
      <c r="AE311" s="177"/>
      <c r="AF311" s="269" t="str">
        <f>'C. Capital Outlay &amp; Donations'!$D$100</f>
        <v>C.1</v>
      </c>
      <c r="AG311" s="177">
        <f>'C. Capital Outlay &amp; Donations'!M114</f>
        <v>5800</v>
      </c>
      <c r="AH311" s="270" t="str">
        <f>'I. Eliminations-Consolidations'!A250</f>
        <v>I.7</v>
      </c>
      <c r="AI311" s="177">
        <f>'I. Eliminations-Consolidations'!J256</f>
        <v>0</v>
      </c>
      <c r="AJ311" s="269"/>
      <c r="AK311" s="178"/>
      <c r="AL311" s="215"/>
      <c r="AM311" s="215"/>
      <c r="AN311" s="262">
        <f t="shared" ref="AN311:AN316" si="92">W311+Y311+AA311+AD311+AI311+AL311</f>
        <v>87730</v>
      </c>
      <c r="AO311" s="263">
        <f t="shared" ref="AO311:AO316" si="93">X311+Z311+AB311+AG311+AK311+AM311</f>
        <v>5800</v>
      </c>
      <c r="AP311" s="184">
        <f>IF(SUM(AN311:AN317)-SUM(AO311:AO317)&lt;=0, " ",SUM(AN311:AN317)-SUM(AO311:AO317))</f>
        <v>84385</v>
      </c>
      <c r="AQ311" s="263" t="str">
        <f>IF(SUM(AN311:AN315)-SUM(AO311:AO315)&gt;=0, " ", SUM(AO311:AO315)-SUM(AN311:AN315))</f>
        <v xml:space="preserve"> </v>
      </c>
      <c r="AR311" s="184"/>
      <c r="AS311" s="263"/>
      <c r="AT311" s="36"/>
      <c r="AU311" s="36"/>
      <c r="AV311" s="36"/>
      <c r="AW311" s="36"/>
      <c r="AX311" s="36"/>
      <c r="AY311" s="36"/>
      <c r="AZ311" s="36"/>
    </row>
    <row r="312" spans="1:52" x14ac:dyDescent="0.2">
      <c r="A312" s="11"/>
      <c r="B312" s="195"/>
      <c r="C312" s="176"/>
      <c r="D312" s="176"/>
      <c r="E312" s="206"/>
      <c r="F312" s="207"/>
      <c r="G312" s="806">
        <v>512</v>
      </c>
      <c r="H312" s="215"/>
      <c r="I312" s="806"/>
      <c r="J312" s="807"/>
      <c r="K312" s="215"/>
      <c r="L312" s="807"/>
      <c r="M312" s="215"/>
      <c r="N312" s="216"/>
      <c r="O312" s="215"/>
      <c r="P312" s="215"/>
      <c r="Q312" s="806"/>
      <c r="R312" s="807"/>
      <c r="S312" s="215"/>
      <c r="T312" s="216"/>
      <c r="U312" s="184">
        <f t="shared" si="90"/>
        <v>0</v>
      </c>
      <c r="V312" s="184">
        <f t="shared" si="90"/>
        <v>0</v>
      </c>
      <c r="W312" s="262">
        <f t="shared" si="91"/>
        <v>512</v>
      </c>
      <c r="X312" s="263">
        <f t="shared" si="91"/>
        <v>0</v>
      </c>
      <c r="Y312" s="296"/>
      <c r="Z312" s="297"/>
      <c r="AA312" s="268"/>
      <c r="AB312" s="178"/>
      <c r="AC312" s="273" t="str">
        <f>'H. Other Liabilities &amp; Expenses'!D235</f>
        <v>H.1</v>
      </c>
      <c r="AD312" s="179">
        <f>'H. Other Liabilities &amp; Expenses'!L241</f>
        <v>3200</v>
      </c>
      <c r="AE312" s="177"/>
      <c r="AF312" s="275" t="str">
        <f>'G.  Other Asset Entries'!$B$90</f>
        <v>G.1</v>
      </c>
      <c r="AG312" s="177">
        <f>'G.  Other Asset Entries'!N100</f>
        <v>0</v>
      </c>
      <c r="AH312" s="270"/>
      <c r="AI312" s="177"/>
      <c r="AJ312" s="269"/>
      <c r="AK312" s="178"/>
      <c r="AL312" s="215"/>
      <c r="AM312" s="215"/>
      <c r="AN312" s="262">
        <f t="shared" si="92"/>
        <v>3712</v>
      </c>
      <c r="AO312" s="263">
        <f t="shared" si="93"/>
        <v>0</v>
      </c>
      <c r="AP312" s="184"/>
      <c r="AQ312" s="263"/>
      <c r="AR312" s="184"/>
      <c r="AS312" s="263"/>
      <c r="AT312" s="36"/>
      <c r="AU312" s="36"/>
      <c r="AV312" s="36"/>
      <c r="AW312" s="36"/>
      <c r="AX312" s="36"/>
      <c r="AY312" s="36"/>
      <c r="AZ312" s="36"/>
    </row>
    <row r="313" spans="1:52" x14ac:dyDescent="0.2">
      <c r="A313" s="11"/>
      <c r="B313" s="195"/>
      <c r="C313" s="176"/>
      <c r="D313" s="176"/>
      <c r="E313" s="206"/>
      <c r="F313" s="207"/>
      <c r="G313" s="806">
        <v>691</v>
      </c>
      <c r="H313" s="215"/>
      <c r="I313" s="806"/>
      <c r="J313" s="807"/>
      <c r="K313" s="215"/>
      <c r="L313" s="807"/>
      <c r="M313" s="215"/>
      <c r="N313" s="216"/>
      <c r="O313" s="215"/>
      <c r="P313" s="215"/>
      <c r="Q313" s="806"/>
      <c r="R313" s="807"/>
      <c r="S313" s="215"/>
      <c r="T313" s="216"/>
      <c r="U313" s="184">
        <f t="shared" si="90"/>
        <v>0</v>
      </c>
      <c r="V313" s="184">
        <f t="shared" si="90"/>
        <v>0</v>
      </c>
      <c r="W313" s="262">
        <f t="shared" si="91"/>
        <v>691</v>
      </c>
      <c r="X313" s="263">
        <f t="shared" si="91"/>
        <v>0</v>
      </c>
      <c r="Y313" s="296"/>
      <c r="Z313" s="297"/>
      <c r="AA313" s="268"/>
      <c r="AB313" s="178"/>
      <c r="AC313" s="269" t="str">
        <f>'C. Capital Outlay &amp; Donations'!D130</f>
        <v>C.2</v>
      </c>
      <c r="AD313" s="179">
        <f>'C. Capital Outlay &amp; Donations'!K138</f>
        <v>0</v>
      </c>
      <c r="AE313" s="177"/>
      <c r="AF313" s="269" t="str">
        <f>'H. Other Liabilities &amp; Expenses'!$D$235</f>
        <v>H.1</v>
      </c>
      <c r="AG313" s="177">
        <f>'H. Other Liabilities &amp; Expenses'!N241</f>
        <v>1948</v>
      </c>
      <c r="AH313" s="270"/>
      <c r="AI313" s="177"/>
      <c r="AJ313" s="269"/>
      <c r="AK313" s="178"/>
      <c r="AL313" s="215"/>
      <c r="AM313" s="215"/>
      <c r="AN313" s="262">
        <f t="shared" si="92"/>
        <v>691</v>
      </c>
      <c r="AO313" s="263">
        <f t="shared" si="93"/>
        <v>1948</v>
      </c>
      <c r="AP313" s="184"/>
      <c r="AQ313" s="263"/>
      <c r="AR313" s="184"/>
      <c r="AS313" s="263"/>
      <c r="AT313" s="36"/>
      <c r="AU313" s="36"/>
      <c r="AV313" s="36"/>
      <c r="AW313" s="36"/>
      <c r="AX313" s="36"/>
      <c r="AY313" s="36"/>
      <c r="AZ313" s="36"/>
    </row>
    <row r="314" spans="1:52" x14ac:dyDescent="0.2">
      <c r="A314" s="11"/>
      <c r="B314" s="195"/>
      <c r="C314" s="176"/>
      <c r="D314" s="176"/>
      <c r="E314" s="206"/>
      <c r="F314" s="207"/>
      <c r="G314" s="806"/>
      <c r="H314" s="215"/>
      <c r="I314" s="806"/>
      <c r="J314" s="807"/>
      <c r="K314" s="215"/>
      <c r="L314" s="807"/>
      <c r="M314" s="215"/>
      <c r="N314" s="216"/>
      <c r="O314" s="215"/>
      <c r="P314" s="215"/>
      <c r="Q314" s="806"/>
      <c r="R314" s="807"/>
      <c r="S314" s="215"/>
      <c r="T314" s="216"/>
      <c r="U314" s="184">
        <f t="shared" si="90"/>
        <v>0</v>
      </c>
      <c r="V314" s="184">
        <f t="shared" si="90"/>
        <v>0</v>
      </c>
      <c r="W314" s="262">
        <f t="shared" si="91"/>
        <v>0</v>
      </c>
      <c r="X314" s="263">
        <f t="shared" si="91"/>
        <v>0</v>
      </c>
      <c r="Y314" s="296"/>
      <c r="Z314" s="297"/>
      <c r="AA314" s="268"/>
      <c r="AB314" s="178"/>
      <c r="AC314" s="273" t="s">
        <v>132</v>
      </c>
      <c r="AD314" s="179">
        <f>'D.  Capital Asset Disposal'!M206</f>
        <v>0</v>
      </c>
      <c r="AE314" s="177"/>
      <c r="AF314" s="269" t="str">
        <f>'E. Debt Service'!$D$81</f>
        <v>E.1</v>
      </c>
      <c r="AG314" s="177">
        <f>'E. Debt Service'!N89</f>
        <v>0</v>
      </c>
      <c r="AH314" s="270"/>
      <c r="AI314" s="177"/>
      <c r="AJ314" s="269"/>
      <c r="AK314" s="178"/>
      <c r="AL314" s="215"/>
      <c r="AM314" s="215"/>
      <c r="AN314" s="262">
        <f t="shared" si="92"/>
        <v>0</v>
      </c>
      <c r="AO314" s="263">
        <f t="shared" si="93"/>
        <v>0</v>
      </c>
      <c r="AP314" s="184"/>
      <c r="AQ314" s="263"/>
      <c r="AR314" s="184"/>
      <c r="AS314" s="263"/>
      <c r="AT314" s="36"/>
      <c r="AU314" s="36"/>
      <c r="AV314" s="36"/>
      <c r="AW314" s="36"/>
      <c r="AX314" s="36"/>
      <c r="AY314" s="36"/>
      <c r="AZ314" s="36"/>
    </row>
    <row r="315" spans="1:52" s="478" customFormat="1" x14ac:dyDescent="0.2">
      <c r="A315" s="483"/>
      <c r="B315" s="195"/>
      <c r="C315" s="176"/>
      <c r="D315" s="176"/>
      <c r="E315" s="206"/>
      <c r="F315" s="207"/>
      <c r="G315" s="806"/>
      <c r="H315" s="215"/>
      <c r="I315" s="806"/>
      <c r="J315" s="807"/>
      <c r="K315" s="215"/>
      <c r="L315" s="807"/>
      <c r="M315" s="215"/>
      <c r="N315" s="216"/>
      <c r="O315" s="215"/>
      <c r="P315" s="215"/>
      <c r="Q315" s="806"/>
      <c r="R315" s="807"/>
      <c r="S315" s="215"/>
      <c r="T315" s="216"/>
      <c r="U315" s="184"/>
      <c r="V315" s="184"/>
      <c r="W315" s="262"/>
      <c r="X315" s="263"/>
      <c r="Y315" s="296"/>
      <c r="Z315" s="297"/>
      <c r="AA315" s="268"/>
      <c r="AB315" s="178"/>
      <c r="AC315" s="269" t="s">
        <v>1080</v>
      </c>
      <c r="AD315" s="177">
        <f>'J. GASB 68 TSERS'!C99</f>
        <v>0</v>
      </c>
      <c r="AE315" s="177"/>
      <c r="AF315" s="269" t="s">
        <v>1080</v>
      </c>
      <c r="AG315" s="177">
        <f>'J. GASB 68 TSERS'!D99</f>
        <v>0</v>
      </c>
      <c r="AH315" s="270"/>
      <c r="AI315" s="177"/>
      <c r="AJ315" s="269"/>
      <c r="AK315" s="178"/>
      <c r="AL315" s="215"/>
      <c r="AM315" s="215"/>
      <c r="AN315" s="262">
        <f t="shared" si="92"/>
        <v>0</v>
      </c>
      <c r="AO315" s="263">
        <f t="shared" si="93"/>
        <v>0</v>
      </c>
      <c r="AP315" s="184"/>
      <c r="AQ315" s="263"/>
      <c r="AR315" s="184"/>
      <c r="AS315" s="263"/>
      <c r="AT315" s="36"/>
      <c r="AU315" s="36"/>
      <c r="AV315" s="36"/>
      <c r="AW315" s="36"/>
      <c r="AX315" s="36"/>
      <c r="AY315" s="36"/>
      <c r="AZ315" s="36"/>
    </row>
    <row r="316" spans="1:52" s="613" customFormat="1" x14ac:dyDescent="0.2">
      <c r="A316" s="615"/>
      <c r="B316" s="195"/>
      <c r="C316" s="176"/>
      <c r="D316" s="176"/>
      <c r="E316" s="206"/>
      <c r="F316" s="207"/>
      <c r="G316" s="806"/>
      <c r="H316" s="215"/>
      <c r="I316" s="806"/>
      <c r="J316" s="807"/>
      <c r="K316" s="215"/>
      <c r="L316" s="807"/>
      <c r="M316" s="215"/>
      <c r="N316" s="216"/>
      <c r="O316" s="215"/>
      <c r="P316" s="215"/>
      <c r="Q316" s="806"/>
      <c r="R316" s="807"/>
      <c r="S316" s="215"/>
      <c r="T316" s="216"/>
      <c r="U316" s="184"/>
      <c r="V316" s="184"/>
      <c r="W316" s="262"/>
      <c r="X316" s="263"/>
      <c r="Y316" s="296"/>
      <c r="Z316" s="297"/>
      <c r="AA316" s="268"/>
      <c r="AB316" s="178"/>
      <c r="AC316" s="674" t="s">
        <v>1519</v>
      </c>
      <c r="AD316" s="177">
        <f>'K. GASB 75 RHBF'!C100</f>
        <v>0</v>
      </c>
      <c r="AE316" s="177"/>
      <c r="AF316" s="269" t="s">
        <v>1518</v>
      </c>
      <c r="AG316" s="177">
        <f>'K. GASB 75 RHBF'!D126</f>
        <v>0</v>
      </c>
      <c r="AH316" s="270"/>
      <c r="AI316" s="177"/>
      <c r="AJ316" s="269"/>
      <c r="AK316" s="178"/>
      <c r="AL316" s="215"/>
      <c r="AM316" s="215"/>
      <c r="AN316" s="262">
        <f t="shared" si="92"/>
        <v>0</v>
      </c>
      <c r="AO316" s="263">
        <f t="shared" si="93"/>
        <v>0</v>
      </c>
      <c r="AP316" s="184"/>
      <c r="AQ316" s="263"/>
      <c r="AR316" s="184"/>
      <c r="AS316" s="263"/>
      <c r="AT316" s="36"/>
      <c r="AU316" s="36"/>
      <c r="AV316" s="36"/>
      <c r="AW316" s="36"/>
      <c r="AX316" s="36"/>
      <c r="AY316" s="36"/>
      <c r="AZ316" s="36"/>
    </row>
    <row r="317" spans="1:52" s="751" customFormat="1" x14ac:dyDescent="0.2">
      <c r="A317" s="752"/>
      <c r="B317" s="195"/>
      <c r="C317" s="176"/>
      <c r="D317" s="176"/>
      <c r="E317" s="206"/>
      <c r="F317" s="207"/>
      <c r="G317" s="806"/>
      <c r="H317" s="215"/>
      <c r="I317" s="806"/>
      <c r="J317" s="807"/>
      <c r="K317" s="215"/>
      <c r="L317" s="807"/>
      <c r="M317" s="215"/>
      <c r="N317" s="216"/>
      <c r="O317" s="215"/>
      <c r="P317" s="215"/>
      <c r="Q317" s="806"/>
      <c r="R317" s="807"/>
      <c r="S317" s="215"/>
      <c r="T317" s="216"/>
      <c r="U317" s="184"/>
      <c r="V317" s="184"/>
      <c r="W317" s="262"/>
      <c r="X317" s="263"/>
      <c r="Y317" s="296"/>
      <c r="Z317" s="297"/>
      <c r="AA317" s="268"/>
      <c r="AB317" s="178"/>
      <c r="AC317" s="674" t="s">
        <v>1633</v>
      </c>
      <c r="AD317" s="177">
        <f>'L. GASB 75 DIPNC'!C100</f>
        <v>0</v>
      </c>
      <c r="AE317" s="177"/>
      <c r="AF317" s="269" t="s">
        <v>1633</v>
      </c>
      <c r="AG317" s="177">
        <f>'L. GASB 75 DIPNC'!D126</f>
        <v>0</v>
      </c>
      <c r="AH317" s="270"/>
      <c r="AI317" s="177"/>
      <c r="AJ317" s="269"/>
      <c r="AK317" s="178"/>
      <c r="AL317" s="215"/>
      <c r="AM317" s="215"/>
      <c r="AN317" s="262">
        <f t="shared" ref="AN317" si="94">W317+Y317+AA317+AD317+AI317+AL317</f>
        <v>0</v>
      </c>
      <c r="AO317" s="263">
        <f t="shared" ref="AO317" si="95">X317+Z317+AB317+AG317+AK317+AM317</f>
        <v>0</v>
      </c>
      <c r="AP317" s="184"/>
      <c r="AQ317" s="263"/>
      <c r="AR317" s="184"/>
      <c r="AS317" s="263"/>
      <c r="AT317" s="36"/>
      <c r="AU317" s="36"/>
      <c r="AV317" s="36"/>
      <c r="AW317" s="36"/>
      <c r="AX317" s="36"/>
      <c r="AY317" s="36"/>
      <c r="AZ317" s="36"/>
    </row>
    <row r="318" spans="1:52" ht="3.75" customHeight="1" x14ac:dyDescent="0.2">
      <c r="A318" s="311"/>
      <c r="B318" s="303"/>
      <c r="C318" s="303"/>
      <c r="D318" s="303"/>
      <c r="E318" s="407"/>
      <c r="F318" s="307"/>
      <c r="G318" s="814"/>
      <c r="H318" s="295"/>
      <c r="I318" s="814"/>
      <c r="J318" s="815"/>
      <c r="K318" s="295"/>
      <c r="L318" s="815"/>
      <c r="M318" s="295"/>
      <c r="N318" s="408"/>
      <c r="O318" s="295"/>
      <c r="P318" s="295"/>
      <c r="Q318" s="814"/>
      <c r="R318" s="815"/>
      <c r="S318" s="295"/>
      <c r="T318" s="408"/>
      <c r="U318" s="184"/>
      <c r="V318" s="184"/>
      <c r="W318" s="262"/>
      <c r="X318" s="263"/>
      <c r="Y318" s="292"/>
      <c r="Z318" s="293"/>
      <c r="AA318" s="261"/>
      <c r="AB318" s="134"/>
      <c r="AC318" s="276"/>
      <c r="AE318" s="45"/>
      <c r="AF318" s="257"/>
      <c r="AG318" s="45"/>
      <c r="AH318" s="256"/>
      <c r="AI318" s="45"/>
      <c r="AJ318" s="257"/>
      <c r="AK318" s="134"/>
      <c r="AL318" s="211"/>
      <c r="AM318" s="211"/>
      <c r="AN318" s="262"/>
      <c r="AO318" s="263"/>
      <c r="AP318" s="184"/>
      <c r="AQ318" s="263"/>
      <c r="AR318" s="184"/>
      <c r="AS318" s="263"/>
      <c r="AT318" s="36"/>
      <c r="AU318" s="36"/>
      <c r="AV318" s="36"/>
      <c r="AW318" s="36"/>
      <c r="AX318" s="36"/>
      <c r="AY318" s="36"/>
      <c r="AZ318" s="36"/>
    </row>
    <row r="319" spans="1:52" x14ac:dyDescent="0.2">
      <c r="A319" s="11"/>
      <c r="B319" s="195" t="s">
        <v>508</v>
      </c>
      <c r="C319" s="176"/>
      <c r="D319" s="176"/>
      <c r="E319" s="206"/>
      <c r="F319" s="207"/>
      <c r="G319" s="806"/>
      <c r="H319" s="215"/>
      <c r="I319" s="806"/>
      <c r="J319" s="807"/>
      <c r="K319" s="215"/>
      <c r="L319" s="807"/>
      <c r="M319" s="215"/>
      <c r="N319" s="216"/>
      <c r="O319" s="215"/>
      <c r="P319" s="215"/>
      <c r="Q319" s="806"/>
      <c r="R319" s="807"/>
      <c r="S319" s="215"/>
      <c r="T319" s="216"/>
      <c r="U319" s="184">
        <f t="shared" ref="U319:V322" si="96">O319+Q319+S319</f>
        <v>0</v>
      </c>
      <c r="V319" s="184">
        <f t="shared" si="96"/>
        <v>0</v>
      </c>
      <c r="W319" s="262">
        <f>E319+G319+I319+K319+M319+U319</f>
        <v>0</v>
      </c>
      <c r="X319" s="263">
        <f t="shared" ref="W319:X322" si="97">F319+H319+J319+L319+N319+V319</f>
        <v>0</v>
      </c>
      <c r="Y319" s="296"/>
      <c r="Z319" s="297"/>
      <c r="AA319" s="268"/>
      <c r="AB319" s="178"/>
      <c r="AC319" s="269" t="str">
        <f>'B. Depreciation'!A54</f>
        <v>B.1</v>
      </c>
      <c r="AD319" s="177">
        <f>'B. Depreciation'!J61</f>
        <v>0</v>
      </c>
      <c r="AE319" s="177"/>
      <c r="AF319" s="269" t="str">
        <f>'C. Capital Outlay &amp; Donations'!$D$100</f>
        <v>C.1</v>
      </c>
      <c r="AG319" s="177">
        <f>'C. Capital Outlay &amp; Donations'!M115</f>
        <v>0</v>
      </c>
      <c r="AH319" s="270" t="str">
        <f>'I. Eliminations-Consolidations'!A250</f>
        <v>I.7</v>
      </c>
      <c r="AI319" s="177">
        <f>'I. Eliminations-Consolidations'!J257</f>
        <v>0</v>
      </c>
      <c r="AJ319" s="269"/>
      <c r="AK319" s="178"/>
      <c r="AL319" s="215"/>
      <c r="AM319" s="215"/>
      <c r="AN319" s="262">
        <f t="shared" ref="AN319:AN324" si="98">W319+Y319+AA319+AD319+AI319+AL319</f>
        <v>0</v>
      </c>
      <c r="AO319" s="263">
        <f t="shared" ref="AO319:AO324" si="99">X319+Z319+AB319+AG319+AK319+AM319</f>
        <v>0</v>
      </c>
      <c r="AP319" s="184" t="str">
        <f>IF(SUM(AN319:AN325)-SUM(AO319:AO325)&lt;=0, " ",SUM(AN319:AN325)-SUM(AO319:AO325))</f>
        <v xml:space="preserve"> </v>
      </c>
      <c r="AQ319" s="263" t="str">
        <f>IF(SUM(AN319:AN323)-SUM(AO319:AO323)&gt;=0, " ", SUM(AO319:AO323)-SUM(AN319:AN323))</f>
        <v xml:space="preserve"> </v>
      </c>
      <c r="AR319" s="184"/>
      <c r="AS319" s="263"/>
      <c r="AT319" s="36"/>
      <c r="AU319" s="36"/>
      <c r="AV319" s="36"/>
      <c r="AW319" s="36"/>
      <c r="AX319" s="36"/>
      <c r="AY319" s="36"/>
      <c r="AZ319" s="36"/>
    </row>
    <row r="320" spans="1:52" x14ac:dyDescent="0.2">
      <c r="A320" s="11"/>
      <c r="B320" s="195"/>
      <c r="C320" s="176"/>
      <c r="D320" s="176"/>
      <c r="E320" s="206"/>
      <c r="F320" s="207"/>
      <c r="G320" s="806"/>
      <c r="H320" s="215"/>
      <c r="I320" s="806"/>
      <c r="J320" s="807"/>
      <c r="K320" s="215"/>
      <c r="L320" s="807"/>
      <c r="M320" s="215"/>
      <c r="N320" s="216"/>
      <c r="O320" s="215"/>
      <c r="P320" s="215"/>
      <c r="Q320" s="806"/>
      <c r="R320" s="807"/>
      <c r="S320" s="215"/>
      <c r="T320" s="216"/>
      <c r="U320" s="184">
        <f t="shared" si="96"/>
        <v>0</v>
      </c>
      <c r="V320" s="184">
        <f t="shared" si="96"/>
        <v>0</v>
      </c>
      <c r="W320" s="262">
        <f t="shared" si="97"/>
        <v>0</v>
      </c>
      <c r="X320" s="263">
        <f t="shared" si="97"/>
        <v>0</v>
      </c>
      <c r="Y320" s="296"/>
      <c r="Z320" s="297"/>
      <c r="AA320" s="268"/>
      <c r="AB320" s="178"/>
      <c r="AC320" s="269" t="str">
        <f>'H. Other Liabilities &amp; Expenses'!$D$235</f>
        <v>H.1</v>
      </c>
      <c r="AD320" s="177">
        <f>'H. Other Liabilities &amp; Expenses'!L242</f>
        <v>0</v>
      </c>
      <c r="AE320" s="177"/>
      <c r="AF320" s="275" t="str">
        <f>'G.  Other Asset Entries'!$B$90</f>
        <v>G.1</v>
      </c>
      <c r="AG320" s="177">
        <f>'G.  Other Asset Entries'!N101</f>
        <v>0</v>
      </c>
      <c r="AH320" s="270"/>
      <c r="AI320" s="177"/>
      <c r="AJ320" s="269"/>
      <c r="AK320" s="178"/>
      <c r="AL320" s="215"/>
      <c r="AM320" s="215"/>
      <c r="AN320" s="262">
        <f t="shared" si="98"/>
        <v>0</v>
      </c>
      <c r="AO320" s="263">
        <f t="shared" si="99"/>
        <v>0</v>
      </c>
      <c r="AP320" s="184"/>
      <c r="AQ320" s="263"/>
      <c r="AR320" s="184"/>
      <c r="AS320" s="263"/>
      <c r="AT320" s="36"/>
      <c r="AU320" s="36"/>
      <c r="AV320" s="36"/>
      <c r="AW320" s="36"/>
      <c r="AX320" s="36"/>
      <c r="AY320" s="36"/>
      <c r="AZ320" s="36"/>
    </row>
    <row r="321" spans="1:52" x14ac:dyDescent="0.2">
      <c r="A321" s="11"/>
      <c r="B321" s="195"/>
      <c r="C321" s="176"/>
      <c r="D321" s="176"/>
      <c r="E321" s="206"/>
      <c r="F321" s="207"/>
      <c r="G321" s="806"/>
      <c r="H321" s="215"/>
      <c r="I321" s="806"/>
      <c r="J321" s="807"/>
      <c r="K321" s="215"/>
      <c r="L321" s="807"/>
      <c r="M321" s="215"/>
      <c r="N321" s="216"/>
      <c r="O321" s="215"/>
      <c r="P321" s="215"/>
      <c r="Q321" s="806"/>
      <c r="R321" s="807"/>
      <c r="S321" s="215"/>
      <c r="T321" s="216"/>
      <c r="U321" s="184">
        <f t="shared" si="96"/>
        <v>0</v>
      </c>
      <c r="V321" s="184">
        <f t="shared" si="96"/>
        <v>0</v>
      </c>
      <c r="W321" s="262">
        <f t="shared" si="97"/>
        <v>0</v>
      </c>
      <c r="X321" s="263">
        <f t="shared" si="97"/>
        <v>0</v>
      </c>
      <c r="Y321" s="296"/>
      <c r="Z321" s="297"/>
      <c r="AA321" s="268"/>
      <c r="AB321" s="178"/>
      <c r="AC321" s="269" t="str">
        <f>'C. Capital Outlay &amp; Donations'!D130</f>
        <v>C.2</v>
      </c>
      <c r="AD321" s="179">
        <f>'C. Capital Outlay &amp; Donations'!K139</f>
        <v>0</v>
      </c>
      <c r="AE321" s="177"/>
      <c r="AF321" s="269" t="str">
        <f>'H. Other Liabilities &amp; Expenses'!$D$235</f>
        <v>H.1</v>
      </c>
      <c r="AG321" s="177">
        <f>'H. Other Liabilities &amp; Expenses'!N242</f>
        <v>0</v>
      </c>
      <c r="AH321" s="270"/>
      <c r="AI321" s="177"/>
      <c r="AJ321" s="269"/>
      <c r="AK321" s="178"/>
      <c r="AL321" s="215"/>
      <c r="AM321" s="215"/>
      <c r="AN321" s="262">
        <f t="shared" si="98"/>
        <v>0</v>
      </c>
      <c r="AO321" s="263">
        <f t="shared" si="99"/>
        <v>0</v>
      </c>
      <c r="AP321" s="184"/>
      <c r="AQ321" s="263"/>
      <c r="AR321" s="184"/>
      <c r="AS321" s="263"/>
      <c r="AT321" s="36"/>
      <c r="AU321" s="36"/>
      <c r="AV321" s="36"/>
      <c r="AW321" s="36"/>
      <c r="AX321" s="36"/>
      <c r="AY321" s="36"/>
      <c r="AZ321" s="36"/>
    </row>
    <row r="322" spans="1:52" x14ac:dyDescent="0.2">
      <c r="A322" s="11"/>
      <c r="B322" s="195"/>
      <c r="C322" s="176"/>
      <c r="D322" s="176"/>
      <c r="E322" s="206"/>
      <c r="F322" s="207"/>
      <c r="G322" s="806"/>
      <c r="H322" s="215"/>
      <c r="I322" s="806"/>
      <c r="J322" s="807"/>
      <c r="K322" s="215"/>
      <c r="L322" s="807"/>
      <c r="M322" s="215"/>
      <c r="N322" s="216"/>
      <c r="O322" s="215"/>
      <c r="P322" s="215"/>
      <c r="Q322" s="806"/>
      <c r="R322" s="807"/>
      <c r="S322" s="215"/>
      <c r="T322" s="216"/>
      <c r="U322" s="184">
        <f t="shared" si="96"/>
        <v>0</v>
      </c>
      <c r="V322" s="184">
        <f t="shared" si="96"/>
        <v>0</v>
      </c>
      <c r="W322" s="262">
        <f t="shared" si="97"/>
        <v>0</v>
      </c>
      <c r="X322" s="263">
        <f t="shared" si="97"/>
        <v>0</v>
      </c>
      <c r="Y322" s="296"/>
      <c r="Z322" s="297"/>
      <c r="AA322" s="268"/>
      <c r="AB322" s="178"/>
      <c r="AC322" s="269" t="s">
        <v>132</v>
      </c>
      <c r="AD322" s="177">
        <f>'D.  Capital Asset Disposal'!M207</f>
        <v>0</v>
      </c>
      <c r="AE322" s="177"/>
      <c r="AF322" s="269" t="str">
        <f>'E. Debt Service'!$D$81</f>
        <v>E.1</v>
      </c>
      <c r="AG322" s="177">
        <f>'E. Debt Service'!N90</f>
        <v>0</v>
      </c>
      <c r="AH322" s="270"/>
      <c r="AI322" s="177"/>
      <c r="AJ322" s="269"/>
      <c r="AK322" s="178"/>
      <c r="AL322" s="215"/>
      <c r="AM322" s="215"/>
      <c r="AN322" s="262">
        <f t="shared" si="98"/>
        <v>0</v>
      </c>
      <c r="AO322" s="263">
        <f t="shared" si="99"/>
        <v>0</v>
      </c>
      <c r="AP322" s="184"/>
      <c r="AQ322" s="263"/>
      <c r="AR322" s="184"/>
      <c r="AS322" s="263"/>
      <c r="AT322" s="36"/>
      <c r="AU322" s="36"/>
      <c r="AV322" s="36"/>
      <c r="AW322" s="36"/>
      <c r="AX322" s="36"/>
      <c r="AY322" s="36"/>
      <c r="AZ322" s="36"/>
    </row>
    <row r="323" spans="1:52" s="478" customFormat="1" x14ac:dyDescent="0.2">
      <c r="A323" s="483"/>
      <c r="B323" s="195"/>
      <c r="C323" s="176"/>
      <c r="D323" s="176"/>
      <c r="E323" s="206"/>
      <c r="F323" s="207"/>
      <c r="G323" s="806"/>
      <c r="H323" s="215"/>
      <c r="I323" s="806"/>
      <c r="J323" s="807"/>
      <c r="K323" s="215"/>
      <c r="L323" s="807"/>
      <c r="M323" s="215"/>
      <c r="N323" s="216"/>
      <c r="O323" s="215"/>
      <c r="P323" s="215"/>
      <c r="Q323" s="806"/>
      <c r="R323" s="807"/>
      <c r="S323" s="215"/>
      <c r="T323" s="216"/>
      <c r="U323" s="184"/>
      <c r="V323" s="184"/>
      <c r="W323" s="262"/>
      <c r="X323" s="263"/>
      <c r="Y323" s="296"/>
      <c r="Z323" s="297"/>
      <c r="AA323" s="268"/>
      <c r="AB323" s="178"/>
      <c r="AC323" s="269" t="s">
        <v>1080</v>
      </c>
      <c r="AD323" s="177">
        <f>'J. GASB 68 TSERS'!C100</f>
        <v>0</v>
      </c>
      <c r="AE323" s="177"/>
      <c r="AF323" s="269" t="s">
        <v>1080</v>
      </c>
      <c r="AG323" s="177">
        <f>'J. GASB 68 TSERS'!D100</f>
        <v>0</v>
      </c>
      <c r="AH323" s="270"/>
      <c r="AI323" s="177"/>
      <c r="AJ323" s="269"/>
      <c r="AK323" s="178"/>
      <c r="AL323" s="215"/>
      <c r="AM323" s="215"/>
      <c r="AN323" s="262">
        <f t="shared" si="98"/>
        <v>0</v>
      </c>
      <c r="AO323" s="263">
        <f t="shared" si="99"/>
        <v>0</v>
      </c>
      <c r="AP323" s="184"/>
      <c r="AQ323" s="263"/>
      <c r="AR323" s="184"/>
      <c r="AS323" s="263"/>
      <c r="AT323" s="36"/>
      <c r="AU323" s="36"/>
      <c r="AV323" s="36"/>
      <c r="AW323" s="36"/>
      <c r="AX323" s="36"/>
      <c r="AY323" s="36"/>
      <c r="AZ323" s="36"/>
    </row>
    <row r="324" spans="1:52" s="613" customFormat="1" x14ac:dyDescent="0.2">
      <c r="A324" s="615"/>
      <c r="B324" s="195"/>
      <c r="C324" s="176"/>
      <c r="D324" s="176"/>
      <c r="E324" s="206"/>
      <c r="F324" s="207"/>
      <c r="G324" s="806"/>
      <c r="H324" s="215"/>
      <c r="I324" s="806"/>
      <c r="J324" s="807"/>
      <c r="K324" s="215"/>
      <c r="L324" s="807"/>
      <c r="M324" s="215"/>
      <c r="N324" s="216"/>
      <c r="O324" s="215"/>
      <c r="P324" s="215"/>
      <c r="Q324" s="806"/>
      <c r="R324" s="807"/>
      <c r="S324" s="215"/>
      <c r="T324" s="216"/>
      <c r="U324" s="184"/>
      <c r="V324" s="184"/>
      <c r="W324" s="262"/>
      <c r="X324" s="263"/>
      <c r="Y324" s="296"/>
      <c r="Z324" s="297"/>
      <c r="AA324" s="268"/>
      <c r="AB324" s="178"/>
      <c r="AC324" s="674" t="s">
        <v>1519</v>
      </c>
      <c r="AD324" s="177">
        <f>'K. GASB 75 RHBF'!C101</f>
        <v>0</v>
      </c>
      <c r="AE324" s="177"/>
      <c r="AF324" s="269" t="s">
        <v>1518</v>
      </c>
      <c r="AG324" s="177">
        <f>'K. GASB 75 RHBF'!D127</f>
        <v>0</v>
      </c>
      <c r="AH324" s="270"/>
      <c r="AI324" s="177"/>
      <c r="AJ324" s="269"/>
      <c r="AK324" s="178"/>
      <c r="AL324" s="215"/>
      <c r="AM324" s="215"/>
      <c r="AN324" s="262">
        <f t="shared" si="98"/>
        <v>0</v>
      </c>
      <c r="AO324" s="263">
        <f t="shared" si="99"/>
        <v>0</v>
      </c>
      <c r="AP324" s="184"/>
      <c r="AQ324" s="263"/>
      <c r="AR324" s="184"/>
      <c r="AS324" s="263"/>
      <c r="AT324" s="36"/>
      <c r="AU324" s="36"/>
      <c r="AV324" s="36"/>
      <c r="AW324" s="36"/>
      <c r="AX324" s="36"/>
      <c r="AY324" s="36"/>
      <c r="AZ324" s="36"/>
    </row>
    <row r="325" spans="1:52" s="751" customFormat="1" x14ac:dyDescent="0.2">
      <c r="A325" s="752"/>
      <c r="B325" s="195"/>
      <c r="C325" s="176"/>
      <c r="D325" s="176"/>
      <c r="E325" s="206"/>
      <c r="F325" s="207"/>
      <c r="G325" s="806"/>
      <c r="H325" s="215"/>
      <c r="I325" s="806"/>
      <c r="J325" s="807"/>
      <c r="K325" s="215"/>
      <c r="L325" s="807"/>
      <c r="M325" s="215"/>
      <c r="N325" s="216"/>
      <c r="O325" s="215"/>
      <c r="P325" s="215"/>
      <c r="Q325" s="806"/>
      <c r="R325" s="807"/>
      <c r="S325" s="215"/>
      <c r="T325" s="216"/>
      <c r="U325" s="184"/>
      <c r="V325" s="184"/>
      <c r="W325" s="262"/>
      <c r="X325" s="263"/>
      <c r="Y325" s="296"/>
      <c r="Z325" s="297"/>
      <c r="AA325" s="268"/>
      <c r="AB325" s="178"/>
      <c r="AC325" s="674" t="s">
        <v>1633</v>
      </c>
      <c r="AD325" s="177">
        <f>'L. GASB 75 DIPNC'!C101</f>
        <v>0</v>
      </c>
      <c r="AE325" s="177"/>
      <c r="AF325" s="269" t="s">
        <v>1633</v>
      </c>
      <c r="AG325" s="177">
        <f>'L. GASB 75 DIPNC'!D127</f>
        <v>0</v>
      </c>
      <c r="AH325" s="270"/>
      <c r="AI325" s="177"/>
      <c r="AJ325" s="269"/>
      <c r="AK325" s="178"/>
      <c r="AL325" s="215"/>
      <c r="AM325" s="215"/>
      <c r="AN325" s="262">
        <f t="shared" ref="AN325" si="100">W325+Y325+AA325+AD325+AI325+AL325</f>
        <v>0</v>
      </c>
      <c r="AO325" s="263">
        <f t="shared" ref="AO325" si="101">X325+Z325+AB325+AG325+AK325+AM325</f>
        <v>0</v>
      </c>
      <c r="AP325" s="184"/>
      <c r="AQ325" s="263"/>
      <c r="AR325" s="184"/>
      <c r="AS325" s="263"/>
      <c r="AT325" s="36"/>
      <c r="AU325" s="36"/>
      <c r="AV325" s="36"/>
      <c r="AW325" s="36"/>
      <c r="AX325" s="36"/>
      <c r="AY325" s="36"/>
      <c r="AZ325" s="36"/>
    </row>
    <row r="326" spans="1:52" ht="3.75" customHeight="1" x14ac:dyDescent="0.2">
      <c r="A326" s="303"/>
      <c r="B326" s="303"/>
      <c r="C326" s="303"/>
      <c r="D326" s="303"/>
      <c r="E326" s="299"/>
      <c r="F326" s="403"/>
      <c r="G326" s="812"/>
      <c r="H326" s="293"/>
      <c r="I326" s="812"/>
      <c r="J326" s="813"/>
      <c r="K326" s="293"/>
      <c r="L326" s="813"/>
      <c r="M326" s="293"/>
      <c r="N326" s="404"/>
      <c r="O326" s="293"/>
      <c r="P326" s="293"/>
      <c r="Q326" s="812"/>
      <c r="R326" s="813"/>
      <c r="S326" s="293"/>
      <c r="T326" s="404"/>
      <c r="U326" s="184"/>
      <c r="V326" s="184"/>
      <c r="W326" s="262"/>
      <c r="X326" s="263"/>
      <c r="Y326" s="292"/>
      <c r="Z326" s="293"/>
      <c r="AA326" s="261"/>
      <c r="AB326" s="134"/>
      <c r="AC326" s="276"/>
      <c r="AE326" s="45"/>
      <c r="AF326" s="257"/>
      <c r="AG326" s="45"/>
      <c r="AH326" s="256"/>
      <c r="AI326" s="45"/>
      <c r="AJ326" s="257"/>
      <c r="AK326" s="134"/>
      <c r="AL326" s="211"/>
      <c r="AM326" s="211"/>
      <c r="AN326" s="262"/>
      <c r="AO326" s="263"/>
      <c r="AP326" s="184"/>
      <c r="AQ326" s="263"/>
      <c r="AR326" s="184"/>
      <c r="AS326" s="263"/>
      <c r="AT326" s="36"/>
      <c r="AU326" s="36"/>
      <c r="AV326" s="36"/>
      <c r="AW326" s="36"/>
      <c r="AX326" s="36"/>
      <c r="AY326" s="36"/>
      <c r="AZ326" s="36"/>
    </row>
    <row r="327" spans="1:52" x14ac:dyDescent="0.2">
      <c r="B327" s="195" t="s">
        <v>509</v>
      </c>
      <c r="C327" s="176"/>
      <c r="D327" s="176"/>
      <c r="E327" s="206"/>
      <c r="F327" s="207"/>
      <c r="G327" s="806"/>
      <c r="H327" s="215"/>
      <c r="I327" s="806"/>
      <c r="J327" s="807"/>
      <c r="K327" s="215"/>
      <c r="L327" s="807"/>
      <c r="M327" s="215"/>
      <c r="N327" s="216"/>
      <c r="O327" s="215"/>
      <c r="P327" s="215"/>
      <c r="Q327" s="806"/>
      <c r="R327" s="807"/>
      <c r="S327" s="215"/>
      <c r="T327" s="216"/>
      <c r="U327" s="184">
        <f t="shared" ref="U327:V330" si="102">O327+Q327+S327</f>
        <v>0</v>
      </c>
      <c r="V327" s="184">
        <f t="shared" si="102"/>
        <v>0</v>
      </c>
      <c r="W327" s="262">
        <f t="shared" ref="W327:X330" si="103">E327+G327+I327+K327+M327+U327</f>
        <v>0</v>
      </c>
      <c r="X327" s="263">
        <f t="shared" si="103"/>
        <v>0</v>
      </c>
      <c r="Y327" s="296"/>
      <c r="Z327" s="297"/>
      <c r="AA327" s="268"/>
      <c r="AB327" s="178"/>
      <c r="AC327" s="273" t="str">
        <f>'B. Depreciation'!A54</f>
        <v>B.1</v>
      </c>
      <c r="AD327" s="179">
        <f>'B. Depreciation'!J62</f>
        <v>0</v>
      </c>
      <c r="AE327" s="177"/>
      <c r="AF327" s="269" t="str">
        <f>'C. Capital Outlay &amp; Donations'!$D$100</f>
        <v>C.1</v>
      </c>
      <c r="AG327" s="177">
        <f>'C. Capital Outlay &amp; Donations'!M116</f>
        <v>0</v>
      </c>
      <c r="AH327" s="270" t="str">
        <f>'I. Eliminations-Consolidations'!A250</f>
        <v>I.7</v>
      </c>
      <c r="AI327" s="177">
        <f>'I. Eliminations-Consolidations'!J258</f>
        <v>0</v>
      </c>
      <c r="AJ327" s="269"/>
      <c r="AK327" s="178"/>
      <c r="AL327" s="215"/>
      <c r="AM327" s="215"/>
      <c r="AN327" s="262">
        <f t="shared" ref="AN327:AN332" si="104">W327+Y327+AA327+AD327+AI327+AL327</f>
        <v>0</v>
      </c>
      <c r="AO327" s="263">
        <f t="shared" ref="AO327:AO332" si="105">X327+Z327+AB327+AG327+AK327+AM327</f>
        <v>0</v>
      </c>
      <c r="AP327" s="184" t="str">
        <f>IF(SUM(AN327:AN333)-SUM(AO327:AO333)&lt;=0, " ",SUM(AN327:AN333)-SUM(AO327:AO333))</f>
        <v xml:space="preserve"> </v>
      </c>
      <c r="AQ327" s="263" t="str">
        <f>IF(SUM(AN327:AN331)-SUM(AO327:AO331)&gt;=0, " ", SUM(AO327:AO331)-SUM(AN327:AN331))</f>
        <v xml:space="preserve"> </v>
      </c>
      <c r="AR327" s="184"/>
      <c r="AS327" s="263"/>
      <c r="AT327" s="36"/>
      <c r="AU327" s="36"/>
      <c r="AV327" s="36"/>
      <c r="AW327" s="36"/>
      <c r="AX327" s="36"/>
      <c r="AY327" s="36"/>
      <c r="AZ327" s="36"/>
    </row>
    <row r="328" spans="1:52" x14ac:dyDescent="0.2">
      <c r="B328" s="176"/>
      <c r="C328" s="176"/>
      <c r="D328" s="176"/>
      <c r="E328" s="206"/>
      <c r="F328" s="207"/>
      <c r="G328" s="806"/>
      <c r="H328" s="215"/>
      <c r="I328" s="806"/>
      <c r="J328" s="807"/>
      <c r="K328" s="215"/>
      <c r="L328" s="807"/>
      <c r="M328" s="215"/>
      <c r="N328" s="216"/>
      <c r="O328" s="215"/>
      <c r="P328" s="215"/>
      <c r="Q328" s="806"/>
      <c r="R328" s="807"/>
      <c r="S328" s="215"/>
      <c r="T328" s="216"/>
      <c r="U328" s="184">
        <f t="shared" si="102"/>
        <v>0</v>
      </c>
      <c r="V328" s="184">
        <f t="shared" si="102"/>
        <v>0</v>
      </c>
      <c r="W328" s="262">
        <f t="shared" si="103"/>
        <v>0</v>
      </c>
      <c r="X328" s="263">
        <f t="shared" si="103"/>
        <v>0</v>
      </c>
      <c r="Y328" s="296"/>
      <c r="Z328" s="297"/>
      <c r="AA328" s="268"/>
      <c r="AB328" s="178"/>
      <c r="AC328" s="269" t="str">
        <f>'H. Other Liabilities &amp; Expenses'!$D$235</f>
        <v>H.1</v>
      </c>
      <c r="AD328" s="179">
        <f>'H. Other Liabilities &amp; Expenses'!L243</f>
        <v>0</v>
      </c>
      <c r="AE328" s="177"/>
      <c r="AF328" s="275" t="str">
        <f>'G.  Other Asset Entries'!$B$90</f>
        <v>G.1</v>
      </c>
      <c r="AG328" s="177">
        <f>'G.  Other Asset Entries'!N102</f>
        <v>0</v>
      </c>
      <c r="AH328" s="270"/>
      <c r="AI328" s="177"/>
      <c r="AJ328" s="269"/>
      <c r="AK328" s="178"/>
      <c r="AL328" s="215"/>
      <c r="AM328" s="215"/>
      <c r="AN328" s="262">
        <f t="shared" si="104"/>
        <v>0</v>
      </c>
      <c r="AO328" s="263">
        <f t="shared" si="105"/>
        <v>0</v>
      </c>
      <c r="AP328" s="184"/>
      <c r="AQ328" s="263"/>
      <c r="AR328" s="184"/>
      <c r="AS328" s="263"/>
      <c r="AT328" s="36"/>
      <c r="AU328" s="36"/>
      <c r="AV328" s="36"/>
      <c r="AW328" s="36"/>
      <c r="AX328" s="36"/>
      <c r="AY328" s="36"/>
      <c r="AZ328" s="36"/>
    </row>
    <row r="329" spans="1:52" x14ac:dyDescent="0.2">
      <c r="B329" s="176"/>
      <c r="C329" s="176"/>
      <c r="D329" s="176"/>
      <c r="E329" s="206"/>
      <c r="F329" s="207"/>
      <c r="G329" s="806"/>
      <c r="H329" s="215"/>
      <c r="I329" s="806"/>
      <c r="J329" s="807"/>
      <c r="K329" s="215"/>
      <c r="L329" s="807"/>
      <c r="M329" s="215"/>
      <c r="N329" s="216"/>
      <c r="O329" s="215"/>
      <c r="P329" s="215"/>
      <c r="Q329" s="806"/>
      <c r="R329" s="807"/>
      <c r="S329" s="215"/>
      <c r="T329" s="216"/>
      <c r="U329" s="184">
        <f t="shared" si="102"/>
        <v>0</v>
      </c>
      <c r="V329" s="184">
        <f t="shared" si="102"/>
        <v>0</v>
      </c>
      <c r="W329" s="262">
        <f t="shared" si="103"/>
        <v>0</v>
      </c>
      <c r="X329" s="263">
        <f t="shared" si="103"/>
        <v>0</v>
      </c>
      <c r="Y329" s="296"/>
      <c r="Z329" s="297"/>
      <c r="AA329" s="268"/>
      <c r="AB329" s="178"/>
      <c r="AC329" s="269" t="str">
        <f>'C. Capital Outlay &amp; Donations'!D130</f>
        <v>C.2</v>
      </c>
      <c r="AD329" s="179">
        <f>'C. Capital Outlay &amp; Donations'!K140</f>
        <v>0</v>
      </c>
      <c r="AE329" s="177"/>
      <c r="AF329" s="269" t="str">
        <f>'H. Other Liabilities &amp; Expenses'!$D$235</f>
        <v>H.1</v>
      </c>
      <c r="AG329" s="177">
        <f>'H. Other Liabilities &amp; Expenses'!N243</f>
        <v>0</v>
      </c>
      <c r="AH329" s="270"/>
      <c r="AI329" s="177"/>
      <c r="AJ329" s="269"/>
      <c r="AK329" s="178"/>
      <c r="AL329" s="215"/>
      <c r="AM329" s="215"/>
      <c r="AN329" s="262">
        <f t="shared" si="104"/>
        <v>0</v>
      </c>
      <c r="AO329" s="263">
        <f t="shared" si="105"/>
        <v>0</v>
      </c>
      <c r="AP329" s="184"/>
      <c r="AQ329" s="263"/>
      <c r="AR329" s="184"/>
      <c r="AS329" s="263"/>
      <c r="AT329" s="36"/>
      <c r="AU329" s="36"/>
      <c r="AV329" s="36"/>
      <c r="AW329" s="36"/>
      <c r="AX329" s="36"/>
      <c r="AY329" s="36"/>
      <c r="AZ329" s="36"/>
    </row>
    <row r="330" spans="1:52" x14ac:dyDescent="0.2">
      <c r="B330" s="176"/>
      <c r="C330" s="176"/>
      <c r="D330" s="176"/>
      <c r="E330" s="206"/>
      <c r="F330" s="207"/>
      <c r="G330" s="806"/>
      <c r="H330" s="215"/>
      <c r="I330" s="806"/>
      <c r="J330" s="807"/>
      <c r="K330" s="215"/>
      <c r="L330" s="807"/>
      <c r="M330" s="215"/>
      <c r="N330" s="216"/>
      <c r="O330" s="215"/>
      <c r="P330" s="215"/>
      <c r="Q330" s="806"/>
      <c r="R330" s="807"/>
      <c r="S330" s="215"/>
      <c r="T330" s="216"/>
      <c r="U330" s="184">
        <f t="shared" si="102"/>
        <v>0</v>
      </c>
      <c r="V330" s="184">
        <f t="shared" si="102"/>
        <v>0</v>
      </c>
      <c r="W330" s="262">
        <f t="shared" si="103"/>
        <v>0</v>
      </c>
      <c r="X330" s="263">
        <f t="shared" si="103"/>
        <v>0</v>
      </c>
      <c r="Y330" s="296"/>
      <c r="Z330" s="297"/>
      <c r="AA330" s="268"/>
      <c r="AB330" s="178"/>
      <c r="AC330" s="273" t="s">
        <v>132</v>
      </c>
      <c r="AD330" s="179">
        <f>'D.  Capital Asset Disposal'!M208</f>
        <v>0</v>
      </c>
      <c r="AE330" s="177"/>
      <c r="AF330" s="269" t="str">
        <f>'E. Debt Service'!$D$81</f>
        <v>E.1</v>
      </c>
      <c r="AG330" s="177">
        <f>'E. Debt Service'!N91</f>
        <v>0</v>
      </c>
      <c r="AH330" s="270"/>
      <c r="AI330" s="177"/>
      <c r="AJ330" s="269"/>
      <c r="AK330" s="178"/>
      <c r="AL330" s="215"/>
      <c r="AM330" s="215"/>
      <c r="AN330" s="262">
        <f t="shared" si="104"/>
        <v>0</v>
      </c>
      <c r="AO330" s="263">
        <f t="shared" si="105"/>
        <v>0</v>
      </c>
      <c r="AP330" s="184"/>
      <c r="AQ330" s="263"/>
      <c r="AR330" s="184"/>
      <c r="AS330" s="263"/>
      <c r="AT330" s="36"/>
      <c r="AU330" s="36"/>
      <c r="AV330" s="36"/>
      <c r="AW330" s="36"/>
      <c r="AX330" s="36"/>
      <c r="AY330" s="36"/>
      <c r="AZ330" s="36"/>
    </row>
    <row r="331" spans="1:52" s="478" customFormat="1" x14ac:dyDescent="0.2">
      <c r="B331" s="176"/>
      <c r="C331" s="176"/>
      <c r="D331" s="176"/>
      <c r="E331" s="206"/>
      <c r="F331" s="207"/>
      <c r="G331" s="806"/>
      <c r="H331" s="215"/>
      <c r="I331" s="806"/>
      <c r="J331" s="807"/>
      <c r="K331" s="215"/>
      <c r="L331" s="807"/>
      <c r="M331" s="215"/>
      <c r="N331" s="216"/>
      <c r="O331" s="215"/>
      <c r="P331" s="215"/>
      <c r="Q331" s="806"/>
      <c r="R331" s="807"/>
      <c r="S331" s="215"/>
      <c r="T331" s="216"/>
      <c r="U331" s="184"/>
      <c r="V331" s="184"/>
      <c r="W331" s="262"/>
      <c r="X331" s="263"/>
      <c r="Y331" s="296"/>
      <c r="Z331" s="297"/>
      <c r="AA331" s="268"/>
      <c r="AB331" s="178"/>
      <c r="AC331" s="269" t="s">
        <v>1080</v>
      </c>
      <c r="AD331" s="177">
        <f>'J. GASB 68 TSERS'!C101</f>
        <v>0</v>
      </c>
      <c r="AE331" s="177"/>
      <c r="AF331" s="269" t="s">
        <v>1080</v>
      </c>
      <c r="AG331" s="177">
        <f>'J. GASB 68 TSERS'!D101</f>
        <v>0</v>
      </c>
      <c r="AH331" s="270"/>
      <c r="AI331" s="177"/>
      <c r="AJ331" s="269"/>
      <c r="AK331" s="178"/>
      <c r="AL331" s="215"/>
      <c r="AM331" s="215"/>
      <c r="AN331" s="262">
        <f t="shared" si="104"/>
        <v>0</v>
      </c>
      <c r="AO331" s="263">
        <f t="shared" si="105"/>
        <v>0</v>
      </c>
      <c r="AP331" s="184"/>
      <c r="AQ331" s="263"/>
      <c r="AR331" s="184"/>
      <c r="AS331" s="263"/>
      <c r="AT331" s="36"/>
      <c r="AU331" s="36"/>
      <c r="AV331" s="36"/>
      <c r="AW331" s="36"/>
      <c r="AX331" s="36"/>
      <c r="AY331" s="36"/>
      <c r="AZ331" s="36"/>
    </row>
    <row r="332" spans="1:52" s="613" customFormat="1" x14ac:dyDescent="0.2">
      <c r="B332" s="176"/>
      <c r="C332" s="176"/>
      <c r="D332" s="176"/>
      <c r="E332" s="206"/>
      <c r="F332" s="207"/>
      <c r="G332" s="806"/>
      <c r="H332" s="215"/>
      <c r="I332" s="806"/>
      <c r="J332" s="807"/>
      <c r="K332" s="215"/>
      <c r="L332" s="807"/>
      <c r="M332" s="215"/>
      <c r="N332" s="216"/>
      <c r="O332" s="215"/>
      <c r="P332" s="215"/>
      <c r="Q332" s="806"/>
      <c r="R332" s="807"/>
      <c r="S332" s="215"/>
      <c r="T332" s="216"/>
      <c r="U332" s="184"/>
      <c r="V332" s="184"/>
      <c r="W332" s="262"/>
      <c r="X332" s="263"/>
      <c r="Y332" s="296"/>
      <c r="Z332" s="297"/>
      <c r="AA332" s="268"/>
      <c r="AB332" s="178"/>
      <c r="AC332" s="674" t="s">
        <v>1519</v>
      </c>
      <c r="AD332" s="177">
        <f>'K. GASB 75 RHBF'!C102</f>
        <v>0</v>
      </c>
      <c r="AE332" s="177"/>
      <c r="AF332" s="269" t="s">
        <v>1518</v>
      </c>
      <c r="AG332" s="177">
        <f>'K. GASB 75 RHBF'!D128</f>
        <v>0</v>
      </c>
      <c r="AH332" s="270"/>
      <c r="AI332" s="177"/>
      <c r="AJ332" s="269"/>
      <c r="AK332" s="178"/>
      <c r="AL332" s="215"/>
      <c r="AM332" s="215"/>
      <c r="AN332" s="262">
        <f t="shared" si="104"/>
        <v>0</v>
      </c>
      <c r="AO332" s="263">
        <f t="shared" si="105"/>
        <v>0</v>
      </c>
      <c r="AP332" s="184"/>
      <c r="AQ332" s="263"/>
      <c r="AR332" s="184"/>
      <c r="AS332" s="263"/>
      <c r="AT332" s="36"/>
      <c r="AU332" s="36"/>
      <c r="AV332" s="36"/>
      <c r="AW332" s="36"/>
      <c r="AX332" s="36"/>
      <c r="AY332" s="36"/>
      <c r="AZ332" s="36"/>
    </row>
    <row r="333" spans="1:52" s="751" customFormat="1" x14ac:dyDescent="0.2">
      <c r="B333" s="176"/>
      <c r="C333" s="176"/>
      <c r="D333" s="176"/>
      <c r="E333" s="206"/>
      <c r="F333" s="207"/>
      <c r="G333" s="806"/>
      <c r="H333" s="215"/>
      <c r="I333" s="806"/>
      <c r="J333" s="807"/>
      <c r="K333" s="215"/>
      <c r="L333" s="807"/>
      <c r="M333" s="215"/>
      <c r="N333" s="216"/>
      <c r="O333" s="215"/>
      <c r="P333" s="215"/>
      <c r="Q333" s="806"/>
      <c r="R333" s="807"/>
      <c r="S333" s="215"/>
      <c r="T333" s="216"/>
      <c r="U333" s="184"/>
      <c r="V333" s="184"/>
      <c r="W333" s="262"/>
      <c r="X333" s="263"/>
      <c r="Y333" s="296"/>
      <c r="Z333" s="297"/>
      <c r="AA333" s="268"/>
      <c r="AB333" s="178"/>
      <c r="AC333" s="674" t="s">
        <v>1633</v>
      </c>
      <c r="AD333" s="177">
        <f>'L. GASB 75 DIPNC'!C102</f>
        <v>0</v>
      </c>
      <c r="AE333" s="177"/>
      <c r="AF333" s="269" t="s">
        <v>1633</v>
      </c>
      <c r="AG333" s="177">
        <f>'L. GASB 75 DIPNC'!D128</f>
        <v>0</v>
      </c>
      <c r="AH333" s="270"/>
      <c r="AI333" s="177"/>
      <c r="AJ333" s="269"/>
      <c r="AK333" s="178"/>
      <c r="AL333" s="215"/>
      <c r="AM333" s="215"/>
      <c r="AN333" s="262">
        <f t="shared" ref="AN333" si="106">W333+Y333+AA333+AD333+AI333+AL333</f>
        <v>0</v>
      </c>
      <c r="AO333" s="263">
        <f t="shared" ref="AO333" si="107">X333+Z333+AB333+AG333+AK333+AM333</f>
        <v>0</v>
      </c>
      <c r="AP333" s="184"/>
      <c r="AQ333" s="263"/>
      <c r="AR333" s="184"/>
      <c r="AS333" s="263"/>
      <c r="AT333" s="36"/>
      <c r="AU333" s="36"/>
      <c r="AV333" s="36"/>
      <c r="AW333" s="36"/>
      <c r="AX333" s="36"/>
      <c r="AY333" s="36"/>
      <c r="AZ333" s="36"/>
    </row>
    <row r="334" spans="1:52" ht="4.5" customHeight="1" x14ac:dyDescent="0.2">
      <c r="A334" s="303"/>
      <c r="B334" s="303"/>
      <c r="C334" s="303"/>
      <c r="D334" s="303"/>
      <c r="E334" s="299"/>
      <c r="F334" s="403"/>
      <c r="G334" s="812"/>
      <c r="H334" s="293"/>
      <c r="I334" s="812"/>
      <c r="J334" s="813"/>
      <c r="K334" s="293"/>
      <c r="L334" s="813"/>
      <c r="M334" s="293"/>
      <c r="N334" s="404"/>
      <c r="O334" s="293"/>
      <c r="P334" s="293"/>
      <c r="Q334" s="812"/>
      <c r="R334" s="813"/>
      <c r="S334" s="293"/>
      <c r="T334" s="404"/>
      <c r="U334" s="184"/>
      <c r="V334" s="184"/>
      <c r="W334" s="262"/>
      <c r="X334" s="263"/>
      <c r="Y334" s="292"/>
      <c r="Z334" s="293"/>
      <c r="AA334" s="261"/>
      <c r="AB334" s="134"/>
      <c r="AC334" s="276"/>
      <c r="AE334" s="45"/>
      <c r="AF334" s="257"/>
      <c r="AG334" s="45"/>
      <c r="AH334" s="256"/>
      <c r="AI334" s="45"/>
      <c r="AJ334" s="257"/>
      <c r="AK334" s="134"/>
      <c r="AL334" s="211"/>
      <c r="AM334" s="211"/>
      <c r="AN334" s="262"/>
      <c r="AO334" s="263"/>
      <c r="AP334" s="184"/>
      <c r="AQ334" s="263"/>
      <c r="AR334" s="184"/>
      <c r="AS334" s="263"/>
      <c r="AT334" s="36"/>
      <c r="AU334" s="36"/>
      <c r="AV334" s="36"/>
      <c r="AW334" s="36"/>
      <c r="AX334" s="36"/>
      <c r="AY334" s="36"/>
      <c r="AZ334" s="36"/>
    </row>
    <row r="335" spans="1:52" x14ac:dyDescent="0.2">
      <c r="B335" s="195" t="s">
        <v>502</v>
      </c>
      <c r="C335" s="176"/>
      <c r="D335" s="176"/>
      <c r="E335" s="206"/>
      <c r="F335" s="207"/>
      <c r="G335" s="806"/>
      <c r="H335" s="215"/>
      <c r="I335" s="806"/>
      <c r="J335" s="807"/>
      <c r="K335" s="215"/>
      <c r="L335" s="807"/>
      <c r="M335" s="215"/>
      <c r="N335" s="216"/>
      <c r="O335" s="215"/>
      <c r="P335" s="215"/>
      <c r="Q335" s="806"/>
      <c r="R335" s="807"/>
      <c r="S335" s="215"/>
      <c r="T335" s="216"/>
      <c r="U335" s="184">
        <f t="shared" ref="U335:V338" si="108">O335+Q335+S335</f>
        <v>0</v>
      </c>
      <c r="V335" s="184">
        <f t="shared" si="108"/>
        <v>0</v>
      </c>
      <c r="W335" s="262">
        <f t="shared" ref="W335:X338" si="109">E335+G335+I335+K335+M335+U335</f>
        <v>0</v>
      </c>
      <c r="X335" s="263">
        <f t="shared" si="109"/>
        <v>0</v>
      </c>
      <c r="Y335" s="296"/>
      <c r="Z335" s="297"/>
      <c r="AA335" s="268"/>
      <c r="AB335" s="178"/>
      <c r="AC335" s="273" t="str">
        <f>'B. Depreciation'!A54</f>
        <v>B.1</v>
      </c>
      <c r="AD335" s="179">
        <f>'B. Depreciation'!J63</f>
        <v>0</v>
      </c>
      <c r="AE335" s="177"/>
      <c r="AF335" s="269" t="str">
        <f>'C. Capital Outlay &amp; Donations'!$D$100</f>
        <v>C.1</v>
      </c>
      <c r="AG335" s="177">
        <f>'C. Capital Outlay &amp; Donations'!M117</f>
        <v>0</v>
      </c>
      <c r="AH335" s="270" t="str">
        <f>'I. Eliminations-Consolidations'!A250</f>
        <v>I.7</v>
      </c>
      <c r="AI335" s="177">
        <f>'I. Eliminations-Consolidations'!J259</f>
        <v>0</v>
      </c>
      <c r="AJ335" s="269"/>
      <c r="AK335" s="178"/>
      <c r="AL335" s="215"/>
      <c r="AM335" s="215"/>
      <c r="AN335" s="262">
        <f t="shared" ref="AN335:AN340" si="110">W335+Y335+AA335+AD335+AI335+AL335</f>
        <v>0</v>
      </c>
      <c r="AO335" s="263">
        <f t="shared" ref="AO335:AO340" si="111">X335+Z335+AB335+AG335+AK335+AM335</f>
        <v>0</v>
      </c>
      <c r="AP335" s="184" t="str">
        <f>IF(SUM(AN335:AN341)-SUM(AO335:AO341)&lt;=0, " ",SUM(AN335:AN341)-SUM(AO335:AO341))</f>
        <v xml:space="preserve"> </v>
      </c>
      <c r="AQ335" s="263" t="str">
        <f>IF(SUM(AN335:AN339)-SUM(AO335:AO339)&gt;=0, " ", SUM(AO335:AO339)-SUM(AN335:AN339))</f>
        <v xml:space="preserve"> </v>
      </c>
      <c r="AR335" s="184"/>
      <c r="AS335" s="263"/>
      <c r="AT335" s="36"/>
      <c r="AU335" s="36"/>
      <c r="AV335" s="36"/>
      <c r="AW335" s="36"/>
      <c r="AX335" s="36"/>
      <c r="AY335" s="36"/>
      <c r="AZ335" s="36"/>
    </row>
    <row r="336" spans="1:52" x14ac:dyDescent="0.2">
      <c r="B336" s="176"/>
      <c r="C336" s="176"/>
      <c r="D336" s="176"/>
      <c r="E336" s="206"/>
      <c r="F336" s="207"/>
      <c r="G336" s="806"/>
      <c r="H336" s="215"/>
      <c r="I336" s="806"/>
      <c r="J336" s="807"/>
      <c r="K336" s="215"/>
      <c r="L336" s="807"/>
      <c r="M336" s="215"/>
      <c r="N336" s="216"/>
      <c r="O336" s="215"/>
      <c r="P336" s="215"/>
      <c r="Q336" s="806"/>
      <c r="R336" s="807"/>
      <c r="S336" s="215"/>
      <c r="T336" s="216"/>
      <c r="U336" s="184">
        <f t="shared" si="108"/>
        <v>0</v>
      </c>
      <c r="V336" s="184">
        <f t="shared" si="108"/>
        <v>0</v>
      </c>
      <c r="W336" s="262">
        <f t="shared" si="109"/>
        <v>0</v>
      </c>
      <c r="X336" s="263">
        <f t="shared" si="109"/>
        <v>0</v>
      </c>
      <c r="Y336" s="296"/>
      <c r="Z336" s="297"/>
      <c r="AA336" s="268"/>
      <c r="AB336" s="178"/>
      <c r="AC336" s="273" t="str">
        <f>'H. Other Liabilities &amp; Expenses'!D235</f>
        <v>H.1</v>
      </c>
      <c r="AD336" s="179">
        <f>'H. Other Liabilities &amp; Expenses'!L244</f>
        <v>0</v>
      </c>
      <c r="AE336" s="177"/>
      <c r="AF336" s="275" t="str">
        <f>'G.  Other Asset Entries'!$B$90</f>
        <v>G.1</v>
      </c>
      <c r="AG336" s="177">
        <f>'G.  Other Asset Entries'!N103</f>
        <v>0</v>
      </c>
      <c r="AH336" s="270"/>
      <c r="AI336" s="177"/>
      <c r="AJ336" s="269"/>
      <c r="AK336" s="178"/>
      <c r="AL336" s="215"/>
      <c r="AM336" s="215"/>
      <c r="AN336" s="262">
        <f t="shared" si="110"/>
        <v>0</v>
      </c>
      <c r="AO336" s="263">
        <f t="shared" si="111"/>
        <v>0</v>
      </c>
      <c r="AP336" s="184"/>
      <c r="AQ336" s="263"/>
      <c r="AR336" s="184"/>
      <c r="AS336" s="263"/>
      <c r="AT336" s="36"/>
      <c r="AU336" s="36"/>
      <c r="AV336" s="36"/>
      <c r="AW336" s="36"/>
      <c r="AX336" s="36"/>
      <c r="AY336" s="36"/>
      <c r="AZ336" s="36"/>
    </row>
    <row r="337" spans="1:52" x14ac:dyDescent="0.2">
      <c r="B337" s="176"/>
      <c r="C337" s="176"/>
      <c r="D337" s="176"/>
      <c r="E337" s="206"/>
      <c r="F337" s="207"/>
      <c r="G337" s="806"/>
      <c r="H337" s="215"/>
      <c r="I337" s="806"/>
      <c r="J337" s="807"/>
      <c r="K337" s="215"/>
      <c r="L337" s="807"/>
      <c r="M337" s="215"/>
      <c r="N337" s="216"/>
      <c r="O337" s="215"/>
      <c r="P337" s="215"/>
      <c r="Q337" s="806"/>
      <c r="R337" s="807"/>
      <c r="S337" s="215"/>
      <c r="T337" s="216"/>
      <c r="U337" s="184">
        <f t="shared" si="108"/>
        <v>0</v>
      </c>
      <c r="V337" s="184">
        <f t="shared" si="108"/>
        <v>0</v>
      </c>
      <c r="W337" s="262">
        <f t="shared" si="109"/>
        <v>0</v>
      </c>
      <c r="X337" s="263">
        <f t="shared" si="109"/>
        <v>0</v>
      </c>
      <c r="Y337" s="296"/>
      <c r="Z337" s="297"/>
      <c r="AA337" s="268"/>
      <c r="AB337" s="178"/>
      <c r="AC337" s="269" t="str">
        <f>'C. Capital Outlay &amp; Donations'!D130</f>
        <v>C.2</v>
      </c>
      <c r="AD337" s="179">
        <f>'C. Capital Outlay &amp; Donations'!K141</f>
        <v>0</v>
      </c>
      <c r="AE337" s="177"/>
      <c r="AF337" s="269" t="str">
        <f>'H. Other Liabilities &amp; Expenses'!$D$235</f>
        <v>H.1</v>
      </c>
      <c r="AG337" s="177">
        <f>'H. Other Liabilities &amp; Expenses'!N244</f>
        <v>0</v>
      </c>
      <c r="AH337" s="270"/>
      <c r="AI337" s="177"/>
      <c r="AJ337" s="269"/>
      <c r="AK337" s="178"/>
      <c r="AL337" s="215"/>
      <c r="AM337" s="215"/>
      <c r="AN337" s="262">
        <f t="shared" si="110"/>
        <v>0</v>
      </c>
      <c r="AO337" s="263">
        <f t="shared" si="111"/>
        <v>0</v>
      </c>
      <c r="AP337" s="184"/>
      <c r="AQ337" s="263"/>
      <c r="AR337" s="184"/>
      <c r="AS337" s="263"/>
      <c r="AT337" s="36"/>
      <c r="AU337" s="36"/>
      <c r="AV337" s="36"/>
      <c r="AW337" s="36"/>
      <c r="AX337" s="36"/>
      <c r="AY337" s="36"/>
      <c r="AZ337" s="36"/>
    </row>
    <row r="338" spans="1:52" x14ac:dyDescent="0.2">
      <c r="B338" s="176"/>
      <c r="C338" s="176"/>
      <c r="D338" s="176"/>
      <c r="E338" s="206"/>
      <c r="F338" s="207"/>
      <c r="G338" s="806"/>
      <c r="H338" s="215"/>
      <c r="I338" s="806"/>
      <c r="J338" s="807"/>
      <c r="K338" s="215"/>
      <c r="L338" s="807"/>
      <c r="M338" s="215"/>
      <c r="N338" s="216"/>
      <c r="O338" s="215"/>
      <c r="P338" s="215"/>
      <c r="Q338" s="806"/>
      <c r="R338" s="807"/>
      <c r="S338" s="215"/>
      <c r="T338" s="216"/>
      <c r="U338" s="184">
        <f t="shared" si="108"/>
        <v>0</v>
      </c>
      <c r="V338" s="184">
        <f t="shared" si="108"/>
        <v>0</v>
      </c>
      <c r="W338" s="262">
        <f t="shared" si="109"/>
        <v>0</v>
      </c>
      <c r="X338" s="263">
        <f t="shared" si="109"/>
        <v>0</v>
      </c>
      <c r="Y338" s="296"/>
      <c r="Z338" s="297"/>
      <c r="AA338" s="268"/>
      <c r="AB338" s="178"/>
      <c r="AC338" s="273" t="s">
        <v>132</v>
      </c>
      <c r="AD338" s="179">
        <f>'D.  Capital Asset Disposal'!M209</f>
        <v>0</v>
      </c>
      <c r="AE338" s="177"/>
      <c r="AF338" s="269" t="str">
        <f>'E. Debt Service'!$D$81</f>
        <v>E.1</v>
      </c>
      <c r="AG338" s="177">
        <f>'E. Debt Service'!N92</f>
        <v>0</v>
      </c>
      <c r="AH338" s="270"/>
      <c r="AI338" s="177"/>
      <c r="AJ338" s="269"/>
      <c r="AK338" s="178"/>
      <c r="AL338" s="215"/>
      <c r="AM338" s="215"/>
      <c r="AN338" s="262">
        <f t="shared" si="110"/>
        <v>0</v>
      </c>
      <c r="AO338" s="263">
        <f t="shared" si="111"/>
        <v>0</v>
      </c>
      <c r="AP338" s="184"/>
      <c r="AQ338" s="263"/>
      <c r="AR338" s="184"/>
      <c r="AS338" s="263"/>
      <c r="AT338" s="36"/>
      <c r="AU338" s="36"/>
      <c r="AV338" s="36"/>
      <c r="AW338" s="36"/>
      <c r="AX338" s="36"/>
      <c r="AY338" s="36"/>
      <c r="AZ338" s="36"/>
    </row>
    <row r="339" spans="1:52" s="478" customFormat="1" x14ac:dyDescent="0.2">
      <c r="B339" s="176"/>
      <c r="C339" s="176"/>
      <c r="D339" s="176"/>
      <c r="E339" s="206"/>
      <c r="F339" s="207"/>
      <c r="G339" s="806"/>
      <c r="H339" s="215"/>
      <c r="I339" s="806"/>
      <c r="J339" s="807"/>
      <c r="K339" s="215"/>
      <c r="L339" s="807"/>
      <c r="M339" s="215"/>
      <c r="N339" s="216"/>
      <c r="O339" s="215"/>
      <c r="P339" s="215"/>
      <c r="Q339" s="806"/>
      <c r="R339" s="807"/>
      <c r="S339" s="215"/>
      <c r="T339" s="216"/>
      <c r="U339" s="184"/>
      <c r="V339" s="184"/>
      <c r="W339" s="262"/>
      <c r="X339" s="263"/>
      <c r="Y339" s="296"/>
      <c r="Z339" s="297"/>
      <c r="AA339" s="268"/>
      <c r="AB339" s="178"/>
      <c r="AC339" s="269" t="s">
        <v>1080</v>
      </c>
      <c r="AD339" s="177">
        <f>'J. GASB 68 TSERS'!C102</f>
        <v>0</v>
      </c>
      <c r="AE339" s="177"/>
      <c r="AF339" s="269" t="s">
        <v>1080</v>
      </c>
      <c r="AG339" s="177">
        <f>'J. GASB 68 TSERS'!D102</f>
        <v>0</v>
      </c>
      <c r="AH339" s="270"/>
      <c r="AI339" s="177"/>
      <c r="AJ339" s="269"/>
      <c r="AK339" s="178"/>
      <c r="AL339" s="215"/>
      <c r="AM339" s="215"/>
      <c r="AN339" s="262">
        <f t="shared" si="110"/>
        <v>0</v>
      </c>
      <c r="AO339" s="263">
        <f t="shared" si="111"/>
        <v>0</v>
      </c>
      <c r="AP339" s="184"/>
      <c r="AQ339" s="263"/>
      <c r="AR339" s="184"/>
      <c r="AS339" s="263"/>
      <c r="AT339" s="36"/>
      <c r="AU339" s="36"/>
      <c r="AV339" s="36"/>
      <c r="AW339" s="36"/>
      <c r="AX339" s="36"/>
      <c r="AY339" s="36"/>
      <c r="AZ339" s="36"/>
    </row>
    <row r="340" spans="1:52" s="613" customFormat="1" x14ac:dyDescent="0.2">
      <c r="B340" s="176"/>
      <c r="C340" s="176"/>
      <c r="D340" s="176"/>
      <c r="E340" s="206"/>
      <c r="F340" s="207"/>
      <c r="G340" s="806"/>
      <c r="H340" s="215"/>
      <c r="I340" s="806"/>
      <c r="J340" s="807"/>
      <c r="K340" s="215"/>
      <c r="L340" s="807"/>
      <c r="M340" s="215"/>
      <c r="N340" s="216"/>
      <c r="O340" s="215"/>
      <c r="P340" s="215"/>
      <c r="Q340" s="806"/>
      <c r="R340" s="807"/>
      <c r="S340" s="215"/>
      <c r="T340" s="216"/>
      <c r="U340" s="184"/>
      <c r="V340" s="184"/>
      <c r="W340" s="262"/>
      <c r="X340" s="263"/>
      <c r="Y340" s="296"/>
      <c r="Z340" s="297"/>
      <c r="AA340" s="268"/>
      <c r="AB340" s="178"/>
      <c r="AC340" s="674" t="s">
        <v>1519</v>
      </c>
      <c r="AD340" s="177">
        <f>'K. GASB 75 RHBF'!C103</f>
        <v>0</v>
      </c>
      <c r="AE340" s="177"/>
      <c r="AF340" s="269" t="s">
        <v>1518</v>
      </c>
      <c r="AG340" s="177">
        <f>'K. GASB 75 RHBF'!D129</f>
        <v>0</v>
      </c>
      <c r="AH340" s="270"/>
      <c r="AI340" s="177"/>
      <c r="AJ340" s="269"/>
      <c r="AK340" s="178"/>
      <c r="AL340" s="215"/>
      <c r="AM340" s="215"/>
      <c r="AN340" s="262">
        <f t="shared" si="110"/>
        <v>0</v>
      </c>
      <c r="AO340" s="263">
        <f t="shared" si="111"/>
        <v>0</v>
      </c>
      <c r="AP340" s="184"/>
      <c r="AQ340" s="263"/>
      <c r="AR340" s="184"/>
      <c r="AS340" s="263"/>
      <c r="AT340" s="36"/>
      <c r="AU340" s="36"/>
      <c r="AV340" s="36"/>
      <c r="AW340" s="36"/>
      <c r="AX340" s="36"/>
      <c r="AY340" s="36"/>
      <c r="AZ340" s="36"/>
    </row>
    <row r="341" spans="1:52" s="751" customFormat="1" x14ac:dyDescent="0.2">
      <c r="B341" s="176"/>
      <c r="C341" s="176"/>
      <c r="D341" s="176"/>
      <c r="E341" s="206"/>
      <c r="F341" s="207"/>
      <c r="G341" s="806"/>
      <c r="H341" s="215"/>
      <c r="I341" s="806"/>
      <c r="J341" s="807"/>
      <c r="K341" s="215"/>
      <c r="L341" s="807"/>
      <c r="M341" s="215"/>
      <c r="N341" s="216"/>
      <c r="O341" s="215"/>
      <c r="P341" s="215"/>
      <c r="Q341" s="806"/>
      <c r="R341" s="807"/>
      <c r="S341" s="215"/>
      <c r="T341" s="216"/>
      <c r="U341" s="184"/>
      <c r="V341" s="184"/>
      <c r="W341" s="262"/>
      <c r="X341" s="263"/>
      <c r="Y341" s="296"/>
      <c r="Z341" s="297"/>
      <c r="AA341" s="268"/>
      <c r="AB341" s="178"/>
      <c r="AC341" s="674" t="s">
        <v>1633</v>
      </c>
      <c r="AD341" s="177">
        <f>'L. GASB 75 DIPNC'!C103</f>
        <v>0</v>
      </c>
      <c r="AE341" s="177"/>
      <c r="AF341" s="269" t="s">
        <v>1633</v>
      </c>
      <c r="AG341" s="177">
        <f>'L. GASB 75 DIPNC'!D129</f>
        <v>0</v>
      </c>
      <c r="AH341" s="270"/>
      <c r="AI341" s="177"/>
      <c r="AJ341" s="269"/>
      <c r="AK341" s="178"/>
      <c r="AL341" s="215"/>
      <c r="AM341" s="215"/>
      <c r="AN341" s="262">
        <f t="shared" ref="AN341" si="112">W341+Y341+AA341+AD341+AI341+AL341</f>
        <v>0</v>
      </c>
      <c r="AO341" s="263">
        <f t="shared" ref="AO341" si="113">X341+Z341+AB341+AG341+AK341+AM341</f>
        <v>0</v>
      </c>
      <c r="AP341" s="184"/>
      <c r="AQ341" s="263"/>
      <c r="AR341" s="184"/>
      <c r="AS341" s="263"/>
      <c r="AT341" s="36"/>
      <c r="AU341" s="36"/>
      <c r="AV341" s="36"/>
      <c r="AW341" s="36"/>
      <c r="AX341" s="36"/>
      <c r="AY341" s="36"/>
      <c r="AZ341" s="36"/>
    </row>
    <row r="342" spans="1:52" ht="4.5" customHeight="1" x14ac:dyDescent="0.2">
      <c r="A342" s="303"/>
      <c r="B342" s="303"/>
      <c r="C342" s="303"/>
      <c r="D342" s="303"/>
      <c r="E342" s="299"/>
      <c r="F342" s="403"/>
      <c r="G342" s="812"/>
      <c r="H342" s="293"/>
      <c r="I342" s="812"/>
      <c r="J342" s="813"/>
      <c r="K342" s="293"/>
      <c r="L342" s="813"/>
      <c r="M342" s="293"/>
      <c r="N342" s="404"/>
      <c r="O342" s="293"/>
      <c r="P342" s="293"/>
      <c r="Q342" s="812"/>
      <c r="R342" s="813"/>
      <c r="S342" s="293"/>
      <c r="T342" s="404"/>
      <c r="U342" s="184"/>
      <c r="V342" s="184"/>
      <c r="W342" s="262"/>
      <c r="X342" s="263"/>
      <c r="Y342" s="292"/>
      <c r="Z342" s="293"/>
      <c r="AA342" s="261"/>
      <c r="AB342" s="134"/>
      <c r="AC342" s="276"/>
      <c r="AE342" s="45"/>
      <c r="AF342" s="257"/>
      <c r="AG342" s="45"/>
      <c r="AH342" s="256"/>
      <c r="AI342" s="45"/>
      <c r="AJ342" s="257"/>
      <c r="AK342" s="134"/>
      <c r="AL342" s="211"/>
      <c r="AM342" s="211"/>
      <c r="AN342" s="262"/>
      <c r="AO342" s="263"/>
      <c r="AP342" s="184"/>
      <c r="AQ342" s="263"/>
      <c r="AR342" s="184"/>
      <c r="AS342" s="263"/>
      <c r="AT342" s="36"/>
      <c r="AU342" s="36"/>
      <c r="AV342" s="36"/>
      <c r="AW342" s="36"/>
      <c r="AX342" s="36"/>
      <c r="AY342" s="36"/>
      <c r="AZ342" s="36"/>
    </row>
    <row r="343" spans="1:52" x14ac:dyDescent="0.2">
      <c r="A343" s="11"/>
      <c r="B343" s="195" t="s">
        <v>503</v>
      </c>
      <c r="C343" s="176"/>
      <c r="D343" s="176"/>
      <c r="E343" s="206"/>
      <c r="F343" s="207"/>
      <c r="G343" s="806"/>
      <c r="H343" s="215"/>
      <c r="I343" s="806"/>
      <c r="J343" s="807"/>
      <c r="K343" s="215"/>
      <c r="L343" s="807"/>
      <c r="M343" s="215"/>
      <c r="N343" s="216"/>
      <c r="O343" s="215"/>
      <c r="P343" s="215"/>
      <c r="Q343" s="806"/>
      <c r="R343" s="807"/>
      <c r="S343" s="215"/>
      <c r="T343" s="216"/>
      <c r="U343" s="184">
        <f t="shared" ref="U343:V346" si="114">O343+Q343+S343</f>
        <v>0</v>
      </c>
      <c r="V343" s="184">
        <f t="shared" si="114"/>
        <v>0</v>
      </c>
      <c r="W343" s="262">
        <f t="shared" ref="W343:X346" si="115">E343+G343+I343+K343+M343+U343</f>
        <v>0</v>
      </c>
      <c r="X343" s="263">
        <f t="shared" si="115"/>
        <v>0</v>
      </c>
      <c r="Y343" s="296"/>
      <c r="Z343" s="297"/>
      <c r="AA343" s="268"/>
      <c r="AB343" s="178"/>
      <c r="AC343" s="269" t="str">
        <f>'B. Depreciation'!$A$54</f>
        <v>B.1</v>
      </c>
      <c r="AD343" s="177">
        <f>'B. Depreciation'!J64</f>
        <v>0</v>
      </c>
      <c r="AE343" s="177"/>
      <c r="AF343" s="269" t="str">
        <f>'C. Capital Outlay &amp; Donations'!$D$100</f>
        <v>C.1</v>
      </c>
      <c r="AG343" s="177">
        <f>'C. Capital Outlay &amp; Donations'!M118</f>
        <v>0</v>
      </c>
      <c r="AH343" s="270" t="str">
        <f>'I. Eliminations-Consolidations'!$A$250</f>
        <v>I.7</v>
      </c>
      <c r="AI343" s="177">
        <f>'I. Eliminations-Consolidations'!J260</f>
        <v>0</v>
      </c>
      <c r="AJ343" s="269" t="str">
        <f>'I. Eliminations-Consolidations'!A229</f>
        <v>I.5</v>
      </c>
      <c r="AK343" s="178">
        <f>'I. Eliminations-Consolidations'!L231</f>
        <v>0</v>
      </c>
      <c r="AL343" s="215"/>
      <c r="AM343" s="215"/>
      <c r="AN343" s="262">
        <f t="shared" ref="AN343:AN348" si="116">W343+Y343+AA343+AD343+AI343+AL343</f>
        <v>0</v>
      </c>
      <c r="AO343" s="263">
        <f t="shared" ref="AO343:AO348" si="117">X343+Z343+AB343+AG343+AK343+AM343</f>
        <v>0</v>
      </c>
      <c r="AP343" s="184" t="str">
        <f>IF(SUM(AN343:AN349)-SUM(AO343:AO349)&lt;=0, " ",SUM(AN343:AN349)-SUM(AO343:AO349))</f>
        <v xml:space="preserve"> </v>
      </c>
      <c r="AQ343" s="263" t="str">
        <f>IF(SUM(AN343:AN347)-SUM(AO343:AO347)&gt;=0, " ", SUM(AO343:AO347)-SUM(AN343:AN347))</f>
        <v xml:space="preserve"> </v>
      </c>
      <c r="AR343" s="184"/>
      <c r="AS343" s="263"/>
      <c r="AT343" s="36"/>
      <c r="AU343" s="36"/>
      <c r="AV343" s="36"/>
      <c r="AW343" s="36"/>
      <c r="AX343" s="36"/>
      <c r="AY343" s="36"/>
      <c r="AZ343" s="36"/>
    </row>
    <row r="344" spans="1:52" x14ac:dyDescent="0.2">
      <c r="A344" s="11"/>
      <c r="B344" s="195"/>
      <c r="C344" s="176"/>
      <c r="D344" s="176"/>
      <c r="E344" s="206"/>
      <c r="F344" s="207"/>
      <c r="G344" s="806"/>
      <c r="H344" s="215"/>
      <c r="I344" s="806"/>
      <c r="J344" s="807"/>
      <c r="K344" s="215"/>
      <c r="L344" s="807"/>
      <c r="M344" s="215"/>
      <c r="N344" s="216"/>
      <c r="O344" s="215"/>
      <c r="P344" s="215"/>
      <c r="Q344" s="806"/>
      <c r="R344" s="807"/>
      <c r="S344" s="215"/>
      <c r="T344" s="216"/>
      <c r="U344" s="184">
        <f t="shared" si="114"/>
        <v>0</v>
      </c>
      <c r="V344" s="184">
        <f t="shared" si="114"/>
        <v>0</v>
      </c>
      <c r="W344" s="262">
        <f t="shared" si="115"/>
        <v>0</v>
      </c>
      <c r="X344" s="263">
        <f t="shared" si="115"/>
        <v>0</v>
      </c>
      <c r="Y344" s="296"/>
      <c r="Z344" s="297"/>
      <c r="AA344" s="268"/>
      <c r="AB344" s="178"/>
      <c r="AC344" s="269" t="str">
        <f>'C. Capital Outlay &amp; Donations'!$D$130</f>
        <v>C.2</v>
      </c>
      <c r="AD344" s="179">
        <f>'C. Capital Outlay &amp; Donations'!K142</f>
        <v>0</v>
      </c>
      <c r="AE344" s="177"/>
      <c r="AF344" s="275" t="str">
        <f>'G.  Other Asset Entries'!$B$90</f>
        <v>G.1</v>
      </c>
      <c r="AG344" s="177">
        <f>'G.  Other Asset Entries'!N104</f>
        <v>0</v>
      </c>
      <c r="AH344" s="270" t="str">
        <f>'I. Eliminations-Consolidations'!A305</f>
        <v>I.8</v>
      </c>
      <c r="AI344" s="177">
        <f>'I. Eliminations-Consolidations'!J305</f>
        <v>0</v>
      </c>
      <c r="AJ344" s="269"/>
      <c r="AK344" s="178"/>
      <c r="AL344" s="215"/>
      <c r="AM344" s="215"/>
      <c r="AN344" s="262">
        <f t="shared" si="116"/>
        <v>0</v>
      </c>
      <c r="AO344" s="263">
        <f t="shared" si="117"/>
        <v>0</v>
      </c>
      <c r="AP344" s="184"/>
      <c r="AQ344" s="263"/>
      <c r="AR344" s="184"/>
      <c r="AS344" s="263"/>
      <c r="AT344" s="36"/>
      <c r="AU344" s="36"/>
      <c r="AV344" s="36"/>
      <c r="AW344" s="36"/>
      <c r="AX344" s="36"/>
      <c r="AY344" s="36"/>
      <c r="AZ344" s="36"/>
    </row>
    <row r="345" spans="1:52" x14ac:dyDescent="0.2">
      <c r="A345" s="11"/>
      <c r="B345" s="195"/>
      <c r="C345" s="176"/>
      <c r="D345" s="176"/>
      <c r="E345" s="206"/>
      <c r="F345" s="207"/>
      <c r="G345" s="806"/>
      <c r="H345" s="215"/>
      <c r="I345" s="806"/>
      <c r="J345" s="807"/>
      <c r="K345" s="215"/>
      <c r="L345" s="807"/>
      <c r="M345" s="215"/>
      <c r="N345" s="216"/>
      <c r="O345" s="215"/>
      <c r="P345" s="215"/>
      <c r="Q345" s="806"/>
      <c r="R345" s="807"/>
      <c r="S345" s="215"/>
      <c r="T345" s="216"/>
      <c r="U345" s="184">
        <f t="shared" si="114"/>
        <v>0</v>
      </c>
      <c r="V345" s="184">
        <f t="shared" si="114"/>
        <v>0</v>
      </c>
      <c r="W345" s="262">
        <f t="shared" si="115"/>
        <v>0</v>
      </c>
      <c r="X345" s="263">
        <f t="shared" si="115"/>
        <v>0</v>
      </c>
      <c r="Y345" s="296"/>
      <c r="Z345" s="297"/>
      <c r="AA345" s="268"/>
      <c r="AB345" s="178"/>
      <c r="AC345" s="273" t="str">
        <f>'D.  Capital Asset Disposal'!$D$189</f>
        <v>D.1</v>
      </c>
      <c r="AD345" s="179">
        <f>'D.  Capital Asset Disposal'!M210+'D.  Capital Asset Disposal'!M197</f>
        <v>0</v>
      </c>
      <c r="AE345" s="177"/>
      <c r="AF345" s="269" t="str">
        <f>'H. Other Liabilities &amp; Expenses'!$D$235</f>
        <v>H.1</v>
      </c>
      <c r="AG345" s="177">
        <f>'H. Other Liabilities &amp; Expenses'!N245</f>
        <v>0</v>
      </c>
      <c r="AH345" s="270"/>
      <c r="AI345" s="177"/>
      <c r="AJ345" s="269"/>
      <c r="AK345" s="178"/>
      <c r="AL345" s="215"/>
      <c r="AM345" s="215"/>
      <c r="AN345" s="262">
        <f t="shared" si="116"/>
        <v>0</v>
      </c>
      <c r="AO345" s="263">
        <f t="shared" si="117"/>
        <v>0</v>
      </c>
      <c r="AP345" s="184"/>
      <c r="AQ345" s="263"/>
      <c r="AR345" s="184"/>
      <c r="AS345" s="263"/>
      <c r="AT345" s="36"/>
      <c r="AU345" s="36"/>
      <c r="AV345" s="36"/>
      <c r="AW345" s="36"/>
      <c r="AX345" s="36"/>
      <c r="AY345" s="36"/>
      <c r="AZ345" s="36"/>
    </row>
    <row r="346" spans="1:52" x14ac:dyDescent="0.2">
      <c r="A346" s="11"/>
      <c r="B346" s="195"/>
      <c r="C346" s="176"/>
      <c r="D346" s="176"/>
      <c r="E346" s="206"/>
      <c r="F346" s="207"/>
      <c r="G346" s="806"/>
      <c r="H346" s="215"/>
      <c r="I346" s="806"/>
      <c r="J346" s="807"/>
      <c r="K346" s="215"/>
      <c r="L346" s="807"/>
      <c r="M346" s="215"/>
      <c r="N346" s="216"/>
      <c r="O346" s="215"/>
      <c r="P346" s="215"/>
      <c r="Q346" s="806"/>
      <c r="R346" s="807"/>
      <c r="S346" s="215"/>
      <c r="T346" s="216"/>
      <c r="U346" s="184">
        <f t="shared" si="114"/>
        <v>0</v>
      </c>
      <c r="V346" s="184">
        <f t="shared" si="114"/>
        <v>0</v>
      </c>
      <c r="W346" s="262">
        <f t="shared" si="115"/>
        <v>0</v>
      </c>
      <c r="X346" s="263">
        <f t="shared" si="115"/>
        <v>0</v>
      </c>
      <c r="Y346" s="296"/>
      <c r="Z346" s="297"/>
      <c r="AA346" s="268"/>
      <c r="AB346" s="178"/>
      <c r="AC346" s="269" t="str">
        <f>'H. Other Liabilities &amp; Expenses'!$D$235</f>
        <v>H.1</v>
      </c>
      <c r="AD346" s="177">
        <f>'H. Other Liabilities &amp; Expenses'!L245</f>
        <v>0</v>
      </c>
      <c r="AE346" s="177"/>
      <c r="AF346" s="269" t="str">
        <f>'E. Debt Service'!$D$81</f>
        <v>E.1</v>
      </c>
      <c r="AG346" s="177">
        <f>'E. Debt Service'!N93</f>
        <v>0</v>
      </c>
      <c r="AH346" s="270"/>
      <c r="AI346" s="177"/>
      <c r="AJ346" s="269"/>
      <c r="AK346" s="178"/>
      <c r="AL346" s="215"/>
      <c r="AM346" s="215"/>
      <c r="AN346" s="262">
        <f t="shared" si="116"/>
        <v>0</v>
      </c>
      <c r="AO346" s="263">
        <f t="shared" si="117"/>
        <v>0</v>
      </c>
      <c r="AP346" s="184"/>
      <c r="AQ346" s="263"/>
      <c r="AR346" s="184"/>
      <c r="AS346" s="263"/>
      <c r="AT346" s="36"/>
      <c r="AU346" s="36"/>
      <c r="AV346" s="36"/>
      <c r="AW346" s="36"/>
      <c r="AX346" s="36"/>
      <c r="AY346" s="36"/>
      <c r="AZ346" s="36"/>
    </row>
    <row r="347" spans="1:52" s="478" customFormat="1" x14ac:dyDescent="0.2">
      <c r="A347" s="483"/>
      <c r="B347" s="195"/>
      <c r="C347" s="176"/>
      <c r="D347" s="176"/>
      <c r="E347" s="206"/>
      <c r="F347" s="207"/>
      <c r="G347" s="806"/>
      <c r="H347" s="215"/>
      <c r="I347" s="806"/>
      <c r="J347" s="807"/>
      <c r="K347" s="215"/>
      <c r="L347" s="807"/>
      <c r="M347" s="215"/>
      <c r="N347" s="216"/>
      <c r="O347" s="215"/>
      <c r="P347" s="215"/>
      <c r="Q347" s="806"/>
      <c r="R347" s="807"/>
      <c r="S347" s="215"/>
      <c r="T347" s="216"/>
      <c r="U347" s="184"/>
      <c r="V347" s="184"/>
      <c r="W347" s="262"/>
      <c r="X347" s="263"/>
      <c r="Y347" s="296"/>
      <c r="Z347" s="297"/>
      <c r="AA347" s="268"/>
      <c r="AB347" s="178"/>
      <c r="AC347" s="269" t="s">
        <v>1080</v>
      </c>
      <c r="AD347" s="177">
        <f>'J. GASB 68 TSERS'!C103</f>
        <v>0</v>
      </c>
      <c r="AE347" s="177"/>
      <c r="AF347" s="269" t="s">
        <v>1080</v>
      </c>
      <c r="AG347" s="177">
        <f>'J. GASB 68 TSERS'!D103</f>
        <v>0</v>
      </c>
      <c r="AH347" s="270"/>
      <c r="AI347" s="177"/>
      <c r="AJ347" s="269"/>
      <c r="AK347" s="178"/>
      <c r="AL347" s="215"/>
      <c r="AM347" s="215"/>
      <c r="AN347" s="262">
        <f t="shared" si="116"/>
        <v>0</v>
      </c>
      <c r="AO347" s="263">
        <f t="shared" si="117"/>
        <v>0</v>
      </c>
      <c r="AP347" s="184"/>
      <c r="AQ347" s="263"/>
      <c r="AR347" s="184"/>
      <c r="AS347" s="263"/>
      <c r="AT347" s="36"/>
      <c r="AU347" s="36"/>
      <c r="AV347" s="36"/>
      <c r="AW347" s="36"/>
      <c r="AX347" s="36"/>
      <c r="AY347" s="36"/>
      <c r="AZ347" s="36"/>
    </row>
    <row r="348" spans="1:52" s="613" customFormat="1" x14ac:dyDescent="0.2">
      <c r="A348" s="615"/>
      <c r="B348" s="195"/>
      <c r="C348" s="176"/>
      <c r="D348" s="176"/>
      <c r="E348" s="206"/>
      <c r="F348" s="207"/>
      <c r="G348" s="806"/>
      <c r="H348" s="215"/>
      <c r="I348" s="806"/>
      <c r="J348" s="807"/>
      <c r="K348" s="215"/>
      <c r="L348" s="807"/>
      <c r="M348" s="215"/>
      <c r="N348" s="216"/>
      <c r="O348" s="215"/>
      <c r="P348" s="215"/>
      <c r="Q348" s="806"/>
      <c r="R348" s="807"/>
      <c r="S348" s="215"/>
      <c r="T348" s="216"/>
      <c r="U348" s="184"/>
      <c r="V348" s="184"/>
      <c r="W348" s="262"/>
      <c r="X348" s="263"/>
      <c r="Y348" s="296"/>
      <c r="Z348" s="297"/>
      <c r="AA348" s="268"/>
      <c r="AB348" s="178"/>
      <c r="AC348" s="674" t="s">
        <v>1519</v>
      </c>
      <c r="AD348" s="177">
        <f>'K. GASB 75 RHBF'!C104</f>
        <v>0</v>
      </c>
      <c r="AE348" s="177"/>
      <c r="AF348" s="269" t="s">
        <v>1518</v>
      </c>
      <c r="AG348" s="177">
        <f>'K. GASB 75 RHBF'!D130</f>
        <v>0</v>
      </c>
      <c r="AH348" s="270"/>
      <c r="AI348" s="177"/>
      <c r="AJ348" s="269"/>
      <c r="AK348" s="178"/>
      <c r="AL348" s="215"/>
      <c r="AM348" s="215"/>
      <c r="AN348" s="262">
        <f t="shared" si="116"/>
        <v>0</v>
      </c>
      <c r="AO348" s="263">
        <f t="shared" si="117"/>
        <v>0</v>
      </c>
      <c r="AP348" s="184"/>
      <c r="AQ348" s="263"/>
      <c r="AR348" s="184"/>
      <c r="AS348" s="263"/>
      <c r="AT348" s="36"/>
      <c r="AU348" s="36"/>
      <c r="AV348" s="36"/>
      <c r="AW348" s="36"/>
      <c r="AX348" s="36"/>
      <c r="AY348" s="36"/>
      <c r="AZ348" s="36"/>
    </row>
    <row r="349" spans="1:52" s="751" customFormat="1" x14ac:dyDescent="0.2">
      <c r="A349" s="752"/>
      <c r="B349" s="195"/>
      <c r="C349" s="176"/>
      <c r="D349" s="176"/>
      <c r="E349" s="206"/>
      <c r="F349" s="207"/>
      <c r="G349" s="806"/>
      <c r="H349" s="215"/>
      <c r="I349" s="806"/>
      <c r="J349" s="807"/>
      <c r="K349" s="215"/>
      <c r="L349" s="807"/>
      <c r="M349" s="215"/>
      <c r="N349" s="216"/>
      <c r="O349" s="215"/>
      <c r="P349" s="215"/>
      <c r="Q349" s="806"/>
      <c r="R349" s="807"/>
      <c r="S349" s="215"/>
      <c r="T349" s="216"/>
      <c r="U349" s="184"/>
      <c r="V349" s="184"/>
      <c r="W349" s="262"/>
      <c r="X349" s="263"/>
      <c r="Y349" s="296"/>
      <c r="Z349" s="297"/>
      <c r="AA349" s="268"/>
      <c r="AB349" s="178"/>
      <c r="AC349" s="674" t="s">
        <v>1633</v>
      </c>
      <c r="AD349" s="177">
        <f>'L. GASB 75 DIPNC'!C104</f>
        <v>0</v>
      </c>
      <c r="AE349" s="177"/>
      <c r="AF349" s="269" t="s">
        <v>1633</v>
      </c>
      <c r="AG349" s="177">
        <f>'L. GASB 75 DIPNC'!D130</f>
        <v>0</v>
      </c>
      <c r="AH349" s="270"/>
      <c r="AI349" s="177"/>
      <c r="AJ349" s="269"/>
      <c r="AK349" s="178"/>
      <c r="AL349" s="215"/>
      <c r="AM349" s="215"/>
      <c r="AN349" s="262">
        <f t="shared" ref="AN349" si="118">W349+Y349+AA349+AD349+AI349+AL349</f>
        <v>0</v>
      </c>
      <c r="AO349" s="263">
        <f t="shared" ref="AO349" si="119">X349+Z349+AB349+AG349+AK349+AM349</f>
        <v>0</v>
      </c>
      <c r="AP349" s="184"/>
      <c r="AQ349" s="263"/>
      <c r="AR349" s="184"/>
      <c r="AS349" s="263"/>
      <c r="AT349" s="36"/>
      <c r="AU349" s="36"/>
      <c r="AV349" s="36"/>
      <c r="AW349" s="36"/>
      <c r="AX349" s="36"/>
      <c r="AY349" s="36"/>
      <c r="AZ349" s="36"/>
    </row>
    <row r="350" spans="1:52" ht="3.75" customHeight="1" x14ac:dyDescent="0.2">
      <c r="A350" s="303"/>
      <c r="B350" s="303"/>
      <c r="C350" s="303"/>
      <c r="D350" s="303"/>
      <c r="E350" s="299"/>
      <c r="F350" s="403"/>
      <c r="G350" s="812"/>
      <c r="H350" s="293"/>
      <c r="I350" s="812"/>
      <c r="J350" s="813"/>
      <c r="K350" s="293"/>
      <c r="L350" s="813"/>
      <c r="M350" s="293"/>
      <c r="N350" s="404"/>
      <c r="O350" s="293"/>
      <c r="P350" s="293"/>
      <c r="Q350" s="812"/>
      <c r="R350" s="813"/>
      <c r="S350" s="293"/>
      <c r="T350" s="404"/>
      <c r="U350" s="184"/>
      <c r="V350" s="184"/>
      <c r="W350" s="262"/>
      <c r="X350" s="263"/>
      <c r="Y350" s="292"/>
      <c r="Z350" s="293"/>
      <c r="AA350" s="261"/>
      <c r="AB350" s="134"/>
      <c r="AC350" s="276"/>
      <c r="AE350" s="45"/>
      <c r="AF350" s="257"/>
      <c r="AG350" s="45"/>
      <c r="AH350" s="256"/>
      <c r="AI350" s="45"/>
      <c r="AJ350" s="257"/>
      <c r="AK350" s="134"/>
      <c r="AL350" s="211"/>
      <c r="AM350" s="211"/>
      <c r="AN350" s="262"/>
      <c r="AO350" s="263"/>
      <c r="AP350" s="184"/>
      <c r="AQ350" s="263"/>
      <c r="AR350" s="184"/>
      <c r="AS350" s="263"/>
      <c r="AT350" s="36"/>
      <c r="AU350" s="36"/>
      <c r="AV350" s="36"/>
      <c r="AW350" s="36"/>
      <c r="AX350" s="36"/>
      <c r="AY350" s="36"/>
      <c r="AZ350" s="36"/>
    </row>
    <row r="351" spans="1:52" x14ac:dyDescent="0.2">
      <c r="A351" s="11"/>
      <c r="B351" s="195" t="s">
        <v>504</v>
      </c>
      <c r="C351" s="176"/>
      <c r="D351" s="176"/>
      <c r="E351" s="206"/>
      <c r="F351" s="207"/>
      <c r="G351" s="806"/>
      <c r="H351" s="215"/>
      <c r="I351" s="806"/>
      <c r="J351" s="807"/>
      <c r="K351" s="215"/>
      <c r="L351" s="807"/>
      <c r="M351" s="215"/>
      <c r="N351" s="216"/>
      <c r="O351" s="215"/>
      <c r="P351" s="215"/>
      <c r="Q351" s="806"/>
      <c r="R351" s="807"/>
      <c r="S351" s="215"/>
      <c r="T351" s="216"/>
      <c r="U351" s="184">
        <f t="shared" ref="U351:V354" si="120">O351+Q351+S351</f>
        <v>0</v>
      </c>
      <c r="V351" s="184">
        <f t="shared" si="120"/>
        <v>0</v>
      </c>
      <c r="W351" s="262">
        <f t="shared" ref="W351:X354" si="121">E351+G351+I351+K351+M351+U351</f>
        <v>0</v>
      </c>
      <c r="X351" s="263">
        <f t="shared" si="121"/>
        <v>0</v>
      </c>
      <c r="Y351" s="296"/>
      <c r="Z351" s="297"/>
      <c r="AA351" s="268"/>
      <c r="AB351" s="178"/>
      <c r="AC351" s="269" t="str">
        <f>'B. Depreciation'!$A$54</f>
        <v>B.1</v>
      </c>
      <c r="AD351" s="177">
        <f>'B. Depreciation'!J65</f>
        <v>0</v>
      </c>
      <c r="AE351" s="177"/>
      <c r="AF351" s="269" t="str">
        <f>'C. Capital Outlay &amp; Donations'!$D$100</f>
        <v>C.1</v>
      </c>
      <c r="AG351" s="177">
        <f>'C. Capital Outlay &amp; Donations'!M119</f>
        <v>0</v>
      </c>
      <c r="AH351" s="270" t="str">
        <f>'I. Eliminations-Consolidations'!$A$250</f>
        <v>I.7</v>
      </c>
      <c r="AI351" s="177">
        <f>'I. Eliminations-Consolidations'!J261</f>
        <v>0</v>
      </c>
      <c r="AJ351" s="269"/>
      <c r="AK351" s="178"/>
      <c r="AL351" s="215"/>
      <c r="AM351" s="215"/>
      <c r="AN351" s="262">
        <f t="shared" ref="AN351:AN356" si="122">W351+Y351+AA351+AD351+AI351+AL351</f>
        <v>0</v>
      </c>
      <c r="AO351" s="263">
        <f t="shared" ref="AO351:AO356" si="123">X351+Z351+AB351+AG351+AK351+AM351</f>
        <v>0</v>
      </c>
      <c r="AP351" s="184" t="str">
        <f>IF(SUM(AN351:AN357)-SUM(AO351:AO357)&lt;=0, " ",SUM(AN351:AN357)-SUM(AO351:AO357))</f>
        <v xml:space="preserve"> </v>
      </c>
      <c r="AQ351" s="263" t="str">
        <f>IF(SUM(AN351:AN355)-SUM(AO351:AO355)&gt;=0, " ", SUM(AO351:AO355)-SUM(AN351:AN355))</f>
        <v xml:space="preserve"> </v>
      </c>
      <c r="AR351" s="184"/>
      <c r="AS351" s="263"/>
      <c r="AT351" s="36"/>
      <c r="AU351" s="36"/>
      <c r="AV351" s="36"/>
      <c r="AW351" s="36"/>
      <c r="AX351" s="36"/>
      <c r="AY351" s="36"/>
      <c r="AZ351" s="36"/>
    </row>
    <row r="352" spans="1:52" x14ac:dyDescent="0.2">
      <c r="A352" s="11"/>
      <c r="B352" s="195"/>
      <c r="C352" s="176"/>
      <c r="D352" s="176"/>
      <c r="E352" s="206"/>
      <c r="F352" s="207"/>
      <c r="G352" s="806"/>
      <c r="H352" s="215"/>
      <c r="I352" s="806"/>
      <c r="J352" s="807"/>
      <c r="K352" s="215"/>
      <c r="L352" s="807"/>
      <c r="M352" s="215"/>
      <c r="N352" s="216"/>
      <c r="O352" s="215"/>
      <c r="P352" s="215"/>
      <c r="Q352" s="806"/>
      <c r="R352" s="807"/>
      <c r="S352" s="215"/>
      <c r="T352" s="216"/>
      <c r="U352" s="184">
        <f t="shared" si="120"/>
        <v>0</v>
      </c>
      <c r="V352" s="184">
        <f t="shared" si="120"/>
        <v>0</v>
      </c>
      <c r="W352" s="262">
        <f t="shared" si="121"/>
        <v>0</v>
      </c>
      <c r="X352" s="263">
        <f t="shared" si="121"/>
        <v>0</v>
      </c>
      <c r="Y352" s="296"/>
      <c r="Z352" s="297"/>
      <c r="AA352" s="268"/>
      <c r="AB352" s="178"/>
      <c r="AC352" s="269" t="str">
        <f>'C. Capital Outlay &amp; Donations'!$D$130</f>
        <v>C.2</v>
      </c>
      <c r="AD352" s="179">
        <f>'C. Capital Outlay &amp; Donations'!K143</f>
        <v>0</v>
      </c>
      <c r="AE352" s="177"/>
      <c r="AF352" s="275" t="str">
        <f>'G.  Other Asset Entries'!$B$90</f>
        <v>G.1</v>
      </c>
      <c r="AG352" s="177">
        <f>'G.  Other Asset Entries'!N105</f>
        <v>0</v>
      </c>
      <c r="AH352" s="270"/>
      <c r="AI352" s="177"/>
      <c r="AJ352" s="269"/>
      <c r="AK352" s="178"/>
      <c r="AL352" s="215"/>
      <c r="AM352" s="215"/>
      <c r="AN352" s="262">
        <f t="shared" si="122"/>
        <v>0</v>
      </c>
      <c r="AO352" s="263">
        <f t="shared" si="123"/>
        <v>0</v>
      </c>
      <c r="AP352" s="184"/>
      <c r="AQ352" s="263"/>
      <c r="AR352" s="184"/>
      <c r="AS352" s="263"/>
      <c r="AT352" s="36"/>
      <c r="AU352" s="36"/>
      <c r="AV352" s="36"/>
      <c r="AW352" s="36"/>
      <c r="AX352" s="36"/>
      <c r="AY352" s="36"/>
      <c r="AZ352" s="36"/>
    </row>
    <row r="353" spans="1:52" x14ac:dyDescent="0.2">
      <c r="A353" s="11"/>
      <c r="B353" s="195"/>
      <c r="C353" s="176"/>
      <c r="D353" s="176"/>
      <c r="E353" s="206"/>
      <c r="F353" s="207"/>
      <c r="G353" s="806"/>
      <c r="H353" s="215"/>
      <c r="I353" s="806"/>
      <c r="J353" s="807"/>
      <c r="K353" s="215"/>
      <c r="L353" s="807"/>
      <c r="M353" s="215"/>
      <c r="N353" s="216"/>
      <c r="O353" s="215"/>
      <c r="P353" s="215"/>
      <c r="Q353" s="806"/>
      <c r="R353" s="807"/>
      <c r="S353" s="215"/>
      <c r="T353" s="216"/>
      <c r="U353" s="184">
        <f t="shared" si="120"/>
        <v>0</v>
      </c>
      <c r="V353" s="184">
        <f t="shared" si="120"/>
        <v>0</v>
      </c>
      <c r="W353" s="262">
        <f t="shared" si="121"/>
        <v>0</v>
      </c>
      <c r="X353" s="263">
        <f t="shared" si="121"/>
        <v>0</v>
      </c>
      <c r="Y353" s="296"/>
      <c r="Z353" s="297"/>
      <c r="AA353" s="268"/>
      <c r="AB353" s="178"/>
      <c r="AC353" s="273" t="str">
        <f>'D.  Capital Asset Disposal'!$D$189</f>
        <v>D.1</v>
      </c>
      <c r="AD353" s="179">
        <f>'D.  Capital Asset Disposal'!M211</f>
        <v>0</v>
      </c>
      <c r="AE353" s="177"/>
      <c r="AF353" s="269" t="str">
        <f>'H. Other Liabilities &amp; Expenses'!$D$235</f>
        <v>H.1</v>
      </c>
      <c r="AG353" s="177">
        <f>'H. Other Liabilities &amp; Expenses'!N246</f>
        <v>0</v>
      </c>
      <c r="AH353" s="270"/>
      <c r="AI353" s="177"/>
      <c r="AJ353" s="269"/>
      <c r="AK353" s="178"/>
      <c r="AL353" s="215"/>
      <c r="AM353" s="215"/>
      <c r="AN353" s="262">
        <f t="shared" si="122"/>
        <v>0</v>
      </c>
      <c r="AO353" s="263">
        <f t="shared" si="123"/>
        <v>0</v>
      </c>
      <c r="AP353" s="184"/>
      <c r="AQ353" s="263"/>
      <c r="AR353" s="184"/>
      <c r="AS353" s="263"/>
      <c r="AT353" s="36"/>
      <c r="AU353" s="36"/>
      <c r="AV353" s="36"/>
      <c r="AW353" s="36"/>
      <c r="AX353" s="36"/>
      <c r="AY353" s="36"/>
      <c r="AZ353" s="36"/>
    </row>
    <row r="354" spans="1:52" x14ac:dyDescent="0.2">
      <c r="A354" s="11"/>
      <c r="B354" s="195"/>
      <c r="C354" s="176"/>
      <c r="D354" s="176"/>
      <c r="E354" s="206"/>
      <c r="F354" s="207"/>
      <c r="G354" s="806"/>
      <c r="H354" s="215"/>
      <c r="I354" s="806"/>
      <c r="J354" s="807"/>
      <c r="K354" s="215"/>
      <c r="L354" s="807"/>
      <c r="M354" s="215"/>
      <c r="N354" s="216"/>
      <c r="O354" s="215"/>
      <c r="P354" s="215"/>
      <c r="Q354" s="806"/>
      <c r="R354" s="807"/>
      <c r="S354" s="215"/>
      <c r="T354" s="216"/>
      <c r="U354" s="184">
        <f t="shared" si="120"/>
        <v>0</v>
      </c>
      <c r="V354" s="184">
        <f t="shared" si="120"/>
        <v>0</v>
      </c>
      <c r="W354" s="262">
        <f t="shared" si="121"/>
        <v>0</v>
      </c>
      <c r="X354" s="263">
        <f t="shared" si="121"/>
        <v>0</v>
      </c>
      <c r="Y354" s="296"/>
      <c r="Z354" s="297"/>
      <c r="AA354" s="268"/>
      <c r="AB354" s="178"/>
      <c r="AC354" s="269" t="str">
        <f>'H. Other Liabilities &amp; Expenses'!$D$235</f>
        <v>H.1</v>
      </c>
      <c r="AD354" s="177">
        <f>'H. Other Liabilities &amp; Expenses'!L246</f>
        <v>0</v>
      </c>
      <c r="AE354" s="177"/>
      <c r="AF354" s="269" t="str">
        <f>'E. Debt Service'!$D$81</f>
        <v>E.1</v>
      </c>
      <c r="AG354" s="177">
        <f>'E. Debt Service'!N94</f>
        <v>0</v>
      </c>
      <c r="AH354" s="270"/>
      <c r="AI354" s="177"/>
      <c r="AJ354" s="269"/>
      <c r="AK354" s="178"/>
      <c r="AL354" s="215"/>
      <c r="AM354" s="215"/>
      <c r="AN354" s="262">
        <f t="shared" si="122"/>
        <v>0</v>
      </c>
      <c r="AO354" s="263">
        <f t="shared" si="123"/>
        <v>0</v>
      </c>
      <c r="AP354" s="184"/>
      <c r="AQ354" s="263"/>
      <c r="AR354" s="184"/>
      <c r="AS354" s="263"/>
      <c r="AT354" s="36"/>
      <c r="AU354" s="36"/>
      <c r="AV354" s="36"/>
      <c r="AW354" s="36"/>
      <c r="AX354" s="36"/>
      <c r="AY354" s="36"/>
      <c r="AZ354" s="36"/>
    </row>
    <row r="355" spans="1:52" s="478" customFormat="1" x14ac:dyDescent="0.2">
      <c r="A355" s="483"/>
      <c r="B355" s="195"/>
      <c r="C355" s="176"/>
      <c r="D355" s="176"/>
      <c r="E355" s="206"/>
      <c r="F355" s="207"/>
      <c r="G355" s="806"/>
      <c r="H355" s="215"/>
      <c r="I355" s="806"/>
      <c r="J355" s="807"/>
      <c r="K355" s="215"/>
      <c r="L355" s="807"/>
      <c r="M355" s="215"/>
      <c r="N355" s="216"/>
      <c r="O355" s="215"/>
      <c r="P355" s="215"/>
      <c r="Q355" s="806"/>
      <c r="R355" s="807"/>
      <c r="S355" s="215"/>
      <c r="T355" s="216"/>
      <c r="U355" s="184"/>
      <c r="V355" s="184"/>
      <c r="W355" s="262"/>
      <c r="X355" s="263"/>
      <c r="Y355" s="296"/>
      <c r="Z355" s="297"/>
      <c r="AA355" s="268"/>
      <c r="AB355" s="178"/>
      <c r="AC355" s="269" t="s">
        <v>1080</v>
      </c>
      <c r="AD355" s="177">
        <f>'J. GASB 68 TSERS'!C104</f>
        <v>0</v>
      </c>
      <c r="AE355" s="177"/>
      <c r="AF355" s="269" t="s">
        <v>1080</v>
      </c>
      <c r="AG355" s="177">
        <f>'J. GASB 68 TSERS'!D104</f>
        <v>0</v>
      </c>
      <c r="AH355" s="270"/>
      <c r="AI355" s="177"/>
      <c r="AJ355" s="269"/>
      <c r="AK355" s="178"/>
      <c r="AL355" s="215"/>
      <c r="AM355" s="215"/>
      <c r="AN355" s="262">
        <f t="shared" si="122"/>
        <v>0</v>
      </c>
      <c r="AO355" s="263">
        <f t="shared" si="123"/>
        <v>0</v>
      </c>
      <c r="AP355" s="184"/>
      <c r="AQ355" s="263"/>
      <c r="AR355" s="184"/>
      <c r="AS355" s="263"/>
      <c r="AT355" s="36"/>
      <c r="AU355" s="36"/>
      <c r="AV355" s="36"/>
      <c r="AW355" s="36"/>
      <c r="AX355" s="36"/>
      <c r="AY355" s="36"/>
      <c r="AZ355" s="36"/>
    </row>
    <row r="356" spans="1:52" s="613" customFormat="1" x14ac:dyDescent="0.2">
      <c r="A356" s="615"/>
      <c r="B356" s="195"/>
      <c r="C356" s="176"/>
      <c r="D356" s="176"/>
      <c r="E356" s="206"/>
      <c r="F356" s="207"/>
      <c r="G356" s="806"/>
      <c r="H356" s="215"/>
      <c r="I356" s="806"/>
      <c r="J356" s="807"/>
      <c r="K356" s="215"/>
      <c r="L356" s="807"/>
      <c r="M356" s="215"/>
      <c r="N356" s="216"/>
      <c r="O356" s="215"/>
      <c r="P356" s="215"/>
      <c r="Q356" s="806"/>
      <c r="R356" s="807"/>
      <c r="S356" s="215"/>
      <c r="T356" s="216"/>
      <c r="U356" s="184"/>
      <c r="V356" s="184"/>
      <c r="W356" s="262"/>
      <c r="X356" s="263"/>
      <c r="Y356" s="296"/>
      <c r="Z356" s="297"/>
      <c r="AA356" s="268"/>
      <c r="AB356" s="178"/>
      <c r="AC356" s="269" t="s">
        <v>1518</v>
      </c>
      <c r="AD356" s="177">
        <f>'K. GASB 75 RHBF'!C105</f>
        <v>0</v>
      </c>
      <c r="AE356" s="177"/>
      <c r="AF356" s="269" t="s">
        <v>1518</v>
      </c>
      <c r="AG356" s="177">
        <f>'K. GASB 75 RHBF'!D131</f>
        <v>0</v>
      </c>
      <c r="AH356" s="270"/>
      <c r="AI356" s="177"/>
      <c r="AJ356" s="269"/>
      <c r="AK356" s="178"/>
      <c r="AL356" s="215"/>
      <c r="AM356" s="215"/>
      <c r="AN356" s="262">
        <f t="shared" si="122"/>
        <v>0</v>
      </c>
      <c r="AO356" s="263">
        <f t="shared" si="123"/>
        <v>0</v>
      </c>
      <c r="AP356" s="184"/>
      <c r="AQ356" s="263"/>
      <c r="AR356" s="184"/>
      <c r="AS356" s="263"/>
      <c r="AT356" s="36"/>
      <c r="AU356" s="36"/>
      <c r="AV356" s="36"/>
      <c r="AW356" s="36"/>
      <c r="AX356" s="36"/>
      <c r="AY356" s="36"/>
      <c r="AZ356" s="36"/>
    </row>
    <row r="357" spans="1:52" s="751" customFormat="1" x14ac:dyDescent="0.2">
      <c r="A357" s="752"/>
      <c r="B357" s="195"/>
      <c r="C357" s="176"/>
      <c r="D357" s="176"/>
      <c r="E357" s="206"/>
      <c r="F357" s="207"/>
      <c r="G357" s="806"/>
      <c r="H357" s="215"/>
      <c r="I357" s="806"/>
      <c r="J357" s="807"/>
      <c r="K357" s="215"/>
      <c r="L357" s="807"/>
      <c r="M357" s="215"/>
      <c r="N357" s="216"/>
      <c r="O357" s="215"/>
      <c r="P357" s="215"/>
      <c r="Q357" s="806"/>
      <c r="R357" s="807"/>
      <c r="S357" s="215"/>
      <c r="T357" s="216"/>
      <c r="U357" s="184"/>
      <c r="V357" s="184"/>
      <c r="W357" s="262"/>
      <c r="X357" s="263"/>
      <c r="Y357" s="296"/>
      <c r="Z357" s="297"/>
      <c r="AA357" s="268"/>
      <c r="AB357" s="178"/>
      <c r="AC357" s="674" t="s">
        <v>1633</v>
      </c>
      <c r="AD357" s="177">
        <f>'L. GASB 75 DIPNC'!C105</f>
        <v>0</v>
      </c>
      <c r="AE357" s="177"/>
      <c r="AF357" s="269" t="s">
        <v>1633</v>
      </c>
      <c r="AG357" s="177">
        <f>'L. GASB 75 DIPNC'!D131</f>
        <v>0</v>
      </c>
      <c r="AH357" s="270"/>
      <c r="AI357" s="177"/>
      <c r="AJ357" s="269"/>
      <c r="AK357" s="178"/>
      <c r="AL357" s="215"/>
      <c r="AM357" s="215"/>
      <c r="AN357" s="262">
        <f t="shared" ref="AN357" si="124">W357+Y357+AA357+AD357+AI357+AL357</f>
        <v>0</v>
      </c>
      <c r="AO357" s="263">
        <f t="shared" ref="AO357" si="125">X357+Z357+AB357+AG357+AK357+AM357</f>
        <v>0</v>
      </c>
      <c r="AP357" s="184"/>
      <c r="AQ357" s="263"/>
      <c r="AR357" s="184"/>
      <c r="AS357" s="263"/>
      <c r="AT357" s="36"/>
      <c r="AU357" s="36"/>
      <c r="AV357" s="36"/>
      <c r="AW357" s="36"/>
      <c r="AX357" s="36"/>
      <c r="AY357" s="36"/>
      <c r="AZ357" s="36"/>
    </row>
    <row r="358" spans="1:52" ht="5.25" customHeight="1" x14ac:dyDescent="0.2">
      <c r="A358" s="303"/>
      <c r="B358" s="303"/>
      <c r="C358" s="303"/>
      <c r="D358" s="303"/>
      <c r="E358" s="299"/>
      <c r="F358" s="403"/>
      <c r="G358" s="812"/>
      <c r="H358" s="293"/>
      <c r="I358" s="812"/>
      <c r="J358" s="813"/>
      <c r="K358" s="293"/>
      <c r="L358" s="813"/>
      <c r="M358" s="293"/>
      <c r="N358" s="404"/>
      <c r="O358" s="293"/>
      <c r="P358" s="293"/>
      <c r="Q358" s="812"/>
      <c r="R358" s="813"/>
      <c r="S358" s="293"/>
      <c r="T358" s="404"/>
      <c r="U358" s="184"/>
      <c r="V358" s="184"/>
      <c r="W358" s="262"/>
      <c r="X358" s="263"/>
      <c r="Y358" s="292"/>
      <c r="Z358" s="293"/>
      <c r="AA358" s="261"/>
      <c r="AB358" s="134"/>
      <c r="AC358" s="276"/>
      <c r="AE358" s="45"/>
      <c r="AF358" s="257"/>
      <c r="AG358" s="45"/>
      <c r="AH358" s="256"/>
      <c r="AI358" s="45"/>
      <c r="AJ358" s="257"/>
      <c r="AK358" s="134"/>
      <c r="AL358" s="211"/>
      <c r="AM358" s="211"/>
      <c r="AN358" s="262"/>
      <c r="AO358" s="263"/>
      <c r="AP358" s="184"/>
      <c r="AQ358" s="263"/>
      <c r="AR358" s="184"/>
      <c r="AS358" s="263"/>
      <c r="AT358" s="36"/>
      <c r="AU358" s="36"/>
      <c r="AV358" s="36"/>
      <c r="AW358" s="36"/>
      <c r="AX358" s="36"/>
      <c r="AY358" s="36"/>
      <c r="AZ358" s="36"/>
    </row>
    <row r="359" spans="1:52" x14ac:dyDescent="0.2">
      <c r="A359" s="11"/>
      <c r="B359" s="195" t="s">
        <v>506</v>
      </c>
      <c r="C359" s="176"/>
      <c r="D359" s="176"/>
      <c r="E359" s="206"/>
      <c r="F359" s="207"/>
      <c r="G359" s="806"/>
      <c r="H359" s="215"/>
      <c r="I359" s="806"/>
      <c r="J359" s="807"/>
      <c r="K359" s="215"/>
      <c r="L359" s="807"/>
      <c r="M359" s="215"/>
      <c r="N359" s="216"/>
      <c r="O359" s="215"/>
      <c r="P359" s="215"/>
      <c r="Q359" s="806"/>
      <c r="R359" s="807"/>
      <c r="S359" s="215"/>
      <c r="T359" s="216"/>
      <c r="U359" s="184">
        <f t="shared" ref="U359:V362" si="126">O359+Q359+S359</f>
        <v>0</v>
      </c>
      <c r="V359" s="184">
        <f t="shared" si="126"/>
        <v>0</v>
      </c>
      <c r="W359" s="262">
        <f t="shared" ref="W359:X362" si="127">E359+G359+I359+K359+M359+U359</f>
        <v>0</v>
      </c>
      <c r="X359" s="263">
        <f t="shared" si="127"/>
        <v>0</v>
      </c>
      <c r="Y359" s="296"/>
      <c r="Z359" s="297"/>
      <c r="AA359" s="268"/>
      <c r="AB359" s="178"/>
      <c r="AC359" s="269" t="str">
        <f>'B. Depreciation'!$A$54</f>
        <v>B.1</v>
      </c>
      <c r="AD359" s="177">
        <f>'B. Depreciation'!J66</f>
        <v>0</v>
      </c>
      <c r="AE359" s="177"/>
      <c r="AF359" s="269" t="str">
        <f>'C. Capital Outlay &amp; Donations'!$D$100</f>
        <v>C.1</v>
      </c>
      <c r="AG359" s="177">
        <f>'C. Capital Outlay &amp; Donations'!M120</f>
        <v>0</v>
      </c>
      <c r="AH359" s="270" t="str">
        <f>'I. Eliminations-Consolidations'!$A$250</f>
        <v>I.7</v>
      </c>
      <c r="AI359" s="177">
        <f>'I. Eliminations-Consolidations'!J262</f>
        <v>0</v>
      </c>
      <c r="AJ359" s="269"/>
      <c r="AK359" s="178"/>
      <c r="AL359" s="215"/>
      <c r="AM359" s="215"/>
      <c r="AN359" s="262">
        <f t="shared" ref="AN359:AN364" si="128">W359+Y359+AA359+AD359+AI359+AL359</f>
        <v>0</v>
      </c>
      <c r="AO359" s="263">
        <f t="shared" ref="AO359:AO364" si="129">X359+Z359+AB359+AG359+AK359+AM359</f>
        <v>0</v>
      </c>
      <c r="AP359" s="184" t="str">
        <f>IF(SUM(AN359:AN365)-SUM(AO359:AO365)&lt;=0, " ",SUM(AN359:AN365)-SUM(AO359:AO365))</f>
        <v xml:space="preserve"> </v>
      </c>
      <c r="AQ359" s="263" t="str">
        <f>IF(SUM(AN359:AN363)-SUM(AO359:AO363)&gt;=0, " ", SUM(AO359:AO363)-SUM(AN359:AN363))</f>
        <v xml:space="preserve"> </v>
      </c>
      <c r="AR359" s="184"/>
      <c r="AS359" s="263"/>
      <c r="AT359" s="36"/>
      <c r="AU359" s="36"/>
      <c r="AV359" s="36"/>
      <c r="AW359" s="36"/>
      <c r="AX359" s="36"/>
      <c r="AY359" s="36"/>
      <c r="AZ359" s="36"/>
    </row>
    <row r="360" spans="1:52" x14ac:dyDescent="0.2">
      <c r="A360" s="11"/>
      <c r="B360" s="195"/>
      <c r="C360" s="176"/>
      <c r="D360" s="176"/>
      <c r="E360" s="206"/>
      <c r="F360" s="207"/>
      <c r="G360" s="806"/>
      <c r="H360" s="215"/>
      <c r="I360" s="806"/>
      <c r="J360" s="807"/>
      <c r="K360" s="215"/>
      <c r="L360" s="807"/>
      <c r="M360" s="215"/>
      <c r="N360" s="216"/>
      <c r="O360" s="215"/>
      <c r="P360" s="215"/>
      <c r="Q360" s="806"/>
      <c r="R360" s="807"/>
      <c r="S360" s="215"/>
      <c r="T360" s="216"/>
      <c r="U360" s="184">
        <f t="shared" si="126"/>
        <v>0</v>
      </c>
      <c r="V360" s="184">
        <f t="shared" si="126"/>
        <v>0</v>
      </c>
      <c r="W360" s="262">
        <f t="shared" si="127"/>
        <v>0</v>
      </c>
      <c r="X360" s="263">
        <f t="shared" si="127"/>
        <v>0</v>
      </c>
      <c r="Y360" s="296"/>
      <c r="Z360" s="297"/>
      <c r="AA360" s="268"/>
      <c r="AB360" s="178"/>
      <c r="AC360" s="269" t="str">
        <f>'C. Capital Outlay &amp; Donations'!$D$130</f>
        <v>C.2</v>
      </c>
      <c r="AD360" s="179">
        <f>'C. Capital Outlay &amp; Donations'!K144</f>
        <v>0</v>
      </c>
      <c r="AE360" s="177"/>
      <c r="AF360" s="275" t="str">
        <f>'G.  Other Asset Entries'!$B$90</f>
        <v>G.1</v>
      </c>
      <c r="AG360" s="177">
        <f>'G.  Other Asset Entries'!N106</f>
        <v>0</v>
      </c>
      <c r="AH360" s="270"/>
      <c r="AI360" s="177"/>
      <c r="AJ360" s="269"/>
      <c r="AK360" s="178"/>
      <c r="AL360" s="215"/>
      <c r="AM360" s="215"/>
      <c r="AN360" s="262">
        <f t="shared" si="128"/>
        <v>0</v>
      </c>
      <c r="AO360" s="263">
        <f t="shared" si="129"/>
        <v>0</v>
      </c>
      <c r="AP360" s="184"/>
      <c r="AQ360" s="263"/>
      <c r="AR360" s="184"/>
      <c r="AS360" s="263"/>
      <c r="AT360" s="36"/>
      <c r="AU360" s="36"/>
      <c r="AV360" s="36"/>
      <c r="AW360" s="36"/>
      <c r="AX360" s="36"/>
      <c r="AY360" s="36"/>
      <c r="AZ360" s="36"/>
    </row>
    <row r="361" spans="1:52" x14ac:dyDescent="0.2">
      <c r="A361" s="11"/>
      <c r="B361" s="195"/>
      <c r="C361" s="176"/>
      <c r="D361" s="176"/>
      <c r="E361" s="206"/>
      <c r="F361" s="207"/>
      <c r="G361" s="806"/>
      <c r="H361" s="215"/>
      <c r="I361" s="806"/>
      <c r="J361" s="807"/>
      <c r="K361" s="215"/>
      <c r="L361" s="807"/>
      <c r="M361" s="215"/>
      <c r="N361" s="216"/>
      <c r="O361" s="215"/>
      <c r="P361" s="215"/>
      <c r="Q361" s="806"/>
      <c r="R361" s="807"/>
      <c r="S361" s="215"/>
      <c r="T361" s="216"/>
      <c r="U361" s="184">
        <f t="shared" si="126"/>
        <v>0</v>
      </c>
      <c r="V361" s="184">
        <f t="shared" si="126"/>
        <v>0</v>
      </c>
      <c r="W361" s="262">
        <f t="shared" si="127"/>
        <v>0</v>
      </c>
      <c r="X361" s="263">
        <f t="shared" si="127"/>
        <v>0</v>
      </c>
      <c r="Y361" s="296"/>
      <c r="Z361" s="297"/>
      <c r="AA361" s="268"/>
      <c r="AB361" s="178"/>
      <c r="AC361" s="273" t="str">
        <f>'D.  Capital Asset Disposal'!$D$189</f>
        <v>D.1</v>
      </c>
      <c r="AD361" s="179">
        <f>'D.  Capital Asset Disposal'!M212</f>
        <v>0</v>
      </c>
      <c r="AE361" s="177"/>
      <c r="AF361" s="269" t="str">
        <f>'H. Other Liabilities &amp; Expenses'!$D$235</f>
        <v>H.1</v>
      </c>
      <c r="AG361" s="177">
        <f>'H. Other Liabilities &amp; Expenses'!N247</f>
        <v>0</v>
      </c>
      <c r="AH361" s="270"/>
      <c r="AI361" s="177"/>
      <c r="AJ361" s="269"/>
      <c r="AK361" s="178"/>
      <c r="AL361" s="215"/>
      <c r="AM361" s="215"/>
      <c r="AN361" s="262">
        <f t="shared" si="128"/>
        <v>0</v>
      </c>
      <c r="AO361" s="263">
        <f t="shared" si="129"/>
        <v>0</v>
      </c>
      <c r="AP361" s="184"/>
      <c r="AQ361" s="263"/>
      <c r="AR361" s="184"/>
      <c r="AS361" s="263"/>
      <c r="AT361" s="36"/>
      <c r="AU361" s="36"/>
      <c r="AV361" s="36"/>
      <c r="AW361" s="36"/>
      <c r="AX361" s="36"/>
      <c r="AY361" s="36"/>
      <c r="AZ361" s="36"/>
    </row>
    <row r="362" spans="1:52" x14ac:dyDescent="0.2">
      <c r="A362" s="11"/>
      <c r="B362" s="195"/>
      <c r="C362" s="176"/>
      <c r="D362" s="176"/>
      <c r="E362" s="206"/>
      <c r="F362" s="207"/>
      <c r="G362" s="806"/>
      <c r="H362" s="215"/>
      <c r="I362" s="806"/>
      <c r="J362" s="807"/>
      <c r="K362" s="215"/>
      <c r="L362" s="807"/>
      <c r="M362" s="215"/>
      <c r="N362" s="216"/>
      <c r="O362" s="215"/>
      <c r="P362" s="215"/>
      <c r="Q362" s="806"/>
      <c r="R362" s="807"/>
      <c r="S362" s="215"/>
      <c r="T362" s="216"/>
      <c r="U362" s="184">
        <f t="shared" si="126"/>
        <v>0</v>
      </c>
      <c r="V362" s="184">
        <f t="shared" si="126"/>
        <v>0</v>
      </c>
      <c r="W362" s="262">
        <f t="shared" si="127"/>
        <v>0</v>
      </c>
      <c r="X362" s="263">
        <f t="shared" si="127"/>
        <v>0</v>
      </c>
      <c r="Y362" s="296"/>
      <c r="Z362" s="297"/>
      <c r="AA362" s="268"/>
      <c r="AB362" s="178"/>
      <c r="AC362" s="269" t="str">
        <f>'H. Other Liabilities &amp; Expenses'!$D$235</f>
        <v>H.1</v>
      </c>
      <c r="AD362" s="177">
        <f>'H. Other Liabilities &amp; Expenses'!L247</f>
        <v>0</v>
      </c>
      <c r="AE362" s="177"/>
      <c r="AF362" s="269" t="str">
        <f>'E. Debt Service'!$D$81</f>
        <v>E.1</v>
      </c>
      <c r="AG362" s="177">
        <f>'E. Debt Service'!N95</f>
        <v>0</v>
      </c>
      <c r="AH362" s="270"/>
      <c r="AI362" s="177"/>
      <c r="AJ362" s="269"/>
      <c r="AK362" s="178"/>
      <c r="AL362" s="215"/>
      <c r="AM362" s="215"/>
      <c r="AN362" s="262">
        <f t="shared" si="128"/>
        <v>0</v>
      </c>
      <c r="AO362" s="263">
        <f t="shared" si="129"/>
        <v>0</v>
      </c>
      <c r="AP362" s="184"/>
      <c r="AQ362" s="263"/>
      <c r="AR362" s="184"/>
      <c r="AS362" s="263"/>
      <c r="AT362" s="36"/>
      <c r="AU362" s="36"/>
      <c r="AV362" s="36"/>
      <c r="AW362" s="36"/>
      <c r="AX362" s="36"/>
      <c r="AY362" s="36"/>
      <c r="AZ362" s="36"/>
    </row>
    <row r="363" spans="1:52" s="478" customFormat="1" x14ac:dyDescent="0.2">
      <c r="A363" s="483"/>
      <c r="B363" s="195"/>
      <c r="C363" s="176"/>
      <c r="D363" s="176"/>
      <c r="E363" s="206"/>
      <c r="F363" s="207"/>
      <c r="G363" s="806"/>
      <c r="H363" s="215"/>
      <c r="I363" s="806"/>
      <c r="J363" s="807"/>
      <c r="K363" s="215"/>
      <c r="L363" s="807"/>
      <c r="M363" s="215"/>
      <c r="N363" s="216"/>
      <c r="O363" s="215"/>
      <c r="P363" s="215"/>
      <c r="Q363" s="806"/>
      <c r="R363" s="807"/>
      <c r="S363" s="215"/>
      <c r="T363" s="216"/>
      <c r="U363" s="184"/>
      <c r="V363" s="184"/>
      <c r="W363" s="262"/>
      <c r="X363" s="263"/>
      <c r="Y363" s="296"/>
      <c r="Z363" s="297"/>
      <c r="AA363" s="268"/>
      <c r="AB363" s="178"/>
      <c r="AC363" s="269" t="s">
        <v>1080</v>
      </c>
      <c r="AD363" s="177">
        <f>'J. GASB 68 TSERS'!C105</f>
        <v>0</v>
      </c>
      <c r="AE363" s="177"/>
      <c r="AF363" s="269" t="s">
        <v>1080</v>
      </c>
      <c r="AG363" s="177">
        <f>'J. GASB 68 TSERS'!D105</f>
        <v>0</v>
      </c>
      <c r="AH363" s="270"/>
      <c r="AI363" s="177"/>
      <c r="AJ363" s="269"/>
      <c r="AK363" s="178"/>
      <c r="AL363" s="215"/>
      <c r="AM363" s="215"/>
      <c r="AN363" s="262">
        <f t="shared" si="128"/>
        <v>0</v>
      </c>
      <c r="AO363" s="263">
        <f t="shared" si="129"/>
        <v>0</v>
      </c>
      <c r="AP363" s="184"/>
      <c r="AQ363" s="263"/>
      <c r="AR363" s="184"/>
      <c r="AS363" s="263"/>
      <c r="AT363" s="36"/>
      <c r="AU363" s="36"/>
      <c r="AV363" s="36"/>
      <c r="AW363" s="36"/>
      <c r="AX363" s="36"/>
      <c r="AY363" s="36"/>
      <c r="AZ363" s="36"/>
    </row>
    <row r="364" spans="1:52" s="613" customFormat="1" x14ac:dyDescent="0.2">
      <c r="A364" s="615"/>
      <c r="B364" s="195"/>
      <c r="C364" s="176"/>
      <c r="D364" s="176"/>
      <c r="E364" s="206"/>
      <c r="F364" s="207"/>
      <c r="G364" s="806"/>
      <c r="H364" s="215"/>
      <c r="I364" s="806"/>
      <c r="J364" s="807"/>
      <c r="K364" s="215"/>
      <c r="L364" s="807"/>
      <c r="M364" s="215"/>
      <c r="N364" s="216"/>
      <c r="O364" s="215"/>
      <c r="P364" s="215"/>
      <c r="Q364" s="806"/>
      <c r="R364" s="807"/>
      <c r="S364" s="215"/>
      <c r="T364" s="216"/>
      <c r="U364" s="184"/>
      <c r="V364" s="184"/>
      <c r="W364" s="262"/>
      <c r="X364" s="263"/>
      <c r="Y364" s="296"/>
      <c r="Z364" s="297"/>
      <c r="AA364" s="268"/>
      <c r="AB364" s="178"/>
      <c r="AC364" s="674" t="s">
        <v>1519</v>
      </c>
      <c r="AD364" s="177">
        <f>'K. GASB 75 RHBF'!C106</f>
        <v>0</v>
      </c>
      <c r="AE364" s="177"/>
      <c r="AF364" s="269" t="s">
        <v>1518</v>
      </c>
      <c r="AG364" s="177">
        <f>'K. GASB 75 RHBF'!D132</f>
        <v>0</v>
      </c>
      <c r="AH364" s="270"/>
      <c r="AI364" s="177"/>
      <c r="AJ364" s="269"/>
      <c r="AK364" s="178"/>
      <c r="AL364" s="215"/>
      <c r="AM364" s="215"/>
      <c r="AN364" s="262">
        <f t="shared" si="128"/>
        <v>0</v>
      </c>
      <c r="AO364" s="263">
        <f t="shared" si="129"/>
        <v>0</v>
      </c>
      <c r="AP364" s="184"/>
      <c r="AQ364" s="263"/>
      <c r="AR364" s="184"/>
      <c r="AS364" s="263"/>
      <c r="AT364" s="36"/>
      <c r="AU364" s="36"/>
      <c r="AV364" s="36"/>
      <c r="AW364" s="36"/>
      <c r="AX364" s="36"/>
      <c r="AY364" s="36"/>
      <c r="AZ364" s="36"/>
    </row>
    <row r="365" spans="1:52" s="751" customFormat="1" x14ac:dyDescent="0.2">
      <c r="A365" s="752"/>
      <c r="B365" s="195"/>
      <c r="C365" s="176"/>
      <c r="D365" s="176"/>
      <c r="E365" s="206"/>
      <c r="F365" s="207"/>
      <c r="G365" s="806"/>
      <c r="H365" s="215"/>
      <c r="I365" s="806"/>
      <c r="J365" s="807"/>
      <c r="K365" s="215"/>
      <c r="L365" s="807"/>
      <c r="M365" s="215"/>
      <c r="N365" s="216"/>
      <c r="O365" s="215"/>
      <c r="P365" s="215"/>
      <c r="Q365" s="806"/>
      <c r="R365" s="807"/>
      <c r="S365" s="215"/>
      <c r="T365" s="216"/>
      <c r="U365" s="184"/>
      <c r="V365" s="184"/>
      <c r="W365" s="262"/>
      <c r="X365" s="263"/>
      <c r="Y365" s="296"/>
      <c r="Z365" s="297"/>
      <c r="AA365" s="268"/>
      <c r="AB365" s="178"/>
      <c r="AC365" s="674" t="s">
        <v>1633</v>
      </c>
      <c r="AD365" s="177">
        <f>'L. GASB 75 DIPNC'!C106</f>
        <v>0</v>
      </c>
      <c r="AE365" s="177"/>
      <c r="AF365" s="269" t="s">
        <v>1633</v>
      </c>
      <c r="AG365" s="177">
        <f>'L. GASB 75 DIPNC'!D132</f>
        <v>0</v>
      </c>
      <c r="AH365" s="270"/>
      <c r="AI365" s="177"/>
      <c r="AJ365" s="269"/>
      <c r="AK365" s="178"/>
      <c r="AL365" s="215"/>
      <c r="AM365" s="215"/>
      <c r="AN365" s="262">
        <f t="shared" ref="AN365" si="130">W365+Y365+AA365+AD365+AI365+AL365</f>
        <v>0</v>
      </c>
      <c r="AO365" s="263">
        <f t="shared" ref="AO365" si="131">X365+Z365+AB365+AG365+AK365+AM365</f>
        <v>0</v>
      </c>
      <c r="AP365" s="184"/>
      <c r="AQ365" s="263"/>
      <c r="AR365" s="184"/>
      <c r="AS365" s="263"/>
      <c r="AT365" s="36"/>
      <c r="AU365" s="36"/>
      <c r="AV365" s="36"/>
      <c r="AW365" s="36"/>
      <c r="AX365" s="36"/>
      <c r="AY365" s="36"/>
      <c r="AZ365" s="36"/>
    </row>
    <row r="366" spans="1:52" ht="4.5" customHeight="1" x14ac:dyDescent="0.2">
      <c r="A366" s="303"/>
      <c r="B366" s="303"/>
      <c r="C366" s="303"/>
      <c r="D366" s="303"/>
      <c r="E366" s="299"/>
      <c r="F366" s="403"/>
      <c r="G366" s="812"/>
      <c r="H366" s="293"/>
      <c r="I366" s="812"/>
      <c r="J366" s="813"/>
      <c r="K366" s="293"/>
      <c r="L366" s="813"/>
      <c r="M366" s="293"/>
      <c r="N366" s="404"/>
      <c r="O366" s="293"/>
      <c r="P366" s="293"/>
      <c r="Q366" s="812"/>
      <c r="R366" s="813"/>
      <c r="S366" s="293"/>
      <c r="T366" s="404"/>
      <c r="U366" s="184"/>
      <c r="V366" s="184"/>
      <c r="W366" s="262"/>
      <c r="X366" s="263"/>
      <c r="Y366" s="292"/>
      <c r="Z366" s="293"/>
      <c r="AA366" s="261"/>
      <c r="AB366" s="134"/>
      <c r="AC366" s="276"/>
      <c r="AE366" s="45"/>
      <c r="AF366" s="257"/>
      <c r="AG366" s="45"/>
      <c r="AH366" s="256"/>
      <c r="AI366" s="45"/>
      <c r="AJ366" s="257"/>
      <c r="AK366" s="134"/>
      <c r="AL366" s="211"/>
      <c r="AM366" s="211"/>
      <c r="AN366" s="262"/>
      <c r="AO366" s="263"/>
      <c r="AP366" s="184"/>
      <c r="AQ366" s="263"/>
      <c r="AR366" s="184"/>
      <c r="AS366" s="263"/>
      <c r="AT366" s="36"/>
      <c r="AU366" s="36"/>
      <c r="AV366" s="36"/>
      <c r="AW366" s="36"/>
      <c r="AX366" s="36"/>
      <c r="AY366" s="36"/>
      <c r="AZ366" s="36"/>
    </row>
    <row r="367" spans="1:52" x14ac:dyDescent="0.2">
      <c r="A367" s="11"/>
      <c r="B367" s="195" t="s">
        <v>510</v>
      </c>
      <c r="C367" s="176"/>
      <c r="D367" s="176"/>
      <c r="E367" s="206"/>
      <c r="F367" s="207"/>
      <c r="G367" s="806"/>
      <c r="H367" s="215"/>
      <c r="I367" s="806"/>
      <c r="J367" s="807"/>
      <c r="K367" s="215"/>
      <c r="L367" s="807"/>
      <c r="M367" s="215"/>
      <c r="N367" s="216"/>
      <c r="O367" s="215"/>
      <c r="P367" s="215"/>
      <c r="Q367" s="806"/>
      <c r="R367" s="807"/>
      <c r="S367" s="215"/>
      <c r="T367" s="216"/>
      <c r="U367" s="184">
        <f t="shared" ref="U367:V370" si="132">O367+Q367+S367</f>
        <v>0</v>
      </c>
      <c r="V367" s="184">
        <f t="shared" si="132"/>
        <v>0</v>
      </c>
      <c r="W367" s="262">
        <f t="shared" ref="W367:X370" si="133">E367+G367+I367+K367+M367+U367</f>
        <v>0</v>
      </c>
      <c r="X367" s="263">
        <f t="shared" si="133"/>
        <v>0</v>
      </c>
      <c r="Y367" s="296"/>
      <c r="Z367" s="297"/>
      <c r="AA367" s="268"/>
      <c r="AB367" s="178"/>
      <c r="AC367" s="269" t="str">
        <f>'B. Depreciation'!$A$54</f>
        <v>B.1</v>
      </c>
      <c r="AD367" s="177">
        <f>'B. Depreciation'!J67</f>
        <v>0</v>
      </c>
      <c r="AE367" s="177"/>
      <c r="AF367" s="269" t="str">
        <f>'C. Capital Outlay &amp; Donations'!$D$100</f>
        <v>C.1</v>
      </c>
      <c r="AG367" s="177">
        <f>'C. Capital Outlay &amp; Donations'!M121</f>
        <v>0</v>
      </c>
      <c r="AH367" s="270" t="str">
        <f>'I. Eliminations-Consolidations'!$A$250</f>
        <v>I.7</v>
      </c>
      <c r="AI367" s="177">
        <f>'I. Eliminations-Consolidations'!J263</f>
        <v>0</v>
      </c>
      <c r="AJ367" s="269"/>
      <c r="AK367" s="178"/>
      <c r="AL367" s="215"/>
      <c r="AM367" s="215"/>
      <c r="AN367" s="262">
        <f t="shared" ref="AN367:AN372" si="134">W367+Y367+AA367+AD367+AI367+AL367</f>
        <v>0</v>
      </c>
      <c r="AO367" s="263">
        <f t="shared" ref="AO367:AO372" si="135">X367+Z367+AB367+AG367+AK367+AM367</f>
        <v>0</v>
      </c>
      <c r="AP367" s="184" t="str">
        <f>IF(SUM(AN367:AN373)-SUM(AO367:AO373)&lt;=0, " ",SUM(AN367:AN373)-SUM(AO367:AO373))</f>
        <v xml:space="preserve"> </v>
      </c>
      <c r="AQ367" s="263" t="str">
        <f>IF(SUM(AN367:AN371)-SUM(AO367:AO371)&gt;=0, " ", SUM(AO367:AO371)-SUM(AN367:AN371))</f>
        <v xml:space="preserve"> </v>
      </c>
      <c r="AR367" s="184"/>
      <c r="AS367" s="263"/>
      <c r="AT367" s="36"/>
      <c r="AU367" s="36"/>
      <c r="AV367" s="36"/>
      <c r="AW367" s="36"/>
      <c r="AX367" s="36"/>
      <c r="AY367" s="36"/>
      <c r="AZ367" s="36"/>
    </row>
    <row r="368" spans="1:52" x14ac:dyDescent="0.2">
      <c r="A368" s="11"/>
      <c r="B368" s="195"/>
      <c r="C368" s="176"/>
      <c r="D368" s="176"/>
      <c r="E368" s="206"/>
      <c r="F368" s="207"/>
      <c r="G368" s="806"/>
      <c r="H368" s="215"/>
      <c r="I368" s="806"/>
      <c r="J368" s="807"/>
      <c r="K368" s="215"/>
      <c r="L368" s="807"/>
      <c r="M368" s="215"/>
      <c r="N368" s="216"/>
      <c r="O368" s="215"/>
      <c r="P368" s="215"/>
      <c r="Q368" s="806"/>
      <c r="R368" s="807"/>
      <c r="S368" s="215"/>
      <c r="T368" s="216"/>
      <c r="U368" s="184">
        <f t="shared" si="132"/>
        <v>0</v>
      </c>
      <c r="V368" s="184">
        <f t="shared" si="132"/>
        <v>0</v>
      </c>
      <c r="W368" s="262">
        <f t="shared" si="133"/>
        <v>0</v>
      </c>
      <c r="X368" s="263">
        <f t="shared" si="133"/>
        <v>0</v>
      </c>
      <c r="Y368" s="296"/>
      <c r="Z368" s="297"/>
      <c r="AA368" s="268"/>
      <c r="AB368" s="178"/>
      <c r="AC368" s="269" t="str">
        <f>'C. Capital Outlay &amp; Donations'!$D$130</f>
        <v>C.2</v>
      </c>
      <c r="AD368" s="179">
        <f>'C. Capital Outlay &amp; Donations'!K145</f>
        <v>0</v>
      </c>
      <c r="AE368" s="177"/>
      <c r="AF368" s="275" t="str">
        <f>'G.  Other Asset Entries'!$B$90</f>
        <v>G.1</v>
      </c>
      <c r="AG368" s="177">
        <f>'G.  Other Asset Entries'!N107</f>
        <v>0</v>
      </c>
      <c r="AH368" s="270"/>
      <c r="AI368" s="177"/>
      <c r="AJ368" s="269"/>
      <c r="AK368" s="178"/>
      <c r="AL368" s="215"/>
      <c r="AM368" s="215"/>
      <c r="AN368" s="262">
        <f t="shared" si="134"/>
        <v>0</v>
      </c>
      <c r="AO368" s="263">
        <f t="shared" si="135"/>
        <v>0</v>
      </c>
      <c r="AP368" s="184"/>
      <c r="AQ368" s="263"/>
      <c r="AR368" s="184"/>
      <c r="AS368" s="263"/>
      <c r="AT368" s="36"/>
      <c r="AU368" s="36"/>
      <c r="AV368" s="36"/>
      <c r="AW368" s="36"/>
      <c r="AX368" s="36"/>
      <c r="AY368" s="36"/>
      <c r="AZ368" s="36"/>
    </row>
    <row r="369" spans="1:52" x14ac:dyDescent="0.2">
      <c r="A369" s="11"/>
      <c r="B369" s="195"/>
      <c r="C369" s="176"/>
      <c r="D369" s="176"/>
      <c r="E369" s="206"/>
      <c r="F369" s="207"/>
      <c r="G369" s="806"/>
      <c r="H369" s="215"/>
      <c r="I369" s="806"/>
      <c r="J369" s="807"/>
      <c r="K369" s="215"/>
      <c r="L369" s="807"/>
      <c r="M369" s="215"/>
      <c r="N369" s="216"/>
      <c r="O369" s="215"/>
      <c r="P369" s="215"/>
      <c r="Q369" s="806"/>
      <c r="R369" s="807"/>
      <c r="S369" s="215"/>
      <c r="T369" s="216"/>
      <c r="U369" s="184">
        <f t="shared" si="132"/>
        <v>0</v>
      </c>
      <c r="V369" s="184">
        <f t="shared" si="132"/>
        <v>0</v>
      </c>
      <c r="W369" s="262">
        <f t="shared" si="133"/>
        <v>0</v>
      </c>
      <c r="X369" s="263">
        <f t="shared" si="133"/>
        <v>0</v>
      </c>
      <c r="Y369" s="296"/>
      <c r="Z369" s="297"/>
      <c r="AA369" s="268"/>
      <c r="AB369" s="178"/>
      <c r="AC369" s="273" t="str">
        <f>'D.  Capital Asset Disposal'!$D$189</f>
        <v>D.1</v>
      </c>
      <c r="AD369" s="179">
        <f>'D.  Capital Asset Disposal'!M213</f>
        <v>0</v>
      </c>
      <c r="AE369" s="177"/>
      <c r="AF369" s="269" t="str">
        <f>'H. Other Liabilities &amp; Expenses'!$D$235</f>
        <v>H.1</v>
      </c>
      <c r="AG369" s="177">
        <f>'H. Other Liabilities &amp; Expenses'!N248</f>
        <v>0</v>
      </c>
      <c r="AH369" s="270"/>
      <c r="AI369" s="177"/>
      <c r="AJ369" s="269"/>
      <c r="AK369" s="178"/>
      <c r="AL369" s="215"/>
      <c r="AM369" s="215"/>
      <c r="AN369" s="262">
        <f t="shared" si="134"/>
        <v>0</v>
      </c>
      <c r="AO369" s="263">
        <f t="shared" si="135"/>
        <v>0</v>
      </c>
      <c r="AP369" s="184"/>
      <c r="AQ369" s="263"/>
      <c r="AR369" s="184"/>
      <c r="AS369" s="263"/>
      <c r="AT369" s="36"/>
      <c r="AU369" s="36"/>
      <c r="AV369" s="36"/>
      <c r="AW369" s="36"/>
      <c r="AX369" s="36"/>
      <c r="AY369" s="36"/>
      <c r="AZ369" s="36"/>
    </row>
    <row r="370" spans="1:52" x14ac:dyDescent="0.2">
      <c r="A370" s="11"/>
      <c r="B370" s="195"/>
      <c r="C370" s="176"/>
      <c r="D370" s="176"/>
      <c r="E370" s="206"/>
      <c r="F370" s="207"/>
      <c r="G370" s="806"/>
      <c r="H370" s="215"/>
      <c r="I370" s="806"/>
      <c r="J370" s="807"/>
      <c r="K370" s="215"/>
      <c r="L370" s="807"/>
      <c r="M370" s="215"/>
      <c r="N370" s="216"/>
      <c r="O370" s="215"/>
      <c r="P370" s="215"/>
      <c r="Q370" s="806"/>
      <c r="R370" s="807"/>
      <c r="S370" s="215"/>
      <c r="T370" s="216"/>
      <c r="U370" s="184">
        <f t="shared" si="132"/>
        <v>0</v>
      </c>
      <c r="V370" s="184">
        <f t="shared" si="132"/>
        <v>0</v>
      </c>
      <c r="W370" s="262">
        <f t="shared" si="133"/>
        <v>0</v>
      </c>
      <c r="X370" s="263">
        <f t="shared" si="133"/>
        <v>0</v>
      </c>
      <c r="Y370" s="296"/>
      <c r="Z370" s="297"/>
      <c r="AA370" s="268"/>
      <c r="AB370" s="178"/>
      <c r="AC370" s="269" t="str">
        <f>'H. Other Liabilities &amp; Expenses'!$D$235</f>
        <v>H.1</v>
      </c>
      <c r="AD370" s="177">
        <f>'H. Other Liabilities &amp; Expenses'!L248</f>
        <v>0</v>
      </c>
      <c r="AE370" s="177"/>
      <c r="AF370" s="269" t="str">
        <f>'E. Debt Service'!$D$81</f>
        <v>E.1</v>
      </c>
      <c r="AG370" s="177">
        <f>'E. Debt Service'!N96</f>
        <v>0</v>
      </c>
      <c r="AH370" s="270"/>
      <c r="AI370" s="177"/>
      <c r="AJ370" s="269"/>
      <c r="AK370" s="178"/>
      <c r="AL370" s="215"/>
      <c r="AM370" s="215"/>
      <c r="AN370" s="262">
        <f t="shared" si="134"/>
        <v>0</v>
      </c>
      <c r="AO370" s="263">
        <f t="shared" si="135"/>
        <v>0</v>
      </c>
      <c r="AP370" s="184"/>
      <c r="AQ370" s="263"/>
      <c r="AR370" s="184"/>
      <c r="AS370" s="263"/>
      <c r="AT370" s="36"/>
      <c r="AU370" s="36"/>
      <c r="AV370" s="36"/>
      <c r="AW370" s="36"/>
      <c r="AX370" s="36"/>
      <c r="AY370" s="36"/>
      <c r="AZ370" s="36"/>
    </row>
    <row r="371" spans="1:52" s="478" customFormat="1" x14ac:dyDescent="0.2">
      <c r="A371" s="483"/>
      <c r="B371" s="195"/>
      <c r="C371" s="176"/>
      <c r="D371" s="176"/>
      <c r="E371" s="206"/>
      <c r="F371" s="207"/>
      <c r="G371" s="806"/>
      <c r="H371" s="215"/>
      <c r="I371" s="806"/>
      <c r="J371" s="807"/>
      <c r="K371" s="215"/>
      <c r="L371" s="807"/>
      <c r="M371" s="215"/>
      <c r="N371" s="216"/>
      <c r="O371" s="215"/>
      <c r="P371" s="215"/>
      <c r="Q371" s="806"/>
      <c r="R371" s="807"/>
      <c r="S371" s="215"/>
      <c r="T371" s="216"/>
      <c r="U371" s="184"/>
      <c r="V371" s="184"/>
      <c r="W371" s="262"/>
      <c r="X371" s="263"/>
      <c r="Y371" s="296"/>
      <c r="Z371" s="297"/>
      <c r="AA371" s="268"/>
      <c r="AB371" s="178"/>
      <c r="AC371" s="269" t="s">
        <v>1080</v>
      </c>
      <c r="AD371" s="177">
        <f>'J. GASB 68 TSERS'!C106</f>
        <v>0</v>
      </c>
      <c r="AE371" s="177"/>
      <c r="AF371" s="269" t="s">
        <v>1080</v>
      </c>
      <c r="AG371" s="177">
        <f>'J. GASB 68 TSERS'!D106</f>
        <v>0</v>
      </c>
      <c r="AH371" s="270"/>
      <c r="AI371" s="177"/>
      <c r="AJ371" s="269"/>
      <c r="AK371" s="178"/>
      <c r="AL371" s="215"/>
      <c r="AM371" s="215"/>
      <c r="AN371" s="262">
        <f t="shared" si="134"/>
        <v>0</v>
      </c>
      <c r="AO371" s="263">
        <f t="shared" si="135"/>
        <v>0</v>
      </c>
      <c r="AP371" s="184"/>
      <c r="AQ371" s="263"/>
      <c r="AR371" s="184"/>
      <c r="AS371" s="263"/>
      <c r="AT371" s="36"/>
      <c r="AU371" s="36"/>
      <c r="AV371" s="36"/>
      <c r="AW371" s="36"/>
      <c r="AX371" s="36"/>
      <c r="AY371" s="36"/>
      <c r="AZ371" s="36"/>
    </row>
    <row r="372" spans="1:52" s="613" customFormat="1" x14ac:dyDescent="0.2">
      <c r="A372" s="615"/>
      <c r="B372" s="195"/>
      <c r="C372" s="176"/>
      <c r="D372" s="176"/>
      <c r="E372" s="206"/>
      <c r="F372" s="207"/>
      <c r="G372" s="806"/>
      <c r="H372" s="215"/>
      <c r="I372" s="806"/>
      <c r="J372" s="807"/>
      <c r="K372" s="215"/>
      <c r="L372" s="807"/>
      <c r="M372" s="215"/>
      <c r="N372" s="216"/>
      <c r="O372" s="215"/>
      <c r="P372" s="215"/>
      <c r="Q372" s="806"/>
      <c r="R372" s="807"/>
      <c r="S372" s="215"/>
      <c r="T372" s="216"/>
      <c r="U372" s="184"/>
      <c r="V372" s="184"/>
      <c r="W372" s="262"/>
      <c r="X372" s="263"/>
      <c r="Y372" s="296"/>
      <c r="Z372" s="297"/>
      <c r="AA372" s="268"/>
      <c r="AB372" s="178"/>
      <c r="AC372" s="674" t="s">
        <v>1519</v>
      </c>
      <c r="AD372" s="177">
        <f>'K. GASB 75 RHBF'!C107</f>
        <v>0</v>
      </c>
      <c r="AE372" s="177"/>
      <c r="AF372" s="269" t="s">
        <v>1518</v>
      </c>
      <c r="AG372" s="177">
        <f>'K. GASB 75 RHBF'!D133</f>
        <v>0</v>
      </c>
      <c r="AH372" s="270"/>
      <c r="AI372" s="177"/>
      <c r="AJ372" s="269"/>
      <c r="AK372" s="178"/>
      <c r="AL372" s="215"/>
      <c r="AM372" s="215"/>
      <c r="AN372" s="262">
        <f t="shared" si="134"/>
        <v>0</v>
      </c>
      <c r="AO372" s="263">
        <f t="shared" si="135"/>
        <v>0</v>
      </c>
      <c r="AP372" s="184"/>
      <c r="AQ372" s="263"/>
      <c r="AR372" s="184"/>
      <c r="AS372" s="263"/>
      <c r="AT372" s="36"/>
      <c r="AU372" s="36"/>
      <c r="AV372" s="36"/>
      <c r="AW372" s="36"/>
      <c r="AX372" s="36"/>
      <c r="AY372" s="36"/>
      <c r="AZ372" s="36"/>
    </row>
    <row r="373" spans="1:52" s="751" customFormat="1" x14ac:dyDescent="0.2">
      <c r="A373" s="752"/>
      <c r="B373" s="195"/>
      <c r="C373" s="176"/>
      <c r="D373" s="176"/>
      <c r="E373" s="206"/>
      <c r="F373" s="207"/>
      <c r="G373" s="806"/>
      <c r="H373" s="215"/>
      <c r="I373" s="806"/>
      <c r="J373" s="807"/>
      <c r="K373" s="215"/>
      <c r="L373" s="807"/>
      <c r="M373" s="215"/>
      <c r="N373" s="216"/>
      <c r="O373" s="215"/>
      <c r="P373" s="215"/>
      <c r="Q373" s="806"/>
      <c r="R373" s="807"/>
      <c r="S373" s="215"/>
      <c r="T373" s="216"/>
      <c r="U373" s="184"/>
      <c r="V373" s="184"/>
      <c r="W373" s="262"/>
      <c r="X373" s="263"/>
      <c r="Y373" s="296"/>
      <c r="Z373" s="297"/>
      <c r="AA373" s="268"/>
      <c r="AB373" s="178"/>
      <c r="AC373" s="674" t="s">
        <v>1633</v>
      </c>
      <c r="AD373" s="177">
        <f>'L. GASB 75 DIPNC'!C107</f>
        <v>0</v>
      </c>
      <c r="AE373" s="177"/>
      <c r="AF373" s="269" t="s">
        <v>1633</v>
      </c>
      <c r="AG373" s="177">
        <f>'L. GASB 75 DIPNC'!D133</f>
        <v>0</v>
      </c>
      <c r="AH373" s="270"/>
      <c r="AI373" s="177"/>
      <c r="AJ373" s="269"/>
      <c r="AK373" s="178"/>
      <c r="AL373" s="215"/>
      <c r="AM373" s="215"/>
      <c r="AN373" s="262">
        <f t="shared" ref="AN373" si="136">W373+Y373+AA373+AD373+AI373+AL373</f>
        <v>0</v>
      </c>
      <c r="AO373" s="263">
        <f t="shared" ref="AO373" si="137">X373+Z373+AB373+AG373+AK373+AM373</f>
        <v>0</v>
      </c>
      <c r="AP373" s="184"/>
      <c r="AQ373" s="263"/>
      <c r="AR373" s="184"/>
      <c r="AS373" s="263"/>
      <c r="AT373" s="36"/>
      <c r="AU373" s="36"/>
      <c r="AV373" s="36"/>
      <c r="AW373" s="36"/>
      <c r="AX373" s="36"/>
      <c r="AY373" s="36"/>
      <c r="AZ373" s="36"/>
    </row>
    <row r="374" spans="1:52" ht="3.75" customHeight="1" x14ac:dyDescent="0.2">
      <c r="A374" s="311"/>
      <c r="B374" s="303"/>
      <c r="C374" s="303"/>
      <c r="D374" s="303"/>
      <c r="E374" s="299"/>
      <c r="F374" s="403"/>
      <c r="G374" s="812"/>
      <c r="H374" s="293"/>
      <c r="I374" s="812"/>
      <c r="J374" s="813"/>
      <c r="K374" s="293"/>
      <c r="L374" s="813"/>
      <c r="M374" s="293"/>
      <c r="N374" s="404"/>
      <c r="O374" s="293"/>
      <c r="P374" s="293"/>
      <c r="Q374" s="812"/>
      <c r="R374" s="813"/>
      <c r="S374" s="293"/>
      <c r="T374" s="404"/>
      <c r="U374" s="184"/>
      <c r="V374" s="184"/>
      <c r="W374" s="262"/>
      <c r="X374" s="263"/>
      <c r="Y374" s="292"/>
      <c r="Z374" s="293"/>
      <c r="AA374" s="261"/>
      <c r="AB374" s="134"/>
      <c r="AC374" s="276"/>
      <c r="AE374" s="45"/>
      <c r="AF374" s="257"/>
      <c r="AG374" s="45"/>
      <c r="AH374" s="256"/>
      <c r="AI374" s="45"/>
      <c r="AJ374" s="257"/>
      <c r="AK374" s="134"/>
      <c r="AL374" s="211"/>
      <c r="AM374" s="211"/>
      <c r="AN374" s="262"/>
      <c r="AO374" s="263"/>
      <c r="AP374" s="184"/>
      <c r="AQ374" s="263"/>
      <c r="AR374" s="184"/>
      <c r="AS374" s="263"/>
      <c r="AT374" s="36"/>
      <c r="AU374" s="36"/>
      <c r="AV374" s="36"/>
      <c r="AW374" s="36"/>
      <c r="AX374" s="36"/>
      <c r="AY374" s="36"/>
      <c r="AZ374" s="36"/>
    </row>
    <row r="375" spans="1:52" x14ac:dyDescent="0.2">
      <c r="A375" s="11"/>
      <c r="B375" s="195" t="s">
        <v>505</v>
      </c>
      <c r="C375" s="176"/>
      <c r="D375" s="176"/>
      <c r="E375" s="206"/>
      <c r="F375" s="207"/>
      <c r="G375" s="806"/>
      <c r="H375" s="215"/>
      <c r="I375" s="806"/>
      <c r="J375" s="807"/>
      <c r="K375" s="215"/>
      <c r="L375" s="807"/>
      <c r="M375" s="215"/>
      <c r="N375" s="216"/>
      <c r="O375" s="215"/>
      <c r="P375" s="215"/>
      <c r="Q375" s="806"/>
      <c r="R375" s="807"/>
      <c r="S375" s="215"/>
      <c r="T375" s="216"/>
      <c r="U375" s="184">
        <f t="shared" ref="U375:V378" si="138">O375+Q375+S375</f>
        <v>0</v>
      </c>
      <c r="V375" s="184">
        <f t="shared" si="138"/>
        <v>0</v>
      </c>
      <c r="W375" s="262">
        <f t="shared" ref="W375:X378" si="139">E375+G375+I375+K375+M375+U375</f>
        <v>0</v>
      </c>
      <c r="X375" s="263">
        <f t="shared" si="139"/>
        <v>0</v>
      </c>
      <c r="Y375" s="296"/>
      <c r="Z375" s="297"/>
      <c r="AA375" s="268"/>
      <c r="AB375" s="178"/>
      <c r="AC375" s="269" t="str">
        <f>'B. Depreciation'!A54</f>
        <v>B.1</v>
      </c>
      <c r="AD375" s="177">
        <f>'B. Depreciation'!J68</f>
        <v>0</v>
      </c>
      <c r="AE375" s="177"/>
      <c r="AF375" s="269" t="str">
        <f>'C. Capital Outlay &amp; Donations'!$D$100</f>
        <v>C.1</v>
      </c>
      <c r="AG375" s="177">
        <f>'C. Capital Outlay &amp; Donations'!M122</f>
        <v>0</v>
      </c>
      <c r="AH375" s="270" t="str">
        <f>'I. Eliminations-Consolidations'!A250</f>
        <v>I.7</v>
      </c>
      <c r="AI375" s="177">
        <f>'I. Eliminations-Consolidations'!J264</f>
        <v>0</v>
      </c>
      <c r="AJ375" s="269"/>
      <c r="AK375" s="178"/>
      <c r="AL375" s="215"/>
      <c r="AM375" s="215"/>
      <c r="AN375" s="262">
        <f t="shared" ref="AN375:AN380" si="140">W375+Y375+AA375+AD375+AI375+AL375</f>
        <v>0</v>
      </c>
      <c r="AO375" s="263">
        <f t="shared" ref="AO375:AO380" si="141">X375+Z375+AB375+AG375+AK375+AM375</f>
        <v>0</v>
      </c>
      <c r="AP375" s="184" t="str">
        <f>IF(SUM(AN375:AN381)-SUM(AO375:AO381)&lt;=0, " ",SUM(AN375:AN381)-SUM(AO375:AO381))</f>
        <v xml:space="preserve"> </v>
      </c>
      <c r="AQ375" s="263" t="str">
        <f>IF(SUM(AN375:AN379)-SUM(AO375:AO379)&gt;=0, " ", SUM(AO375:AO379)-SUM(AN375:AN379))</f>
        <v xml:space="preserve"> </v>
      </c>
      <c r="AR375" s="184"/>
      <c r="AS375" s="263"/>
      <c r="AT375" s="36"/>
      <c r="AU375" s="36"/>
      <c r="AV375" s="36"/>
      <c r="AW375" s="36"/>
      <c r="AX375" s="36"/>
      <c r="AY375" s="36"/>
      <c r="AZ375" s="36"/>
    </row>
    <row r="376" spans="1:52" x14ac:dyDescent="0.2">
      <c r="A376" s="11"/>
      <c r="B376" s="195"/>
      <c r="C376" s="176"/>
      <c r="D376" s="176"/>
      <c r="E376" s="206"/>
      <c r="F376" s="207"/>
      <c r="G376" s="806"/>
      <c r="H376" s="215"/>
      <c r="I376" s="806"/>
      <c r="J376" s="807"/>
      <c r="K376" s="215"/>
      <c r="L376" s="807"/>
      <c r="M376" s="215"/>
      <c r="N376" s="216"/>
      <c r="O376" s="215"/>
      <c r="P376" s="215"/>
      <c r="Q376" s="806"/>
      <c r="R376" s="807"/>
      <c r="S376" s="215"/>
      <c r="T376" s="216"/>
      <c r="U376" s="184">
        <f t="shared" si="138"/>
        <v>0</v>
      </c>
      <c r="V376" s="184">
        <f t="shared" si="138"/>
        <v>0</v>
      </c>
      <c r="W376" s="262">
        <f t="shared" si="139"/>
        <v>0</v>
      </c>
      <c r="X376" s="263">
        <f t="shared" si="139"/>
        <v>0</v>
      </c>
      <c r="Y376" s="296"/>
      <c r="Z376" s="297"/>
      <c r="AA376" s="268"/>
      <c r="AB376" s="178"/>
      <c r="AC376" s="269" t="str">
        <f>'H. Other Liabilities &amp; Expenses'!D235</f>
        <v>H.1</v>
      </c>
      <c r="AD376" s="177">
        <f>'H. Other Liabilities &amp; Expenses'!L249</f>
        <v>0</v>
      </c>
      <c r="AE376" s="177"/>
      <c r="AF376" s="275" t="str">
        <f>'G.  Other Asset Entries'!$B$90</f>
        <v>G.1</v>
      </c>
      <c r="AG376" s="177">
        <f>'G.  Other Asset Entries'!N108</f>
        <v>0</v>
      </c>
      <c r="AH376" s="270"/>
      <c r="AI376" s="177"/>
      <c r="AJ376" s="269"/>
      <c r="AK376" s="178"/>
      <c r="AL376" s="215"/>
      <c r="AM376" s="215"/>
      <c r="AN376" s="262">
        <f t="shared" si="140"/>
        <v>0</v>
      </c>
      <c r="AO376" s="263">
        <f t="shared" si="141"/>
        <v>0</v>
      </c>
      <c r="AP376" s="184"/>
      <c r="AQ376" s="263"/>
      <c r="AR376" s="184"/>
      <c r="AS376" s="263"/>
      <c r="AT376" s="36"/>
      <c r="AU376" s="36"/>
      <c r="AV376" s="36"/>
      <c r="AW376" s="36"/>
      <c r="AX376" s="36"/>
      <c r="AY376" s="36"/>
      <c r="AZ376" s="36"/>
    </row>
    <row r="377" spans="1:52" x14ac:dyDescent="0.2">
      <c r="A377" s="11"/>
      <c r="B377" s="195"/>
      <c r="C377" s="176"/>
      <c r="D377" s="176"/>
      <c r="E377" s="206"/>
      <c r="F377" s="207"/>
      <c r="G377" s="806"/>
      <c r="H377" s="215"/>
      <c r="I377" s="806"/>
      <c r="J377" s="807"/>
      <c r="K377" s="215"/>
      <c r="L377" s="807"/>
      <c r="M377" s="215"/>
      <c r="N377" s="216"/>
      <c r="O377" s="215"/>
      <c r="P377" s="215"/>
      <c r="Q377" s="806"/>
      <c r="R377" s="807"/>
      <c r="S377" s="215"/>
      <c r="T377" s="216"/>
      <c r="U377" s="184">
        <f t="shared" si="138"/>
        <v>0</v>
      </c>
      <c r="V377" s="184">
        <f t="shared" si="138"/>
        <v>0</v>
      </c>
      <c r="W377" s="262">
        <f t="shared" si="139"/>
        <v>0</v>
      </c>
      <c r="X377" s="263">
        <f t="shared" si="139"/>
        <v>0</v>
      </c>
      <c r="Y377" s="296"/>
      <c r="Z377" s="297"/>
      <c r="AA377" s="268"/>
      <c r="AB377" s="178"/>
      <c r="AC377" s="269" t="str">
        <f>'C. Capital Outlay &amp; Donations'!D130</f>
        <v>C.2</v>
      </c>
      <c r="AD377" s="179">
        <f>'C. Capital Outlay &amp; Donations'!K146</f>
        <v>0</v>
      </c>
      <c r="AE377" s="177"/>
      <c r="AF377" s="269" t="str">
        <f>'H. Other Liabilities &amp; Expenses'!$D$235</f>
        <v>H.1</v>
      </c>
      <c r="AG377" s="177">
        <f>'H. Other Liabilities &amp; Expenses'!N249</f>
        <v>0</v>
      </c>
      <c r="AH377" s="270"/>
      <c r="AI377" s="177"/>
      <c r="AJ377" s="269"/>
      <c r="AK377" s="178"/>
      <c r="AL377" s="215"/>
      <c r="AM377" s="215"/>
      <c r="AN377" s="262">
        <f t="shared" si="140"/>
        <v>0</v>
      </c>
      <c r="AO377" s="263">
        <f t="shared" si="141"/>
        <v>0</v>
      </c>
      <c r="AP377" s="184"/>
      <c r="AQ377" s="263"/>
      <c r="AR377" s="184"/>
      <c r="AS377" s="263"/>
      <c r="AT377" s="36"/>
      <c r="AU377" s="36"/>
      <c r="AV377" s="36"/>
      <c r="AW377" s="36"/>
      <c r="AX377" s="36"/>
      <c r="AY377" s="36"/>
      <c r="AZ377" s="36"/>
    </row>
    <row r="378" spans="1:52" x14ac:dyDescent="0.2">
      <c r="A378" s="11"/>
      <c r="B378" s="195"/>
      <c r="C378" s="176"/>
      <c r="D378" s="176"/>
      <c r="E378" s="206"/>
      <c r="F378" s="207"/>
      <c r="G378" s="806"/>
      <c r="H378" s="215"/>
      <c r="I378" s="806"/>
      <c r="J378" s="807"/>
      <c r="K378" s="215"/>
      <c r="L378" s="807"/>
      <c r="M378" s="215"/>
      <c r="N378" s="216"/>
      <c r="O378" s="215"/>
      <c r="P378" s="215"/>
      <c r="Q378" s="806"/>
      <c r="R378" s="807"/>
      <c r="S378" s="215"/>
      <c r="T378" s="216"/>
      <c r="U378" s="184">
        <f t="shared" si="138"/>
        <v>0</v>
      </c>
      <c r="V378" s="184">
        <f t="shared" si="138"/>
        <v>0</v>
      </c>
      <c r="W378" s="262">
        <f t="shared" si="139"/>
        <v>0</v>
      </c>
      <c r="X378" s="263">
        <f t="shared" si="139"/>
        <v>0</v>
      </c>
      <c r="Y378" s="296"/>
      <c r="Z378" s="297"/>
      <c r="AA378" s="268"/>
      <c r="AB378" s="178"/>
      <c r="AC378" s="269" t="s">
        <v>132</v>
      </c>
      <c r="AD378" s="177">
        <f>'D.  Capital Asset Disposal'!M214</f>
        <v>0</v>
      </c>
      <c r="AE378" s="177"/>
      <c r="AF378" s="269" t="str">
        <f>'E. Debt Service'!$D$81</f>
        <v>E.1</v>
      </c>
      <c r="AG378" s="177">
        <f>'E. Debt Service'!N97</f>
        <v>0</v>
      </c>
      <c r="AH378" s="270"/>
      <c r="AI378" s="177"/>
      <c r="AJ378" s="269"/>
      <c r="AK378" s="178"/>
      <c r="AL378" s="215"/>
      <c r="AM378" s="215"/>
      <c r="AN378" s="262">
        <f t="shared" si="140"/>
        <v>0</v>
      </c>
      <c r="AO378" s="263">
        <f t="shared" si="141"/>
        <v>0</v>
      </c>
      <c r="AP378" s="184"/>
      <c r="AQ378" s="263"/>
      <c r="AR378" s="184"/>
      <c r="AS378" s="263"/>
      <c r="AT378" s="36"/>
      <c r="AU378" s="36"/>
      <c r="AV378" s="36"/>
      <c r="AW378" s="36"/>
      <c r="AX378" s="36"/>
      <c r="AY378" s="36"/>
      <c r="AZ378" s="36"/>
    </row>
    <row r="379" spans="1:52" s="478" customFormat="1" x14ac:dyDescent="0.2">
      <c r="A379" s="483"/>
      <c r="B379" s="195"/>
      <c r="C379" s="176"/>
      <c r="D379" s="176"/>
      <c r="E379" s="206"/>
      <c r="F379" s="207"/>
      <c r="G379" s="806"/>
      <c r="H379" s="215"/>
      <c r="I379" s="806"/>
      <c r="J379" s="807"/>
      <c r="K379" s="215"/>
      <c r="L379" s="807"/>
      <c r="M379" s="215"/>
      <c r="N379" s="216"/>
      <c r="O379" s="215"/>
      <c r="P379" s="215"/>
      <c r="Q379" s="806"/>
      <c r="R379" s="807"/>
      <c r="S379" s="215"/>
      <c r="T379" s="216"/>
      <c r="U379" s="184"/>
      <c r="V379" s="184"/>
      <c r="W379" s="262"/>
      <c r="X379" s="263"/>
      <c r="Y379" s="296"/>
      <c r="Z379" s="297"/>
      <c r="AA379" s="268"/>
      <c r="AB379" s="178"/>
      <c r="AC379" s="269" t="s">
        <v>1080</v>
      </c>
      <c r="AD379" s="177">
        <f>'J. GASB 68 TSERS'!C107</f>
        <v>0</v>
      </c>
      <c r="AE379" s="177"/>
      <c r="AF379" s="269" t="s">
        <v>1080</v>
      </c>
      <c r="AG379" s="177">
        <f>'J. GASB 68 TSERS'!D107</f>
        <v>0</v>
      </c>
      <c r="AH379" s="270"/>
      <c r="AI379" s="177"/>
      <c r="AJ379" s="269"/>
      <c r="AK379" s="178"/>
      <c r="AL379" s="215"/>
      <c r="AM379" s="215"/>
      <c r="AN379" s="262">
        <f t="shared" si="140"/>
        <v>0</v>
      </c>
      <c r="AO379" s="263">
        <f t="shared" si="141"/>
        <v>0</v>
      </c>
      <c r="AP379" s="184"/>
      <c r="AQ379" s="263"/>
      <c r="AR379" s="184"/>
      <c r="AS379" s="263"/>
      <c r="AT379" s="36"/>
      <c r="AU379" s="36"/>
      <c r="AV379" s="36"/>
      <c r="AW379" s="36"/>
      <c r="AX379" s="36"/>
      <c r="AY379" s="36"/>
      <c r="AZ379" s="36"/>
    </row>
    <row r="380" spans="1:52" s="613" customFormat="1" x14ac:dyDescent="0.2">
      <c r="A380" s="615"/>
      <c r="B380" s="195"/>
      <c r="C380" s="176"/>
      <c r="D380" s="176"/>
      <c r="E380" s="206"/>
      <c r="F380" s="207"/>
      <c r="G380" s="806"/>
      <c r="H380" s="215"/>
      <c r="I380" s="806"/>
      <c r="J380" s="807"/>
      <c r="K380" s="215"/>
      <c r="L380" s="807"/>
      <c r="M380" s="215"/>
      <c r="N380" s="216"/>
      <c r="O380" s="215"/>
      <c r="P380" s="215"/>
      <c r="Q380" s="806"/>
      <c r="R380" s="807"/>
      <c r="S380" s="215"/>
      <c r="T380" s="216"/>
      <c r="U380" s="184"/>
      <c r="V380" s="184"/>
      <c r="W380" s="262"/>
      <c r="X380" s="263"/>
      <c r="Y380" s="296"/>
      <c r="Z380" s="297"/>
      <c r="AA380" s="268"/>
      <c r="AB380" s="178"/>
      <c r="AC380" s="674" t="s">
        <v>1519</v>
      </c>
      <c r="AD380" s="177">
        <f>'K. GASB 75 RHBF'!C108</f>
        <v>0</v>
      </c>
      <c r="AE380" s="177"/>
      <c r="AF380" s="269" t="s">
        <v>1518</v>
      </c>
      <c r="AG380" s="177">
        <f>'K. GASB 75 RHBF'!D134</f>
        <v>0</v>
      </c>
      <c r="AH380" s="270"/>
      <c r="AI380" s="177"/>
      <c r="AJ380" s="269"/>
      <c r="AK380" s="178"/>
      <c r="AL380" s="215"/>
      <c r="AM380" s="215"/>
      <c r="AN380" s="262">
        <f t="shared" si="140"/>
        <v>0</v>
      </c>
      <c r="AO380" s="263">
        <f t="shared" si="141"/>
        <v>0</v>
      </c>
      <c r="AP380" s="184"/>
      <c r="AQ380" s="263"/>
      <c r="AR380" s="184"/>
      <c r="AS380" s="263"/>
      <c r="AT380" s="36"/>
      <c r="AU380" s="36"/>
      <c r="AV380" s="36"/>
      <c r="AW380" s="36"/>
      <c r="AX380" s="36"/>
      <c r="AY380" s="36"/>
      <c r="AZ380" s="36"/>
    </row>
    <row r="381" spans="1:52" s="751" customFormat="1" x14ac:dyDescent="0.2">
      <c r="A381" s="752"/>
      <c r="B381" s="195"/>
      <c r="C381" s="176"/>
      <c r="D381" s="176"/>
      <c r="E381" s="206"/>
      <c r="F381" s="207"/>
      <c r="G381" s="806"/>
      <c r="H381" s="215"/>
      <c r="I381" s="806"/>
      <c r="J381" s="807"/>
      <c r="K381" s="215"/>
      <c r="L381" s="807"/>
      <c r="M381" s="215"/>
      <c r="N381" s="216"/>
      <c r="O381" s="215"/>
      <c r="P381" s="215"/>
      <c r="Q381" s="806"/>
      <c r="R381" s="807"/>
      <c r="S381" s="215"/>
      <c r="T381" s="216"/>
      <c r="U381" s="184"/>
      <c r="V381" s="184"/>
      <c r="W381" s="262"/>
      <c r="X381" s="263"/>
      <c r="Y381" s="296"/>
      <c r="Z381" s="297"/>
      <c r="AA381" s="268"/>
      <c r="AB381" s="178"/>
      <c r="AC381" s="674" t="s">
        <v>1633</v>
      </c>
      <c r="AD381" s="177">
        <f>'L. GASB 75 DIPNC'!C108</f>
        <v>0</v>
      </c>
      <c r="AE381" s="177"/>
      <c r="AF381" s="269" t="s">
        <v>1633</v>
      </c>
      <c r="AG381" s="177">
        <f>'L. GASB 75 DIPNC'!D134</f>
        <v>0</v>
      </c>
      <c r="AH381" s="270"/>
      <c r="AI381" s="177"/>
      <c r="AJ381" s="269"/>
      <c r="AK381" s="178"/>
      <c r="AL381" s="215"/>
      <c r="AM381" s="215"/>
      <c r="AN381" s="262">
        <f t="shared" ref="AN381" si="142">W381+Y381+AA381+AD381+AI381+AL381</f>
        <v>0</v>
      </c>
      <c r="AO381" s="263">
        <f t="shared" ref="AO381" si="143">X381+Z381+AB381+AG381+AK381+AM381</f>
        <v>0</v>
      </c>
      <c r="AP381" s="184"/>
      <c r="AQ381" s="263"/>
      <c r="AR381" s="184"/>
      <c r="AS381" s="263"/>
      <c r="AT381" s="36"/>
      <c r="AU381" s="36"/>
      <c r="AV381" s="36"/>
      <c r="AW381" s="36"/>
      <c r="AX381" s="36"/>
      <c r="AY381" s="36"/>
      <c r="AZ381" s="36"/>
    </row>
    <row r="382" spans="1:52" ht="3.75" customHeight="1" x14ac:dyDescent="0.2">
      <c r="A382" s="311"/>
      <c r="B382" s="406"/>
      <c r="C382" s="311"/>
      <c r="D382" s="311"/>
      <c r="E382" s="407"/>
      <c r="F382" s="307"/>
      <c r="G382" s="814"/>
      <c r="H382" s="295"/>
      <c r="I382" s="814"/>
      <c r="J382" s="815"/>
      <c r="K382" s="295"/>
      <c r="L382" s="815"/>
      <c r="M382" s="295"/>
      <c r="N382" s="408"/>
      <c r="O382" s="295"/>
      <c r="P382" s="295"/>
      <c r="Q382" s="814"/>
      <c r="R382" s="815"/>
      <c r="S382" s="295"/>
      <c r="T382" s="408"/>
      <c r="U382" s="184"/>
      <c r="V382" s="184"/>
      <c r="W382" s="262"/>
      <c r="X382" s="263"/>
      <c r="Y382" s="294"/>
      <c r="Z382" s="295"/>
      <c r="AA382" s="265"/>
      <c r="AB382" s="135"/>
      <c r="AC382" s="266"/>
      <c r="AD382" s="44"/>
      <c r="AE382" s="44"/>
      <c r="AF382" s="271"/>
      <c r="AG382" s="44"/>
      <c r="AH382" s="267"/>
      <c r="AI382" s="44"/>
      <c r="AJ382" s="266"/>
      <c r="AK382" s="135"/>
      <c r="AL382" s="213"/>
      <c r="AM382" s="213"/>
      <c r="AN382" s="262"/>
      <c r="AO382" s="263"/>
      <c r="AP382" s="184"/>
      <c r="AQ382" s="263"/>
      <c r="AR382" s="184"/>
      <c r="AS382" s="263"/>
      <c r="AT382" s="36"/>
      <c r="AU382" s="36"/>
      <c r="AV382" s="36"/>
      <c r="AW382" s="36"/>
      <c r="AX382" s="36"/>
      <c r="AY382" s="36"/>
      <c r="AZ382" s="36"/>
    </row>
    <row r="383" spans="1:52" x14ac:dyDescent="0.2">
      <c r="A383" s="11"/>
      <c r="B383" s="195" t="s">
        <v>241</v>
      </c>
      <c r="C383" s="176"/>
      <c r="D383" s="176"/>
      <c r="E383" s="206"/>
      <c r="F383" s="207"/>
      <c r="G383" s="806"/>
      <c r="H383" s="215"/>
      <c r="I383" s="806"/>
      <c r="J383" s="807"/>
      <c r="K383" s="215"/>
      <c r="L383" s="807"/>
      <c r="M383" s="215"/>
      <c r="N383" s="216"/>
      <c r="O383" s="215"/>
      <c r="P383" s="215"/>
      <c r="Q383" s="806"/>
      <c r="R383" s="807"/>
      <c r="S383" s="215"/>
      <c r="T383" s="216"/>
      <c r="U383" s="184">
        <f t="shared" ref="U383:V386" si="144">O383+Q383+S383</f>
        <v>0</v>
      </c>
      <c r="V383" s="184">
        <f t="shared" si="144"/>
        <v>0</v>
      </c>
      <c r="W383" s="262">
        <f t="shared" ref="W383:X386" si="145">E383+G383+I383+K383+M383+U383</f>
        <v>0</v>
      </c>
      <c r="X383" s="263">
        <f t="shared" si="145"/>
        <v>0</v>
      </c>
      <c r="Y383" s="296"/>
      <c r="Z383" s="297"/>
      <c r="AA383" s="268"/>
      <c r="AB383" s="178"/>
      <c r="AC383" s="269" t="str">
        <f>'B. Depreciation'!A54</f>
        <v>B.1</v>
      </c>
      <c r="AD383" s="177">
        <f>'B. Depreciation'!J69</f>
        <v>0</v>
      </c>
      <c r="AE383" s="177"/>
      <c r="AF383" s="269" t="str">
        <f>'C. Capital Outlay &amp; Donations'!$D$100</f>
        <v>C.1</v>
      </c>
      <c r="AG383" s="177">
        <f>'C. Capital Outlay &amp; Donations'!M123</f>
        <v>0</v>
      </c>
      <c r="AH383" s="270" t="str">
        <f>'I. Eliminations-Consolidations'!A250</f>
        <v>I.7</v>
      </c>
      <c r="AI383" s="177">
        <f>'I. Eliminations-Consolidations'!J265</f>
        <v>0</v>
      </c>
      <c r="AJ383" s="269"/>
      <c r="AK383" s="178"/>
      <c r="AL383" s="215"/>
      <c r="AM383" s="215"/>
      <c r="AN383" s="262">
        <f t="shared" ref="AN383:AN388" si="146">W383+Y383+AA383+AD383+AI383+AL383</f>
        <v>0</v>
      </c>
      <c r="AO383" s="263">
        <f t="shared" ref="AO383:AO388" si="147">X383+Z383+AB383+AG383+AK383+AM383</f>
        <v>0</v>
      </c>
      <c r="AP383" s="184" t="str">
        <f>IF(SUM(AN383:AN389)-SUM(AO383:AO389)&lt;=0, " ",SUM(AN383:AN389)-SUM(AO383:AO389))</f>
        <v xml:space="preserve"> </v>
      </c>
      <c r="AQ383" s="263" t="str">
        <f>IF(SUM(AN383:AN387)-SUM(AO383:AO387)&gt;=0, " ", SUM(AO383:AO387)-SUM(AN383:AN387))</f>
        <v xml:space="preserve"> </v>
      </c>
      <c r="AR383" s="184"/>
      <c r="AS383" s="263"/>
      <c r="AT383" s="36"/>
      <c r="AU383" s="36"/>
      <c r="AV383" s="36"/>
      <c r="AW383" s="36"/>
      <c r="AX383" s="36"/>
      <c r="AY383" s="36"/>
      <c r="AZ383" s="36"/>
    </row>
    <row r="384" spans="1:52" x14ac:dyDescent="0.2">
      <c r="A384" s="11"/>
      <c r="B384" s="195"/>
      <c r="C384" s="176"/>
      <c r="D384" s="176"/>
      <c r="E384" s="206"/>
      <c r="F384" s="207"/>
      <c r="G384" s="806"/>
      <c r="H384" s="215"/>
      <c r="I384" s="806"/>
      <c r="J384" s="807"/>
      <c r="K384" s="215"/>
      <c r="L384" s="807"/>
      <c r="M384" s="215"/>
      <c r="N384" s="216"/>
      <c r="O384" s="215"/>
      <c r="P384" s="215"/>
      <c r="Q384" s="806"/>
      <c r="R384" s="807"/>
      <c r="S384" s="215"/>
      <c r="T384" s="216"/>
      <c r="U384" s="184">
        <f t="shared" si="144"/>
        <v>0</v>
      </c>
      <c r="V384" s="184">
        <f t="shared" si="144"/>
        <v>0</v>
      </c>
      <c r="W384" s="262">
        <f t="shared" si="145"/>
        <v>0</v>
      </c>
      <c r="X384" s="263">
        <f t="shared" si="145"/>
        <v>0</v>
      </c>
      <c r="Y384" s="296"/>
      <c r="Z384" s="297"/>
      <c r="AA384" s="268"/>
      <c r="AB384" s="178"/>
      <c r="AC384" s="269" t="str">
        <f>'H. Other Liabilities &amp; Expenses'!D235</f>
        <v>H.1</v>
      </c>
      <c r="AD384" s="177">
        <f>'H. Other Liabilities &amp; Expenses'!L250</f>
        <v>0</v>
      </c>
      <c r="AE384" s="177"/>
      <c r="AF384" s="275" t="str">
        <f>'G.  Other Asset Entries'!$B$90</f>
        <v>G.1</v>
      </c>
      <c r="AG384" s="177">
        <f>'G.  Other Asset Entries'!N109</f>
        <v>0</v>
      </c>
      <c r="AH384" s="270"/>
      <c r="AI384" s="177"/>
      <c r="AJ384" s="269"/>
      <c r="AK384" s="178"/>
      <c r="AL384" s="215"/>
      <c r="AM384" s="215"/>
      <c r="AN384" s="262">
        <f t="shared" si="146"/>
        <v>0</v>
      </c>
      <c r="AO384" s="263">
        <f t="shared" si="147"/>
        <v>0</v>
      </c>
      <c r="AP384" s="184"/>
      <c r="AQ384" s="263"/>
      <c r="AR384" s="184"/>
      <c r="AS384" s="263"/>
      <c r="AT384" s="36"/>
      <c r="AU384" s="36"/>
      <c r="AV384" s="36"/>
      <c r="AW384" s="36"/>
      <c r="AX384" s="36"/>
      <c r="AY384" s="36"/>
      <c r="AZ384" s="36"/>
    </row>
    <row r="385" spans="1:52" x14ac:dyDescent="0.2">
      <c r="A385" s="11"/>
      <c r="B385" s="195"/>
      <c r="C385" s="176"/>
      <c r="D385" s="176"/>
      <c r="E385" s="206"/>
      <c r="F385" s="207"/>
      <c r="G385" s="806"/>
      <c r="H385" s="215"/>
      <c r="I385" s="806"/>
      <c r="J385" s="807"/>
      <c r="K385" s="215"/>
      <c r="L385" s="807"/>
      <c r="M385" s="215"/>
      <c r="N385" s="216"/>
      <c r="O385" s="215"/>
      <c r="P385" s="215"/>
      <c r="Q385" s="806"/>
      <c r="R385" s="807"/>
      <c r="S385" s="215"/>
      <c r="T385" s="216"/>
      <c r="U385" s="184">
        <f t="shared" si="144"/>
        <v>0</v>
      </c>
      <c r="V385" s="184">
        <f t="shared" si="144"/>
        <v>0</v>
      </c>
      <c r="W385" s="262">
        <f t="shared" si="145"/>
        <v>0</v>
      </c>
      <c r="X385" s="263">
        <f t="shared" si="145"/>
        <v>0</v>
      </c>
      <c r="Y385" s="296"/>
      <c r="Z385" s="297"/>
      <c r="AA385" s="268"/>
      <c r="AB385" s="178"/>
      <c r="AC385" s="269" t="str">
        <f>'C. Capital Outlay &amp; Donations'!D130</f>
        <v>C.2</v>
      </c>
      <c r="AD385" s="179">
        <f>'C. Capital Outlay &amp; Donations'!K147</f>
        <v>0</v>
      </c>
      <c r="AE385" s="177"/>
      <c r="AF385" s="269" t="str">
        <f>'H. Other Liabilities &amp; Expenses'!$D$235</f>
        <v>H.1</v>
      </c>
      <c r="AG385" s="177">
        <f>'H. Other Liabilities &amp; Expenses'!N250</f>
        <v>0</v>
      </c>
      <c r="AH385" s="270"/>
      <c r="AI385" s="177"/>
      <c r="AJ385" s="269"/>
      <c r="AK385" s="178"/>
      <c r="AL385" s="215"/>
      <c r="AM385" s="215"/>
      <c r="AN385" s="262">
        <f t="shared" si="146"/>
        <v>0</v>
      </c>
      <c r="AO385" s="263">
        <f t="shared" si="147"/>
        <v>0</v>
      </c>
      <c r="AP385" s="184"/>
      <c r="AQ385" s="263"/>
      <c r="AR385" s="184"/>
      <c r="AS385" s="263"/>
      <c r="AT385" s="36"/>
      <c r="AU385" s="36"/>
      <c r="AV385" s="36"/>
      <c r="AW385" s="36"/>
      <c r="AX385" s="36"/>
      <c r="AY385" s="36"/>
      <c r="AZ385" s="36"/>
    </row>
    <row r="386" spans="1:52" x14ac:dyDescent="0.2">
      <c r="A386" s="11"/>
      <c r="B386" s="195"/>
      <c r="C386" s="176"/>
      <c r="D386" s="176"/>
      <c r="E386" s="206"/>
      <c r="F386" s="207"/>
      <c r="G386" s="806"/>
      <c r="H386" s="215"/>
      <c r="I386" s="806"/>
      <c r="J386" s="807"/>
      <c r="K386" s="215"/>
      <c r="L386" s="807"/>
      <c r="M386" s="215"/>
      <c r="N386" s="216"/>
      <c r="O386" s="215"/>
      <c r="P386" s="215"/>
      <c r="Q386" s="806"/>
      <c r="R386" s="807"/>
      <c r="S386" s="215"/>
      <c r="T386" s="216"/>
      <c r="U386" s="184">
        <f t="shared" si="144"/>
        <v>0</v>
      </c>
      <c r="V386" s="184">
        <f t="shared" si="144"/>
        <v>0</v>
      </c>
      <c r="W386" s="262">
        <f t="shared" si="145"/>
        <v>0</v>
      </c>
      <c r="X386" s="263">
        <f t="shared" si="145"/>
        <v>0</v>
      </c>
      <c r="Y386" s="296"/>
      <c r="Z386" s="297"/>
      <c r="AA386" s="268"/>
      <c r="AB386" s="178"/>
      <c r="AC386" s="269" t="s">
        <v>132</v>
      </c>
      <c r="AD386" s="177">
        <f>'D.  Capital Asset Disposal'!M215</f>
        <v>0</v>
      </c>
      <c r="AE386" s="177"/>
      <c r="AF386" s="269" t="str">
        <f>'E. Debt Service'!$D$81</f>
        <v>E.1</v>
      </c>
      <c r="AG386" s="177">
        <f>'E. Debt Service'!N98</f>
        <v>0</v>
      </c>
      <c r="AH386" s="270"/>
      <c r="AI386" s="177"/>
      <c r="AJ386" s="269"/>
      <c r="AK386" s="178"/>
      <c r="AL386" s="215"/>
      <c r="AM386" s="215"/>
      <c r="AN386" s="262">
        <f t="shared" si="146"/>
        <v>0</v>
      </c>
      <c r="AO386" s="263">
        <f t="shared" si="147"/>
        <v>0</v>
      </c>
      <c r="AP386" s="184"/>
      <c r="AQ386" s="263"/>
      <c r="AR386" s="184"/>
      <c r="AS386" s="263"/>
      <c r="AT386" s="36"/>
      <c r="AU386" s="36"/>
      <c r="AV386" s="36"/>
      <c r="AW386" s="36"/>
      <c r="AX386" s="36"/>
      <c r="AY386" s="36"/>
      <c r="AZ386" s="36"/>
    </row>
    <row r="387" spans="1:52" s="478" customFormat="1" x14ac:dyDescent="0.2">
      <c r="A387" s="483"/>
      <c r="B387" s="195"/>
      <c r="C387" s="176"/>
      <c r="D387" s="176"/>
      <c r="E387" s="206"/>
      <c r="F387" s="207"/>
      <c r="G387" s="806"/>
      <c r="H387" s="215"/>
      <c r="I387" s="806"/>
      <c r="J387" s="807"/>
      <c r="K387" s="215"/>
      <c r="L387" s="807"/>
      <c r="M387" s="215"/>
      <c r="N387" s="216"/>
      <c r="O387" s="215"/>
      <c r="P387" s="215"/>
      <c r="Q387" s="806"/>
      <c r="R387" s="807"/>
      <c r="S387" s="215"/>
      <c r="T387" s="216"/>
      <c r="U387" s="184"/>
      <c r="V387" s="184"/>
      <c r="W387" s="262"/>
      <c r="X387" s="263"/>
      <c r="Y387" s="296"/>
      <c r="Z387" s="297"/>
      <c r="AA387" s="268"/>
      <c r="AB387" s="178"/>
      <c r="AC387" s="269" t="s">
        <v>1080</v>
      </c>
      <c r="AD387" s="177">
        <f>'J. GASB 68 TSERS'!C108</f>
        <v>0</v>
      </c>
      <c r="AE387" s="177"/>
      <c r="AF387" s="269" t="s">
        <v>1080</v>
      </c>
      <c r="AG387" s="177">
        <f>'J. GASB 68 TSERS'!D108</f>
        <v>0</v>
      </c>
      <c r="AH387" s="270"/>
      <c r="AI387" s="177"/>
      <c r="AJ387" s="269"/>
      <c r="AK387" s="178"/>
      <c r="AL387" s="215"/>
      <c r="AM387" s="215"/>
      <c r="AN387" s="262">
        <f t="shared" si="146"/>
        <v>0</v>
      </c>
      <c r="AO387" s="263">
        <f t="shared" si="147"/>
        <v>0</v>
      </c>
      <c r="AP387" s="184"/>
      <c r="AQ387" s="263"/>
      <c r="AR387" s="184"/>
      <c r="AS387" s="263"/>
      <c r="AT387" s="36"/>
      <c r="AU387" s="36"/>
      <c r="AV387" s="36"/>
      <c r="AW387" s="36"/>
      <c r="AX387" s="36"/>
      <c r="AY387" s="36"/>
      <c r="AZ387" s="36"/>
    </row>
    <row r="388" spans="1:52" s="613" customFormat="1" x14ac:dyDescent="0.2">
      <c r="A388" s="615"/>
      <c r="B388" s="195"/>
      <c r="C388" s="176"/>
      <c r="D388" s="176"/>
      <c r="E388" s="206"/>
      <c r="F388" s="207"/>
      <c r="G388" s="806"/>
      <c r="H388" s="215"/>
      <c r="I388" s="806"/>
      <c r="J388" s="807"/>
      <c r="K388" s="215"/>
      <c r="L388" s="807"/>
      <c r="M388" s="215"/>
      <c r="N388" s="216"/>
      <c r="O388" s="215"/>
      <c r="P388" s="215"/>
      <c r="Q388" s="806"/>
      <c r="R388" s="807"/>
      <c r="S388" s="215"/>
      <c r="T388" s="216"/>
      <c r="U388" s="184"/>
      <c r="V388" s="184"/>
      <c r="W388" s="262"/>
      <c r="X388" s="263"/>
      <c r="Y388" s="296"/>
      <c r="Z388" s="297"/>
      <c r="AA388" s="268"/>
      <c r="AB388" s="178"/>
      <c r="AC388" s="674" t="s">
        <v>1519</v>
      </c>
      <c r="AD388" s="177">
        <f>'K. GASB 75 RHBF'!C109</f>
        <v>0</v>
      </c>
      <c r="AE388" s="177"/>
      <c r="AF388" s="269" t="s">
        <v>1518</v>
      </c>
      <c r="AG388" s="177">
        <f>'K. GASB 75 RHBF'!D135</f>
        <v>0</v>
      </c>
      <c r="AH388" s="270"/>
      <c r="AI388" s="177"/>
      <c r="AJ388" s="269"/>
      <c r="AK388" s="178"/>
      <c r="AL388" s="215"/>
      <c r="AM388" s="215"/>
      <c r="AN388" s="262">
        <f t="shared" si="146"/>
        <v>0</v>
      </c>
      <c r="AO388" s="263">
        <f t="shared" si="147"/>
        <v>0</v>
      </c>
      <c r="AP388" s="184"/>
      <c r="AQ388" s="263"/>
      <c r="AR388" s="184"/>
      <c r="AS388" s="263"/>
      <c r="AT388" s="36"/>
      <c r="AU388" s="36"/>
      <c r="AV388" s="36"/>
      <c r="AW388" s="36"/>
      <c r="AX388" s="36"/>
      <c r="AY388" s="36"/>
      <c r="AZ388" s="36"/>
    </row>
    <row r="389" spans="1:52" s="751" customFormat="1" x14ac:dyDescent="0.2">
      <c r="A389" s="752"/>
      <c r="B389" s="195"/>
      <c r="C389" s="176"/>
      <c r="D389" s="176"/>
      <c r="E389" s="206"/>
      <c r="F389" s="207"/>
      <c r="G389" s="806"/>
      <c r="H389" s="215"/>
      <c r="I389" s="806"/>
      <c r="J389" s="807"/>
      <c r="K389" s="215"/>
      <c r="L389" s="807"/>
      <c r="M389" s="215"/>
      <c r="N389" s="216"/>
      <c r="O389" s="215"/>
      <c r="P389" s="215"/>
      <c r="Q389" s="806"/>
      <c r="R389" s="807"/>
      <c r="S389" s="215"/>
      <c r="T389" s="216"/>
      <c r="U389" s="184"/>
      <c r="V389" s="184"/>
      <c r="W389" s="262"/>
      <c r="X389" s="263"/>
      <c r="Y389" s="296"/>
      <c r="Z389" s="297"/>
      <c r="AA389" s="268"/>
      <c r="AB389" s="178"/>
      <c r="AC389" s="674" t="s">
        <v>1633</v>
      </c>
      <c r="AD389" s="177">
        <f>'L. GASB 75 DIPNC'!C109</f>
        <v>0</v>
      </c>
      <c r="AE389" s="177"/>
      <c r="AF389" s="269" t="s">
        <v>1633</v>
      </c>
      <c r="AG389" s="177">
        <f>'L. GASB 75 DIPNC'!D135</f>
        <v>0</v>
      </c>
      <c r="AH389" s="270"/>
      <c r="AI389" s="177"/>
      <c r="AJ389" s="269"/>
      <c r="AK389" s="178"/>
      <c r="AL389" s="215"/>
      <c r="AM389" s="215"/>
      <c r="AN389" s="262">
        <f t="shared" ref="AN389" si="148">W389+Y389+AA389+AD389+AI389+AL389</f>
        <v>0</v>
      </c>
      <c r="AO389" s="263">
        <f t="shared" ref="AO389" si="149">X389+Z389+AB389+AG389+AK389+AM389</f>
        <v>0</v>
      </c>
      <c r="AP389" s="184"/>
      <c r="AQ389" s="263"/>
      <c r="AR389" s="184"/>
      <c r="AS389" s="263"/>
      <c r="AT389" s="36"/>
      <c r="AU389" s="36"/>
      <c r="AV389" s="36"/>
      <c r="AW389" s="36"/>
      <c r="AX389" s="36"/>
      <c r="AY389" s="36"/>
      <c r="AZ389" s="36"/>
    </row>
    <row r="390" spans="1:52" ht="3.75" customHeight="1" x14ac:dyDescent="0.2">
      <c r="A390" s="311"/>
      <c r="B390" s="303"/>
      <c r="C390" s="303"/>
      <c r="D390" s="303"/>
      <c r="E390" s="299"/>
      <c r="F390" s="403"/>
      <c r="G390" s="812"/>
      <c r="H390" s="293"/>
      <c r="I390" s="812"/>
      <c r="J390" s="813"/>
      <c r="K390" s="293"/>
      <c r="L390" s="813"/>
      <c r="M390" s="293"/>
      <c r="N390" s="404"/>
      <c r="O390" s="293"/>
      <c r="P390" s="293"/>
      <c r="Q390" s="812"/>
      <c r="R390" s="813"/>
      <c r="S390" s="293"/>
      <c r="T390" s="404"/>
      <c r="U390" s="184"/>
      <c r="V390" s="184"/>
      <c r="W390" s="262"/>
      <c r="X390" s="263"/>
      <c r="Y390" s="292"/>
      <c r="Z390" s="293"/>
      <c r="AA390" s="261"/>
      <c r="AB390" s="134"/>
      <c r="AC390" s="276"/>
      <c r="AE390" s="45"/>
      <c r="AF390" s="257"/>
      <c r="AG390" s="45"/>
      <c r="AH390" s="256"/>
      <c r="AI390" s="45"/>
      <c r="AJ390" s="257"/>
      <c r="AK390" s="134"/>
      <c r="AL390" s="211"/>
      <c r="AM390" s="211"/>
      <c r="AN390" s="262"/>
      <c r="AO390" s="263"/>
      <c r="AP390" s="184"/>
      <c r="AQ390" s="263"/>
      <c r="AR390" s="184"/>
      <c r="AS390" s="263"/>
      <c r="AT390" s="36"/>
      <c r="AU390" s="36"/>
      <c r="AV390" s="36"/>
      <c r="AW390" s="36"/>
      <c r="AX390" s="36"/>
      <c r="AY390" s="36"/>
      <c r="AZ390" s="36"/>
    </row>
    <row r="391" spans="1:52" x14ac:dyDescent="0.2">
      <c r="A391" s="11"/>
      <c r="B391" s="195" t="s">
        <v>715</v>
      </c>
      <c r="C391" s="176"/>
      <c r="D391" s="176"/>
      <c r="E391" s="206">
        <v>4574</v>
      </c>
      <c r="F391" s="207"/>
      <c r="G391" s="806">
        <v>19</v>
      </c>
      <c r="H391" s="215"/>
      <c r="I391" s="806"/>
      <c r="J391" s="807"/>
      <c r="K391" s="215"/>
      <c r="L391" s="807"/>
      <c r="M391" s="215"/>
      <c r="N391" s="216"/>
      <c r="O391" s="215">
        <v>1092</v>
      </c>
      <c r="P391" s="215"/>
      <c r="Q391" s="806"/>
      <c r="R391" s="807"/>
      <c r="S391" s="215"/>
      <c r="T391" s="216"/>
      <c r="U391" s="184">
        <f t="shared" ref="U391:V394" si="150">O391+Q391+S391</f>
        <v>1092</v>
      </c>
      <c r="V391" s="184">
        <f t="shared" si="150"/>
        <v>0</v>
      </c>
      <c r="W391" s="262">
        <f t="shared" ref="W391:X394" si="151">E391+G391+I391+K391+M391+U391</f>
        <v>5685</v>
      </c>
      <c r="X391" s="263">
        <f t="shared" si="151"/>
        <v>0</v>
      </c>
      <c r="Y391" s="296"/>
      <c r="Z391" s="297"/>
      <c r="AA391" s="268"/>
      <c r="AB391" s="178"/>
      <c r="AC391" s="273" t="str">
        <f>'B. Depreciation'!A54</f>
        <v>B.1</v>
      </c>
      <c r="AD391" s="179">
        <f>'B. Depreciation'!J70</f>
        <v>0</v>
      </c>
      <c r="AE391" s="177"/>
      <c r="AF391" s="269" t="str">
        <f>'C. Capital Outlay &amp; Donations'!$D$100</f>
        <v>C.1</v>
      </c>
      <c r="AG391" s="177">
        <f>'C. Capital Outlay &amp; Donations'!M124</f>
        <v>0</v>
      </c>
      <c r="AH391" s="270" t="str">
        <f>'I. Eliminations-Consolidations'!A250</f>
        <v>I.7</v>
      </c>
      <c r="AI391" s="177">
        <f>'I. Eliminations-Consolidations'!J266</f>
        <v>0</v>
      </c>
      <c r="AJ391" s="269" t="str">
        <f>'I. Eliminations-Consolidations'!A229</f>
        <v>I.5</v>
      </c>
      <c r="AK391" s="178">
        <f>'I. Eliminations-Consolidations'!L230</f>
        <v>0</v>
      </c>
      <c r="AL391" s="215"/>
      <c r="AM391" s="215"/>
      <c r="AN391" s="262">
        <f t="shared" ref="AN391:AN396" si="152">W391+Y391+AA391+AD391+AI391+AL391</f>
        <v>5685</v>
      </c>
      <c r="AO391" s="263">
        <f t="shared" ref="AO391:AO396" si="153">X391+Z391+AB391+AG391+AK391+AM391</f>
        <v>0</v>
      </c>
      <c r="AP391" s="184">
        <f>IF(SUM(AN391:AN397)-SUM(AO391:AO397)&lt;=0, " ",SUM(AN391:AN397)-SUM(AO391:AO397))</f>
        <v>5685</v>
      </c>
      <c r="AQ391" s="263" t="str">
        <f>IF(SUM(AN391:AN395)-SUM(AO391:AO395)&gt;=0, " ", SUM(AO391:AO395)-SUM(AN391:AN395))</f>
        <v xml:space="preserve"> </v>
      </c>
      <c r="AR391" s="184"/>
      <c r="AS391" s="263"/>
      <c r="AT391" s="36"/>
      <c r="AU391" s="36"/>
      <c r="AV391" s="36"/>
      <c r="AW391" s="36"/>
      <c r="AX391" s="36"/>
      <c r="AY391" s="36"/>
      <c r="AZ391" s="36"/>
    </row>
    <row r="392" spans="1:52" x14ac:dyDescent="0.2">
      <c r="A392" s="11"/>
      <c r="B392" s="195"/>
      <c r="C392" s="176"/>
      <c r="D392" s="176"/>
      <c r="E392" s="206"/>
      <c r="F392" s="207"/>
      <c r="G392" s="806"/>
      <c r="H392" s="215"/>
      <c r="I392" s="806"/>
      <c r="J392" s="807"/>
      <c r="K392" s="215"/>
      <c r="L392" s="807"/>
      <c r="M392" s="215"/>
      <c r="N392" s="216"/>
      <c r="O392" s="215"/>
      <c r="P392" s="215"/>
      <c r="Q392" s="806"/>
      <c r="R392" s="807"/>
      <c r="S392" s="215"/>
      <c r="T392" s="216"/>
      <c r="U392" s="184">
        <f t="shared" si="150"/>
        <v>0</v>
      </c>
      <c r="V392" s="184">
        <f t="shared" si="150"/>
        <v>0</v>
      </c>
      <c r="W392" s="262">
        <f t="shared" si="151"/>
        <v>0</v>
      </c>
      <c r="X392" s="263">
        <f t="shared" si="151"/>
        <v>0</v>
      </c>
      <c r="Y392" s="296"/>
      <c r="Z392" s="297"/>
      <c r="AA392" s="268"/>
      <c r="AB392" s="178"/>
      <c r="AC392" s="273" t="str">
        <f>'H. Other Liabilities &amp; Expenses'!D235</f>
        <v>H.1</v>
      </c>
      <c r="AD392" s="179">
        <f>'H. Other Liabilities &amp; Expenses'!L251</f>
        <v>0</v>
      </c>
      <c r="AE392" s="177"/>
      <c r="AF392" s="275" t="str">
        <f>'G.  Other Asset Entries'!$B$90</f>
        <v>G.1</v>
      </c>
      <c r="AG392" s="177">
        <f>'G.  Other Asset Entries'!N110</f>
        <v>0</v>
      </c>
      <c r="AH392" s="270"/>
      <c r="AI392" s="177"/>
      <c r="AJ392" s="269"/>
      <c r="AK392" s="178"/>
      <c r="AL392" s="215"/>
      <c r="AM392" s="215"/>
      <c r="AN392" s="262">
        <f t="shared" si="152"/>
        <v>0</v>
      </c>
      <c r="AO392" s="263">
        <f t="shared" si="153"/>
        <v>0</v>
      </c>
      <c r="AP392" s="184"/>
      <c r="AQ392" s="263"/>
      <c r="AR392" s="184"/>
      <c r="AS392" s="263"/>
      <c r="AT392" s="36"/>
      <c r="AU392" s="36"/>
      <c r="AV392" s="36"/>
      <c r="AW392" s="36"/>
      <c r="AX392" s="36"/>
      <c r="AY392" s="36"/>
      <c r="AZ392" s="36"/>
    </row>
    <row r="393" spans="1:52" x14ac:dyDescent="0.2">
      <c r="A393" s="11"/>
      <c r="B393" s="195"/>
      <c r="C393" s="176"/>
      <c r="D393" s="176"/>
      <c r="E393" s="206"/>
      <c r="F393" s="207"/>
      <c r="G393" s="806"/>
      <c r="H393" s="215"/>
      <c r="I393" s="806"/>
      <c r="J393" s="807"/>
      <c r="K393" s="215"/>
      <c r="L393" s="807"/>
      <c r="M393" s="215"/>
      <c r="N393" s="216"/>
      <c r="O393" s="215"/>
      <c r="P393" s="215"/>
      <c r="Q393" s="806"/>
      <c r="R393" s="807"/>
      <c r="S393" s="215"/>
      <c r="T393" s="216"/>
      <c r="U393" s="184">
        <f t="shared" si="150"/>
        <v>0</v>
      </c>
      <c r="V393" s="184">
        <f t="shared" si="150"/>
        <v>0</v>
      </c>
      <c r="W393" s="262">
        <f t="shared" si="151"/>
        <v>0</v>
      </c>
      <c r="X393" s="263">
        <f t="shared" si="151"/>
        <v>0</v>
      </c>
      <c r="Y393" s="296"/>
      <c r="Z393" s="297"/>
      <c r="AA393" s="268"/>
      <c r="AB393" s="178"/>
      <c r="AC393" s="269" t="str">
        <f>'C. Capital Outlay &amp; Donations'!D130</f>
        <v>C.2</v>
      </c>
      <c r="AD393" s="179">
        <f>'C. Capital Outlay &amp; Donations'!K148</f>
        <v>0</v>
      </c>
      <c r="AE393" s="177"/>
      <c r="AF393" s="269" t="str">
        <f>'H. Other Liabilities &amp; Expenses'!$D$235</f>
        <v>H.1</v>
      </c>
      <c r="AG393" s="177">
        <f>'H. Other Liabilities &amp; Expenses'!N251</f>
        <v>0</v>
      </c>
      <c r="AH393" s="270"/>
      <c r="AI393" s="177"/>
      <c r="AJ393" s="269"/>
      <c r="AK393" s="178"/>
      <c r="AL393" s="215"/>
      <c r="AM393" s="215"/>
      <c r="AN393" s="262">
        <f t="shared" si="152"/>
        <v>0</v>
      </c>
      <c r="AO393" s="263">
        <f t="shared" si="153"/>
        <v>0</v>
      </c>
      <c r="AP393" s="184"/>
      <c r="AQ393" s="263"/>
      <c r="AR393" s="184"/>
      <c r="AS393" s="263"/>
      <c r="AT393" s="36"/>
      <c r="AU393" s="36"/>
      <c r="AV393" s="36"/>
      <c r="AW393" s="36"/>
      <c r="AX393" s="36"/>
      <c r="AY393" s="36"/>
      <c r="AZ393" s="36"/>
    </row>
    <row r="394" spans="1:52" x14ac:dyDescent="0.2">
      <c r="A394" s="11"/>
      <c r="B394" s="195"/>
      <c r="C394" s="176"/>
      <c r="D394" s="176"/>
      <c r="E394" s="206"/>
      <c r="F394" s="207"/>
      <c r="G394" s="806"/>
      <c r="H394" s="215"/>
      <c r="I394" s="806"/>
      <c r="J394" s="807"/>
      <c r="K394" s="215"/>
      <c r="L394" s="807"/>
      <c r="M394" s="215"/>
      <c r="N394" s="216"/>
      <c r="O394" s="215"/>
      <c r="P394" s="215"/>
      <c r="Q394" s="806"/>
      <c r="R394" s="807"/>
      <c r="S394" s="215"/>
      <c r="T394" s="216"/>
      <c r="U394" s="184">
        <f t="shared" si="150"/>
        <v>0</v>
      </c>
      <c r="V394" s="184">
        <f t="shared" si="150"/>
        <v>0</v>
      </c>
      <c r="W394" s="262">
        <f t="shared" si="151"/>
        <v>0</v>
      </c>
      <c r="X394" s="263">
        <f t="shared" si="151"/>
        <v>0</v>
      </c>
      <c r="Y394" s="296"/>
      <c r="Z394" s="297"/>
      <c r="AA394" s="268"/>
      <c r="AB394" s="178"/>
      <c r="AC394" s="273" t="s">
        <v>132</v>
      </c>
      <c r="AD394" s="179">
        <f>'D.  Capital Asset Disposal'!M216</f>
        <v>0</v>
      </c>
      <c r="AE394" s="177"/>
      <c r="AF394" s="269" t="str">
        <f>'E. Debt Service'!$D$81</f>
        <v>E.1</v>
      </c>
      <c r="AG394" s="177">
        <f>'E. Debt Service'!N99</f>
        <v>0</v>
      </c>
      <c r="AH394" s="270"/>
      <c r="AI394" s="177"/>
      <c r="AJ394" s="269"/>
      <c r="AK394" s="178"/>
      <c r="AL394" s="215"/>
      <c r="AM394" s="215"/>
      <c r="AN394" s="262">
        <f t="shared" si="152"/>
        <v>0</v>
      </c>
      <c r="AO394" s="263">
        <f t="shared" si="153"/>
        <v>0</v>
      </c>
      <c r="AP394" s="184"/>
      <c r="AQ394" s="263"/>
      <c r="AR394" s="184"/>
      <c r="AS394" s="263"/>
      <c r="AT394" s="36"/>
      <c r="AU394" s="36"/>
      <c r="AV394" s="36"/>
      <c r="AW394" s="36"/>
      <c r="AX394" s="36"/>
      <c r="AY394" s="36"/>
      <c r="AZ394" s="36"/>
    </row>
    <row r="395" spans="1:52" s="478" customFormat="1" x14ac:dyDescent="0.2">
      <c r="A395" s="483"/>
      <c r="B395" s="195"/>
      <c r="C395" s="176"/>
      <c r="D395" s="176"/>
      <c r="E395" s="206"/>
      <c r="F395" s="207"/>
      <c r="G395" s="806"/>
      <c r="H395" s="215"/>
      <c r="I395" s="806"/>
      <c r="J395" s="807"/>
      <c r="K395" s="215"/>
      <c r="L395" s="807"/>
      <c r="M395" s="215"/>
      <c r="N395" s="216"/>
      <c r="O395" s="215"/>
      <c r="P395" s="215"/>
      <c r="Q395" s="806"/>
      <c r="R395" s="807"/>
      <c r="S395" s="215"/>
      <c r="T395" s="216"/>
      <c r="U395" s="184"/>
      <c r="V395" s="184"/>
      <c r="W395" s="262"/>
      <c r="X395" s="263"/>
      <c r="Y395" s="296"/>
      <c r="Z395" s="297"/>
      <c r="AA395" s="268"/>
      <c r="AB395" s="178"/>
      <c r="AC395" s="269" t="s">
        <v>1080</v>
      </c>
      <c r="AD395" s="177">
        <f>'J. GASB 68 TSERS'!C109</f>
        <v>0</v>
      </c>
      <c r="AE395" s="177"/>
      <c r="AF395" s="269" t="s">
        <v>1080</v>
      </c>
      <c r="AG395" s="177">
        <f>'J. GASB 68 TSERS'!D109</f>
        <v>0</v>
      </c>
      <c r="AH395" s="270"/>
      <c r="AI395" s="177"/>
      <c r="AJ395" s="269"/>
      <c r="AK395" s="178"/>
      <c r="AL395" s="215"/>
      <c r="AM395" s="215"/>
      <c r="AN395" s="262">
        <f t="shared" si="152"/>
        <v>0</v>
      </c>
      <c r="AO395" s="263">
        <f t="shared" si="153"/>
        <v>0</v>
      </c>
      <c r="AP395" s="184"/>
      <c r="AQ395" s="263"/>
      <c r="AR395" s="184"/>
      <c r="AS395" s="263"/>
      <c r="AT395" s="36"/>
      <c r="AU395" s="36"/>
      <c r="AV395" s="36"/>
      <c r="AW395" s="36"/>
      <c r="AX395" s="36"/>
      <c r="AY395" s="36"/>
      <c r="AZ395" s="36"/>
    </row>
    <row r="396" spans="1:52" s="613" customFormat="1" x14ac:dyDescent="0.2">
      <c r="A396" s="615"/>
      <c r="B396" s="195"/>
      <c r="C396" s="176"/>
      <c r="D396" s="176"/>
      <c r="E396" s="206"/>
      <c r="F396" s="207"/>
      <c r="G396" s="806"/>
      <c r="H396" s="215"/>
      <c r="I396" s="806"/>
      <c r="J396" s="807"/>
      <c r="K396" s="215"/>
      <c r="L396" s="807"/>
      <c r="M396" s="215"/>
      <c r="N396" s="216"/>
      <c r="O396" s="215"/>
      <c r="P396" s="215"/>
      <c r="Q396" s="806"/>
      <c r="R396" s="807"/>
      <c r="S396" s="215"/>
      <c r="T396" s="216"/>
      <c r="U396" s="184"/>
      <c r="V396" s="184"/>
      <c r="W396" s="262"/>
      <c r="X396" s="263"/>
      <c r="Y396" s="296"/>
      <c r="Z396" s="297"/>
      <c r="AA396" s="268"/>
      <c r="AB396" s="178"/>
      <c r="AC396" s="674" t="s">
        <v>1519</v>
      </c>
      <c r="AD396" s="177">
        <f>'K. GASB 75 RHBF'!C110</f>
        <v>0</v>
      </c>
      <c r="AE396" s="177"/>
      <c r="AF396" s="269" t="s">
        <v>1518</v>
      </c>
      <c r="AG396" s="177">
        <f>'K. GASB 75 RHBF'!D136</f>
        <v>0</v>
      </c>
      <c r="AH396" s="270"/>
      <c r="AI396" s="177"/>
      <c r="AJ396" s="269"/>
      <c r="AK396" s="178"/>
      <c r="AL396" s="215"/>
      <c r="AM396" s="215"/>
      <c r="AN396" s="262">
        <f t="shared" si="152"/>
        <v>0</v>
      </c>
      <c r="AO396" s="263">
        <f t="shared" si="153"/>
        <v>0</v>
      </c>
      <c r="AP396" s="184"/>
      <c r="AQ396" s="263"/>
      <c r="AR396" s="184"/>
      <c r="AS396" s="263"/>
      <c r="AT396" s="36"/>
      <c r="AU396" s="36"/>
      <c r="AV396" s="36"/>
      <c r="AW396" s="36"/>
      <c r="AX396" s="36"/>
      <c r="AY396" s="36"/>
      <c r="AZ396" s="36"/>
    </row>
    <row r="397" spans="1:52" s="751" customFormat="1" x14ac:dyDescent="0.2">
      <c r="A397" s="752"/>
      <c r="B397" s="195"/>
      <c r="C397" s="176"/>
      <c r="D397" s="176"/>
      <c r="E397" s="206"/>
      <c r="F397" s="207"/>
      <c r="G397" s="806"/>
      <c r="H397" s="215"/>
      <c r="I397" s="806"/>
      <c r="J397" s="807"/>
      <c r="K397" s="215"/>
      <c r="L397" s="807"/>
      <c r="M397" s="215"/>
      <c r="N397" s="216"/>
      <c r="O397" s="215"/>
      <c r="P397" s="215"/>
      <c r="Q397" s="806"/>
      <c r="R397" s="807"/>
      <c r="S397" s="215"/>
      <c r="T397" s="216"/>
      <c r="U397" s="184"/>
      <c r="V397" s="184"/>
      <c r="W397" s="262"/>
      <c r="X397" s="263"/>
      <c r="Y397" s="296"/>
      <c r="Z397" s="297"/>
      <c r="AA397" s="268"/>
      <c r="AB397" s="178"/>
      <c r="AC397" s="674" t="s">
        <v>1633</v>
      </c>
      <c r="AD397" s="177">
        <f>'L. GASB 75 DIPNC'!C110</f>
        <v>0</v>
      </c>
      <c r="AE397" s="177"/>
      <c r="AF397" s="269" t="s">
        <v>1633</v>
      </c>
      <c r="AG397" s="177">
        <f>'L. GASB 75 DIPNC'!D136</f>
        <v>0</v>
      </c>
      <c r="AH397" s="270"/>
      <c r="AI397" s="177"/>
      <c r="AJ397" s="269"/>
      <c r="AK397" s="178"/>
      <c r="AL397" s="215"/>
      <c r="AM397" s="215"/>
      <c r="AN397" s="262">
        <f t="shared" ref="AN397" si="154">W397+Y397+AA397+AD397+AI397+AL397</f>
        <v>0</v>
      </c>
      <c r="AO397" s="263">
        <f t="shared" ref="AO397" si="155">X397+Z397+AB397+AG397+AK397+AM397</f>
        <v>0</v>
      </c>
      <c r="AP397" s="184"/>
      <c r="AQ397" s="263"/>
      <c r="AR397" s="184"/>
      <c r="AS397" s="263"/>
      <c r="AT397" s="36"/>
      <c r="AU397" s="36"/>
      <c r="AV397" s="36"/>
      <c r="AW397" s="36"/>
      <c r="AX397" s="36"/>
      <c r="AY397" s="36"/>
      <c r="AZ397" s="36"/>
    </row>
    <row r="398" spans="1:52" ht="5.25" customHeight="1" x14ac:dyDescent="0.2">
      <c r="A398" s="311"/>
      <c r="B398" s="306"/>
      <c r="C398" s="303"/>
      <c r="D398" s="303"/>
      <c r="E398" s="299"/>
      <c r="F398" s="403"/>
      <c r="G398" s="812"/>
      <c r="H398" s="293"/>
      <c r="I398" s="812"/>
      <c r="J398" s="813"/>
      <c r="K398" s="293"/>
      <c r="L398" s="813"/>
      <c r="M398" s="293"/>
      <c r="N398" s="404"/>
      <c r="O398" s="293"/>
      <c r="P398" s="293"/>
      <c r="Q398" s="812"/>
      <c r="R398" s="813"/>
      <c r="S398" s="293"/>
      <c r="T398" s="404"/>
      <c r="U398" s="184"/>
      <c r="V398" s="184"/>
      <c r="W398" s="262"/>
      <c r="X398" s="263"/>
      <c r="Y398" s="292"/>
      <c r="Z398" s="293"/>
      <c r="AA398" s="261"/>
      <c r="AB398" s="134"/>
      <c r="AC398" s="276"/>
      <c r="AE398" s="45"/>
      <c r="AF398" s="257"/>
      <c r="AG398" s="45"/>
      <c r="AH398" s="256"/>
      <c r="AI398" s="45"/>
      <c r="AJ398" s="257"/>
      <c r="AK398" s="134"/>
      <c r="AL398" s="211"/>
      <c r="AM398" s="211"/>
      <c r="AN398" s="262"/>
      <c r="AO398" s="263"/>
      <c r="AP398" s="184"/>
      <c r="AQ398" s="263"/>
      <c r="AR398" s="184"/>
      <c r="AS398" s="263"/>
      <c r="AT398" s="36"/>
      <c r="AU398" s="36"/>
      <c r="AV398" s="36"/>
      <c r="AW398" s="36"/>
      <c r="AX398" s="36"/>
      <c r="AY398" s="36"/>
      <c r="AZ398" s="36"/>
    </row>
    <row r="399" spans="1:52" ht="4.5" customHeight="1" x14ac:dyDescent="0.2">
      <c r="A399" s="311"/>
      <c r="B399" s="303"/>
      <c r="C399" s="303"/>
      <c r="D399" s="303"/>
      <c r="E399" s="299"/>
      <c r="F399" s="403"/>
      <c r="G399" s="812"/>
      <c r="H399" s="293"/>
      <c r="I399" s="812"/>
      <c r="J399" s="813"/>
      <c r="K399" s="293"/>
      <c r="L399" s="813"/>
      <c r="M399" s="293"/>
      <c r="N399" s="404"/>
      <c r="O399" s="293"/>
      <c r="P399" s="293"/>
      <c r="Q399" s="812"/>
      <c r="R399" s="813"/>
      <c r="S399" s="293"/>
      <c r="T399" s="404"/>
      <c r="U399" s="184"/>
      <c r="V399" s="184"/>
      <c r="W399" s="262"/>
      <c r="X399" s="263"/>
      <c r="Y399" s="292"/>
      <c r="Z399" s="293"/>
      <c r="AA399" s="261"/>
      <c r="AB399" s="134"/>
      <c r="AC399" s="276"/>
      <c r="AE399" s="45"/>
      <c r="AF399" s="257"/>
      <c r="AG399" s="45"/>
      <c r="AH399" s="256"/>
      <c r="AI399" s="45"/>
      <c r="AJ399" s="257"/>
      <c r="AK399" s="134"/>
      <c r="AL399" s="211"/>
      <c r="AM399" s="211"/>
      <c r="AN399" s="262"/>
      <c r="AO399" s="263"/>
      <c r="AP399" s="184"/>
      <c r="AQ399" s="263"/>
      <c r="AR399" s="184"/>
      <c r="AS399" s="263"/>
      <c r="AT399" s="36"/>
      <c r="AU399" s="36"/>
      <c r="AV399" s="36"/>
      <c r="AW399" s="36"/>
      <c r="AX399" s="36"/>
      <c r="AY399" s="36"/>
      <c r="AZ399" s="36"/>
    </row>
    <row r="400" spans="1:52" x14ac:dyDescent="0.2">
      <c r="A400" s="303"/>
      <c r="B400" s="406" t="s">
        <v>698</v>
      </c>
      <c r="C400" s="311"/>
      <c r="D400" s="311"/>
      <c r="E400" s="407"/>
      <c r="F400" s="307"/>
      <c r="G400" s="814"/>
      <c r="H400" s="295"/>
      <c r="I400" s="814"/>
      <c r="J400" s="815"/>
      <c r="K400" s="295"/>
      <c r="L400" s="815"/>
      <c r="M400" s="295"/>
      <c r="N400" s="408"/>
      <c r="O400" s="295"/>
      <c r="P400" s="295"/>
      <c r="Q400" s="814"/>
      <c r="R400" s="815"/>
      <c r="S400" s="295"/>
      <c r="T400" s="408"/>
      <c r="U400" s="184"/>
      <c r="V400" s="184"/>
      <c r="W400" s="262"/>
      <c r="X400" s="263"/>
      <c r="Y400" s="294"/>
      <c r="Z400" s="295"/>
      <c r="AA400" s="265"/>
      <c r="AB400" s="135"/>
      <c r="AC400" s="266"/>
      <c r="AD400" s="44"/>
      <c r="AE400" s="44"/>
      <c r="AF400" s="266"/>
      <c r="AG400" s="44"/>
      <c r="AH400" s="267"/>
      <c r="AI400" s="44"/>
      <c r="AJ400" s="266"/>
      <c r="AK400" s="135"/>
      <c r="AL400" s="213"/>
      <c r="AM400" s="213"/>
      <c r="AN400" s="262"/>
      <c r="AO400" s="263"/>
      <c r="AP400" s="184"/>
      <c r="AQ400" s="263"/>
      <c r="AR400" s="184"/>
      <c r="AS400" s="263"/>
      <c r="AT400" s="36"/>
      <c r="AU400" s="36"/>
      <c r="AV400" s="36"/>
      <c r="AW400" s="36"/>
      <c r="AX400" s="36"/>
      <c r="AY400" s="36"/>
      <c r="AZ400" s="36"/>
    </row>
    <row r="401" spans="1:52" x14ac:dyDescent="0.2">
      <c r="B401" s="195"/>
      <c r="C401" s="176" t="s">
        <v>297</v>
      </c>
      <c r="D401" s="176"/>
      <c r="E401" s="206">
        <v>409000</v>
      </c>
      <c r="F401" s="207"/>
      <c r="G401" s="806"/>
      <c r="H401" s="215"/>
      <c r="I401" s="806"/>
      <c r="J401" s="807"/>
      <c r="K401" s="215"/>
      <c r="L401" s="807"/>
      <c r="M401" s="215"/>
      <c r="N401" s="216"/>
      <c r="O401" s="215"/>
      <c r="P401" s="215"/>
      <c r="Q401" s="806"/>
      <c r="R401" s="807"/>
      <c r="S401" s="215"/>
      <c r="T401" s="216"/>
      <c r="U401" s="184">
        <f t="shared" ref="U401:V406" si="156">O401+Q401+S401</f>
        <v>0</v>
      </c>
      <c r="V401" s="184">
        <f t="shared" si="156"/>
        <v>0</v>
      </c>
      <c r="W401" s="262">
        <f t="shared" ref="W401:X406" si="157">E401+G401+I401+K401+M401+U401</f>
        <v>409000</v>
      </c>
      <c r="X401" s="263">
        <f t="shared" si="157"/>
        <v>0</v>
      </c>
      <c r="Y401" s="296"/>
      <c r="Z401" s="297"/>
      <c r="AA401" s="268"/>
      <c r="AB401" s="178"/>
      <c r="AC401" s="269"/>
      <c r="AD401" s="177"/>
      <c r="AE401" s="177"/>
      <c r="AF401" s="269" t="str">
        <f>'C. Capital Outlay &amp; Donations'!$D$100</f>
        <v>C.1</v>
      </c>
      <c r="AG401" s="177">
        <f>'C. Capital Outlay &amp; Donations'!M125</f>
        <v>409000</v>
      </c>
      <c r="AH401" s="270"/>
      <c r="AI401" s="177"/>
      <c r="AJ401" s="269"/>
      <c r="AK401" s="178"/>
      <c r="AL401" s="215"/>
      <c r="AM401" s="215"/>
      <c r="AN401" s="262">
        <f t="shared" ref="AN401:AN406" si="158">W401+Y401+AA401+AD401+AI401+AL401</f>
        <v>409000</v>
      </c>
      <c r="AO401" s="263">
        <f t="shared" ref="AO401:AO406" si="159">X401+Z401+AB401+AG401+AK401+AM401</f>
        <v>409000</v>
      </c>
      <c r="AP401" s="184" t="str">
        <f>IF(AN401+AN402-AO401-AO402&lt;=0, " ",AN401+AN402-AO401-AO402)</f>
        <v xml:space="preserve"> </v>
      </c>
      <c r="AQ401" s="263" t="str">
        <f>IF(AN401+AN402-AO401-AO402&gt;=0, " ", AO401+AO402-AN401-AN402)</f>
        <v xml:space="preserve"> </v>
      </c>
      <c r="AR401" s="184"/>
      <c r="AS401" s="263"/>
      <c r="AT401" s="36"/>
      <c r="AU401" s="36"/>
      <c r="AV401" s="36"/>
      <c r="AW401" s="36"/>
      <c r="AX401" s="36"/>
      <c r="AY401" s="36"/>
      <c r="AZ401" s="36"/>
    </row>
    <row r="402" spans="1:52" x14ac:dyDescent="0.2">
      <c r="B402" s="195"/>
      <c r="C402" s="176"/>
      <c r="D402" s="176"/>
      <c r="E402" s="206"/>
      <c r="F402" s="207"/>
      <c r="G402" s="806"/>
      <c r="H402" s="215"/>
      <c r="I402" s="806"/>
      <c r="J402" s="807"/>
      <c r="K402" s="215"/>
      <c r="L402" s="807"/>
      <c r="M402" s="215"/>
      <c r="N402" s="216"/>
      <c r="O402" s="215"/>
      <c r="P402" s="215"/>
      <c r="Q402" s="806"/>
      <c r="R402" s="807"/>
      <c r="S402" s="215"/>
      <c r="T402" s="216"/>
      <c r="U402" s="184">
        <f t="shared" si="156"/>
        <v>0</v>
      </c>
      <c r="V402" s="184">
        <f t="shared" si="156"/>
        <v>0</v>
      </c>
      <c r="W402" s="262">
        <f t="shared" si="157"/>
        <v>0</v>
      </c>
      <c r="X402" s="263">
        <f t="shared" si="157"/>
        <v>0</v>
      </c>
      <c r="Y402" s="296"/>
      <c r="Z402" s="297"/>
      <c r="AA402" s="268"/>
      <c r="AB402" s="178"/>
      <c r="AC402" s="269"/>
      <c r="AD402" s="177"/>
      <c r="AE402" s="177"/>
      <c r="AF402" s="269" t="str">
        <f>'C. Capital Outlay &amp; Donations'!$D$130</f>
        <v>C.2</v>
      </c>
      <c r="AG402" s="177">
        <f>'C. Capital Outlay &amp; Donations'!M149</f>
        <v>0</v>
      </c>
      <c r="AH402" s="270"/>
      <c r="AI402" s="177"/>
      <c r="AJ402" s="269"/>
      <c r="AK402" s="178"/>
      <c r="AL402" s="215"/>
      <c r="AM402" s="215"/>
      <c r="AN402" s="262">
        <f t="shared" si="158"/>
        <v>0</v>
      </c>
      <c r="AO402" s="263">
        <f t="shared" si="159"/>
        <v>0</v>
      </c>
      <c r="AP402" s="184"/>
      <c r="AQ402" s="263"/>
      <c r="AR402" s="184"/>
      <c r="AS402" s="263"/>
      <c r="AT402" s="36"/>
      <c r="AU402" s="36"/>
      <c r="AV402" s="36"/>
      <c r="AW402" s="36"/>
      <c r="AX402" s="36"/>
      <c r="AY402" s="36"/>
      <c r="AZ402" s="36"/>
    </row>
    <row r="403" spans="1:52" x14ac:dyDescent="0.2">
      <c r="B403" s="195"/>
      <c r="C403" s="176" t="s">
        <v>298</v>
      </c>
      <c r="D403" s="176"/>
      <c r="E403" s="206"/>
      <c r="F403" s="207"/>
      <c r="G403" s="806"/>
      <c r="H403" s="215"/>
      <c r="I403" s="806"/>
      <c r="J403" s="807"/>
      <c r="K403" s="215"/>
      <c r="L403" s="807"/>
      <c r="M403" s="215"/>
      <c r="N403" s="216"/>
      <c r="O403" s="215"/>
      <c r="P403" s="215"/>
      <c r="Q403" s="806"/>
      <c r="R403" s="807"/>
      <c r="S403" s="215"/>
      <c r="T403" s="216"/>
      <c r="U403" s="184">
        <f t="shared" si="156"/>
        <v>0</v>
      </c>
      <c r="V403" s="184">
        <f t="shared" si="156"/>
        <v>0</v>
      </c>
      <c r="W403" s="262">
        <f t="shared" si="157"/>
        <v>0</v>
      </c>
      <c r="X403" s="263">
        <f t="shared" si="157"/>
        <v>0</v>
      </c>
      <c r="Y403" s="296"/>
      <c r="Z403" s="297"/>
      <c r="AA403" s="268"/>
      <c r="AB403" s="178"/>
      <c r="AC403" s="269"/>
      <c r="AD403" s="177"/>
      <c r="AE403" s="177"/>
      <c r="AF403" s="269" t="str">
        <f>'C. Capital Outlay &amp; Donations'!$D$100</f>
        <v>C.1</v>
      </c>
      <c r="AG403" s="177">
        <f>'C. Capital Outlay &amp; Donations'!M126</f>
        <v>0</v>
      </c>
      <c r="AH403" s="270"/>
      <c r="AI403" s="177"/>
      <c r="AJ403" s="269"/>
      <c r="AK403" s="178"/>
      <c r="AL403" s="215"/>
      <c r="AM403" s="215"/>
      <c r="AN403" s="262">
        <f t="shared" si="158"/>
        <v>0</v>
      </c>
      <c r="AO403" s="263">
        <f t="shared" si="159"/>
        <v>0</v>
      </c>
      <c r="AP403" s="184" t="str">
        <f>IF(AN403+AN404-AO403-AO404&lt;=0, " ",AN403+AN404-AO403-AO404)</f>
        <v xml:space="preserve"> </v>
      </c>
      <c r="AQ403" s="263" t="str">
        <f>IF(AN403+AN404-AO403-AO404&gt;=0, " ", AO403+AO404-AN403-AN404)</f>
        <v xml:space="preserve"> </v>
      </c>
      <c r="AR403" s="184"/>
      <c r="AS403" s="263"/>
      <c r="AT403" s="36"/>
      <c r="AU403" s="36"/>
      <c r="AV403" s="36"/>
      <c r="AW403" s="36"/>
      <c r="AX403" s="36"/>
      <c r="AY403" s="36"/>
      <c r="AZ403" s="36"/>
    </row>
    <row r="404" spans="1:52" x14ac:dyDescent="0.2">
      <c r="B404" s="195"/>
      <c r="C404" s="176"/>
      <c r="D404" s="176"/>
      <c r="E404" s="206"/>
      <c r="F404" s="207"/>
      <c r="G404" s="806"/>
      <c r="H404" s="215"/>
      <c r="I404" s="806"/>
      <c r="J404" s="807"/>
      <c r="K404" s="215"/>
      <c r="L404" s="807"/>
      <c r="M404" s="215"/>
      <c r="N404" s="216"/>
      <c r="O404" s="215"/>
      <c r="P404" s="215"/>
      <c r="Q404" s="806"/>
      <c r="R404" s="807"/>
      <c r="S404" s="215"/>
      <c r="T404" s="216"/>
      <c r="U404" s="184">
        <f t="shared" si="156"/>
        <v>0</v>
      </c>
      <c r="V404" s="184">
        <f t="shared" si="156"/>
        <v>0</v>
      </c>
      <c r="W404" s="262">
        <f t="shared" si="157"/>
        <v>0</v>
      </c>
      <c r="X404" s="263">
        <f t="shared" si="157"/>
        <v>0</v>
      </c>
      <c r="Y404" s="296"/>
      <c r="Z404" s="297"/>
      <c r="AA404" s="268"/>
      <c r="AB404" s="178"/>
      <c r="AC404" s="269"/>
      <c r="AD404" s="177"/>
      <c r="AE404" s="177"/>
      <c r="AF404" s="269" t="str">
        <f>'C. Capital Outlay &amp; Donations'!$D$130</f>
        <v>C.2</v>
      </c>
      <c r="AG404" s="177">
        <f>'C. Capital Outlay &amp; Donations'!M150</f>
        <v>0</v>
      </c>
      <c r="AH404" s="270"/>
      <c r="AI404" s="177"/>
      <c r="AJ404" s="269"/>
      <c r="AK404" s="178"/>
      <c r="AL404" s="215"/>
      <c r="AM404" s="215"/>
      <c r="AN404" s="262">
        <f t="shared" si="158"/>
        <v>0</v>
      </c>
      <c r="AO404" s="263">
        <f t="shared" si="159"/>
        <v>0</v>
      </c>
      <c r="AP404" s="184"/>
      <c r="AQ404" s="263"/>
      <c r="AR404" s="184"/>
      <c r="AS404" s="263"/>
      <c r="AT404" s="36"/>
      <c r="AU404" s="36"/>
      <c r="AV404" s="36"/>
      <c r="AW404" s="36"/>
      <c r="AX404" s="36"/>
      <c r="AY404" s="36"/>
      <c r="AZ404" s="36"/>
    </row>
    <row r="405" spans="1:52" x14ac:dyDescent="0.2">
      <c r="B405" s="195"/>
      <c r="C405" s="176" t="s">
        <v>299</v>
      </c>
      <c r="D405" s="176"/>
      <c r="E405" s="206"/>
      <c r="F405" s="207"/>
      <c r="G405" s="806"/>
      <c r="H405" s="215"/>
      <c r="I405" s="806"/>
      <c r="J405" s="807"/>
      <c r="K405" s="215"/>
      <c r="L405" s="807"/>
      <c r="M405" s="215"/>
      <c r="N405" s="216"/>
      <c r="O405" s="215"/>
      <c r="P405" s="215"/>
      <c r="Q405" s="806"/>
      <c r="R405" s="807"/>
      <c r="S405" s="215"/>
      <c r="T405" s="216"/>
      <c r="U405" s="184">
        <f t="shared" si="156"/>
        <v>0</v>
      </c>
      <c r="V405" s="184">
        <f t="shared" si="156"/>
        <v>0</v>
      </c>
      <c r="W405" s="262">
        <f t="shared" si="157"/>
        <v>0</v>
      </c>
      <c r="X405" s="263">
        <f t="shared" si="157"/>
        <v>0</v>
      </c>
      <c r="Y405" s="296"/>
      <c r="Z405" s="297"/>
      <c r="AA405" s="268"/>
      <c r="AB405" s="178"/>
      <c r="AC405" s="269"/>
      <c r="AD405" s="177"/>
      <c r="AE405" s="177"/>
      <c r="AF405" s="269" t="str">
        <f>'C. Capital Outlay &amp; Donations'!$D$100</f>
        <v>C.1</v>
      </c>
      <c r="AG405" s="177">
        <f>'C. Capital Outlay &amp; Donations'!M127</f>
        <v>0</v>
      </c>
      <c r="AH405" s="270"/>
      <c r="AI405" s="177"/>
      <c r="AJ405" s="269"/>
      <c r="AK405" s="178"/>
      <c r="AL405" s="215"/>
      <c r="AM405" s="215"/>
      <c r="AN405" s="262">
        <f t="shared" si="158"/>
        <v>0</v>
      </c>
      <c r="AO405" s="263">
        <f t="shared" si="159"/>
        <v>0</v>
      </c>
      <c r="AP405" s="184" t="str">
        <f>IF(AN405+AN406-AO405-AO406&lt;=0, " ",AN405+AN406-AO405-AO406)</f>
        <v xml:space="preserve"> </v>
      </c>
      <c r="AQ405" s="263" t="str">
        <f>IF(AN405+AN406-AO405-AO406&gt;=0, " ", AO405+AO406-AN405-AN406)</f>
        <v xml:space="preserve"> </v>
      </c>
      <c r="AR405" s="184"/>
      <c r="AS405" s="263"/>
      <c r="AT405" s="36"/>
      <c r="AU405" s="36"/>
      <c r="AV405" s="36"/>
      <c r="AW405" s="36"/>
      <c r="AX405" s="36"/>
      <c r="AY405" s="36"/>
      <c r="AZ405" s="36"/>
    </row>
    <row r="406" spans="1:52" x14ac:dyDescent="0.2">
      <c r="B406" s="195"/>
      <c r="C406" s="176"/>
      <c r="D406" s="176"/>
      <c r="E406" s="206"/>
      <c r="F406" s="207"/>
      <c r="G406" s="806"/>
      <c r="H406" s="215"/>
      <c r="I406" s="806"/>
      <c r="J406" s="807"/>
      <c r="K406" s="215"/>
      <c r="L406" s="807"/>
      <c r="M406" s="215"/>
      <c r="N406" s="216"/>
      <c r="O406" s="215"/>
      <c r="P406" s="215"/>
      <c r="Q406" s="806"/>
      <c r="R406" s="807"/>
      <c r="S406" s="215"/>
      <c r="T406" s="216"/>
      <c r="U406" s="184">
        <f t="shared" si="156"/>
        <v>0</v>
      </c>
      <c r="V406" s="184">
        <f t="shared" si="156"/>
        <v>0</v>
      </c>
      <c r="W406" s="262">
        <f t="shared" si="157"/>
        <v>0</v>
      </c>
      <c r="X406" s="263">
        <f t="shared" si="157"/>
        <v>0</v>
      </c>
      <c r="Y406" s="296"/>
      <c r="Z406" s="297"/>
      <c r="AA406" s="268"/>
      <c r="AB406" s="178"/>
      <c r="AC406" s="269"/>
      <c r="AD406" s="177"/>
      <c r="AE406" s="177"/>
      <c r="AF406" s="269" t="str">
        <f>'C. Capital Outlay &amp; Donations'!$D$130</f>
        <v>C.2</v>
      </c>
      <c r="AG406" s="177">
        <f>'C. Capital Outlay &amp; Donations'!M151</f>
        <v>0</v>
      </c>
      <c r="AH406" s="270"/>
      <c r="AI406" s="177"/>
      <c r="AJ406" s="269"/>
      <c r="AK406" s="178"/>
      <c r="AL406" s="215"/>
      <c r="AM406" s="215"/>
      <c r="AN406" s="262">
        <f t="shared" si="158"/>
        <v>0</v>
      </c>
      <c r="AO406" s="263">
        <f t="shared" si="159"/>
        <v>0</v>
      </c>
      <c r="AP406" s="184"/>
      <c r="AQ406" s="263"/>
      <c r="AR406" s="184"/>
      <c r="AS406" s="263"/>
      <c r="AT406" s="36"/>
      <c r="AU406" s="36"/>
      <c r="AV406" s="36"/>
      <c r="AW406" s="36"/>
      <c r="AX406" s="36"/>
      <c r="AY406" s="36"/>
      <c r="AZ406" s="36"/>
    </row>
    <row r="407" spans="1:52" ht="6" customHeight="1" x14ac:dyDescent="0.2">
      <c r="A407" s="303"/>
      <c r="B407" s="306"/>
      <c r="C407" s="303"/>
      <c r="D407" s="303"/>
      <c r="E407" s="299"/>
      <c r="F407" s="403"/>
      <c r="G407" s="812"/>
      <c r="H407" s="293"/>
      <c r="I407" s="812"/>
      <c r="J407" s="813"/>
      <c r="K407" s="293"/>
      <c r="L407" s="813"/>
      <c r="M407" s="293"/>
      <c r="N407" s="404"/>
      <c r="O407" s="293"/>
      <c r="P407" s="293"/>
      <c r="Q407" s="812"/>
      <c r="R407" s="813"/>
      <c r="S407" s="293"/>
      <c r="T407" s="404"/>
      <c r="U407" s="184"/>
      <c r="V407" s="184"/>
      <c r="W407" s="262"/>
      <c r="X407" s="263"/>
      <c r="Y407" s="292"/>
      <c r="Z407" s="293"/>
      <c r="AA407" s="261"/>
      <c r="AB407" s="134"/>
      <c r="AC407" s="257"/>
      <c r="AD407" s="45"/>
      <c r="AE407" s="45"/>
      <c r="AF407" s="257"/>
      <c r="AG407" s="45"/>
      <c r="AH407" s="256"/>
      <c r="AI407" s="45"/>
      <c r="AJ407" s="257"/>
      <c r="AK407" s="134"/>
      <c r="AL407" s="211"/>
      <c r="AM407" s="211"/>
      <c r="AN407" s="262"/>
      <c r="AO407" s="263"/>
      <c r="AP407" s="184"/>
      <c r="AQ407" s="263"/>
      <c r="AR407" s="184"/>
      <c r="AS407" s="263"/>
      <c r="AT407" s="36"/>
      <c r="AU407" s="36"/>
      <c r="AV407" s="36"/>
      <c r="AW407" s="36"/>
      <c r="AX407" s="36"/>
      <c r="AY407" s="36"/>
      <c r="AZ407" s="36"/>
    </row>
    <row r="408" spans="1:52" x14ac:dyDescent="0.2">
      <c r="A408" s="303"/>
      <c r="B408" s="306" t="s">
        <v>697</v>
      </c>
      <c r="C408" s="303"/>
      <c r="D408" s="303"/>
      <c r="E408" s="299"/>
      <c r="F408" s="403"/>
      <c r="G408" s="812"/>
      <c r="H408" s="293"/>
      <c r="I408" s="812"/>
      <c r="J408" s="813"/>
      <c r="K408" s="293"/>
      <c r="L408" s="813"/>
      <c r="M408" s="293"/>
      <c r="N408" s="404"/>
      <c r="O408" s="293"/>
      <c r="P408" s="293"/>
      <c r="Q408" s="812"/>
      <c r="R408" s="813"/>
      <c r="S408" s="293"/>
      <c r="T408" s="404"/>
      <c r="U408" s="184"/>
      <c r="V408" s="184"/>
      <c r="W408" s="262"/>
      <c r="X408" s="263"/>
      <c r="Y408" s="292"/>
      <c r="Z408" s="293"/>
      <c r="AA408" s="261"/>
      <c r="AB408" s="134"/>
      <c r="AC408" s="257"/>
      <c r="AD408" s="45"/>
      <c r="AE408" s="45"/>
      <c r="AF408" s="257"/>
      <c r="AG408" s="45"/>
      <c r="AH408" s="256"/>
      <c r="AI408" s="45"/>
      <c r="AJ408" s="257"/>
      <c r="AK408" s="134"/>
      <c r="AL408" s="211"/>
      <c r="AM408" s="211"/>
      <c r="AN408" s="262"/>
      <c r="AO408" s="263"/>
      <c r="AP408" s="184"/>
      <c r="AQ408" s="263"/>
      <c r="AR408" s="184"/>
      <c r="AS408" s="263"/>
      <c r="AT408" s="36"/>
      <c r="AU408" s="36"/>
      <c r="AV408" s="36"/>
      <c r="AW408" s="36"/>
      <c r="AX408" s="36"/>
      <c r="AY408" s="36"/>
      <c r="AZ408" s="36"/>
    </row>
    <row r="409" spans="1:52" x14ac:dyDescent="0.2">
      <c r="B409" s="176"/>
      <c r="C409" s="176" t="s">
        <v>366</v>
      </c>
      <c r="D409" s="176"/>
      <c r="E409" s="206">
        <v>31439</v>
      </c>
      <c r="F409" s="207"/>
      <c r="G409" s="806"/>
      <c r="H409" s="215"/>
      <c r="I409" s="806"/>
      <c r="J409" s="807"/>
      <c r="K409" s="215"/>
      <c r="L409" s="807"/>
      <c r="M409" s="215"/>
      <c r="N409" s="216"/>
      <c r="O409" s="215"/>
      <c r="P409" s="215"/>
      <c r="Q409" s="806"/>
      <c r="R409" s="807"/>
      <c r="S409" s="215"/>
      <c r="T409" s="216"/>
      <c r="U409" s="184">
        <f t="shared" ref="U409:V413" si="160">O409+Q409+S409</f>
        <v>0</v>
      </c>
      <c r="V409" s="184">
        <f t="shared" si="160"/>
        <v>0</v>
      </c>
      <c r="W409" s="262">
        <f>E409+G409+I409+K409+M409+U409</f>
        <v>31439</v>
      </c>
      <c r="X409" s="263">
        <f>F409+H409+J409+L409+N409+V409</f>
        <v>0</v>
      </c>
      <c r="Y409" s="296"/>
      <c r="Z409" s="297"/>
      <c r="AA409" s="268"/>
      <c r="AB409" s="178"/>
      <c r="AC409" s="269" t="str">
        <f>'C. Capital Outlay &amp; Donations'!$D$130</f>
        <v>C.2</v>
      </c>
      <c r="AD409" s="177">
        <f>'C. Capital Outlay &amp; Donations'!K130</f>
        <v>0</v>
      </c>
      <c r="AE409" s="177"/>
      <c r="AF409" s="269" t="str">
        <f>'E. Debt Service'!D101</f>
        <v>E.2</v>
      </c>
      <c r="AG409" s="177">
        <f>'E. Debt Service'!N105</f>
        <v>31439</v>
      </c>
      <c r="AH409" s="270"/>
      <c r="AI409" s="177"/>
      <c r="AJ409" s="269"/>
      <c r="AK409" s="178"/>
      <c r="AL409" s="215"/>
      <c r="AM409" s="215"/>
      <c r="AN409" s="262">
        <f>W409+Y409+AA409+AD409+AI409+AL409</f>
        <v>31439</v>
      </c>
      <c r="AO409" s="263">
        <f>X409+Z409+AB409+AG409+AK409+AM409</f>
        <v>31439</v>
      </c>
      <c r="AP409" s="184" t="str">
        <f>IF(AN409+AN410-AO409-AO410&lt;=0, " ",AN409+AN410-AO409-AO410)</f>
        <v xml:space="preserve"> </v>
      </c>
      <c r="AQ409" s="263" t="str">
        <f>IF(AN409+AN410-AO409-AO410&gt;=0, " ", AO409+AO410-AN409-AN410)</f>
        <v xml:space="preserve"> </v>
      </c>
      <c r="AR409" s="184"/>
      <c r="AS409" s="263"/>
      <c r="AT409" s="36"/>
      <c r="AU409" s="36"/>
      <c r="AV409" s="36"/>
      <c r="AW409" s="36"/>
      <c r="AX409" s="36"/>
      <c r="AY409" s="36"/>
      <c r="AZ409" s="36"/>
    </row>
    <row r="410" spans="1:52" x14ac:dyDescent="0.2">
      <c r="B410" s="176"/>
      <c r="C410" s="176"/>
      <c r="D410" s="176"/>
      <c r="E410" s="206"/>
      <c r="F410" s="207"/>
      <c r="G410" s="806"/>
      <c r="H410" s="215"/>
      <c r="I410" s="806"/>
      <c r="J410" s="807"/>
      <c r="K410" s="215"/>
      <c r="L410" s="807"/>
      <c r="M410" s="215"/>
      <c r="N410" s="216"/>
      <c r="O410" s="215"/>
      <c r="P410" s="215"/>
      <c r="Q410" s="806"/>
      <c r="R410" s="807"/>
      <c r="S410" s="215"/>
      <c r="T410" s="216"/>
      <c r="U410" s="184">
        <f t="shared" si="160"/>
        <v>0</v>
      </c>
      <c r="V410" s="184">
        <f t="shared" si="160"/>
        <v>0</v>
      </c>
      <c r="W410" s="262">
        <f t="shared" ref="W410:X413" si="161">E410+G410+I410+K410+M410+U410</f>
        <v>0</v>
      </c>
      <c r="X410" s="263">
        <f t="shared" si="161"/>
        <v>0</v>
      </c>
      <c r="Y410" s="296"/>
      <c r="Z410" s="297"/>
      <c r="AA410" s="268"/>
      <c r="AB410" s="178"/>
      <c r="AC410" s="269" t="str">
        <f>'E. Debt Service'!$D$81</f>
        <v>E.1</v>
      </c>
      <c r="AD410" s="177">
        <f>'E. Debt Service'!L81</f>
        <v>0</v>
      </c>
      <c r="AE410" s="177"/>
      <c r="AF410" s="269"/>
      <c r="AG410" s="177"/>
      <c r="AH410" s="270"/>
      <c r="AI410" s="177"/>
      <c r="AJ410" s="269"/>
      <c r="AK410" s="178"/>
      <c r="AL410" s="215"/>
      <c r="AM410" s="215"/>
      <c r="AN410" s="262">
        <f>W410+Y410+AA410+AD410+AI410+AL410</f>
        <v>0</v>
      </c>
      <c r="AO410" s="263">
        <f>X410+Z410+AB410+AG410+AK410+AM410</f>
        <v>0</v>
      </c>
      <c r="AP410" s="184"/>
      <c r="AQ410" s="263"/>
      <c r="AR410" s="184"/>
      <c r="AS410" s="263"/>
      <c r="AT410" s="36"/>
      <c r="AU410" s="36"/>
      <c r="AV410" s="36"/>
      <c r="AW410" s="36"/>
      <c r="AX410" s="36"/>
      <c r="AY410" s="36"/>
      <c r="AZ410" s="36"/>
    </row>
    <row r="411" spans="1:52" x14ac:dyDescent="0.2">
      <c r="B411" s="176"/>
      <c r="C411" s="176" t="s">
        <v>367</v>
      </c>
      <c r="D411" s="176"/>
      <c r="E411" s="206">
        <v>5561</v>
      </c>
      <c r="F411" s="207"/>
      <c r="G411" s="806"/>
      <c r="H411" s="215"/>
      <c r="I411" s="806"/>
      <c r="J411" s="807"/>
      <c r="K411" s="215"/>
      <c r="L411" s="807"/>
      <c r="M411" s="215"/>
      <c r="N411" s="216"/>
      <c r="O411" s="215"/>
      <c r="P411" s="215"/>
      <c r="Q411" s="806"/>
      <c r="R411" s="807"/>
      <c r="S411" s="215"/>
      <c r="T411" s="216"/>
      <c r="U411" s="184">
        <f t="shared" si="160"/>
        <v>0</v>
      </c>
      <c r="V411" s="184">
        <f t="shared" si="160"/>
        <v>0</v>
      </c>
      <c r="W411" s="262">
        <f t="shared" si="161"/>
        <v>5561</v>
      </c>
      <c r="X411" s="263">
        <f t="shared" si="161"/>
        <v>0</v>
      </c>
      <c r="Y411" s="296"/>
      <c r="Z411" s="297"/>
      <c r="AA411" s="268"/>
      <c r="AB411" s="178"/>
      <c r="AC411" s="269" t="str">
        <f>'E. Debt Service'!$D$110</f>
        <v>E.4</v>
      </c>
      <c r="AD411" s="177">
        <f>'E. Debt Service'!L111</f>
        <v>611</v>
      </c>
      <c r="AE411" s="177"/>
      <c r="AF411" s="269" t="str">
        <f>'E. Debt Service'!$D$110</f>
        <v>E.4</v>
      </c>
      <c r="AG411" s="177">
        <f>'E. Debt Service'!N111</f>
        <v>0</v>
      </c>
      <c r="AH411" s="270"/>
      <c r="AI411" s="177"/>
      <c r="AJ411" s="269" t="str">
        <f>'I. Eliminations-Consolidations'!A250</f>
        <v>I.7</v>
      </c>
      <c r="AK411" s="178">
        <f>'I. Eliminations-Consolidations'!L267</f>
        <v>0</v>
      </c>
      <c r="AL411" s="215"/>
      <c r="AM411" s="215"/>
      <c r="AN411" s="262">
        <f>W411+Y411+AA411+AD411+AI411+AL411</f>
        <v>6172</v>
      </c>
      <c r="AO411" s="263">
        <f>X411+Z411+AB411+AG411+AK411+AM411</f>
        <v>0</v>
      </c>
      <c r="AP411" s="184">
        <f>IF(AN411+AN412+AN413-AO411-AO412-AO413&lt;=0, " ",AN411+AN412+AN413-AO411-AO412-AO413)</f>
        <v>6172</v>
      </c>
      <c r="AQ411" s="263" t="str">
        <f>IF(AN411+AN412+AN413-AO411-AO412-AO413&gt;=0, " ", AO411+AO412+AO413-AN411-AN412-AN413)</f>
        <v xml:space="preserve"> </v>
      </c>
      <c r="AR411" s="184"/>
      <c r="AS411" s="263"/>
      <c r="AT411" s="36"/>
      <c r="AU411" s="36"/>
      <c r="AV411" s="36"/>
      <c r="AW411" s="36"/>
      <c r="AX411" s="36"/>
      <c r="AY411" s="36"/>
      <c r="AZ411" s="36"/>
    </row>
    <row r="412" spans="1:52" x14ac:dyDescent="0.2">
      <c r="B412" s="176"/>
      <c r="C412" s="176"/>
      <c r="D412" s="176"/>
      <c r="E412" s="206"/>
      <c r="F412" s="207"/>
      <c r="G412" s="806"/>
      <c r="H412" s="215"/>
      <c r="I412" s="806"/>
      <c r="J412" s="807"/>
      <c r="K412" s="215"/>
      <c r="L412" s="807"/>
      <c r="M412" s="215"/>
      <c r="N412" s="216"/>
      <c r="O412" s="215"/>
      <c r="P412" s="215"/>
      <c r="Q412" s="806"/>
      <c r="R412" s="807"/>
      <c r="S412" s="215"/>
      <c r="T412" s="216"/>
      <c r="U412" s="184">
        <f t="shared" si="160"/>
        <v>0</v>
      </c>
      <c r="V412" s="184">
        <f t="shared" si="160"/>
        <v>0</v>
      </c>
      <c r="W412" s="262">
        <f t="shared" si="161"/>
        <v>0</v>
      </c>
      <c r="X412" s="263">
        <f t="shared" si="161"/>
        <v>0</v>
      </c>
      <c r="Y412" s="296"/>
      <c r="Z412" s="297"/>
      <c r="AA412" s="268"/>
      <c r="AB412" s="178"/>
      <c r="AC412" s="269" t="str">
        <f>'E. Debt Service'!$D$81</f>
        <v>E.1</v>
      </c>
      <c r="AD412" s="177">
        <f>'E. Debt Service'!L82</f>
        <v>0</v>
      </c>
      <c r="AE412" s="177"/>
      <c r="AF412" s="269"/>
      <c r="AG412" s="177"/>
      <c r="AH412" s="270"/>
      <c r="AI412" s="177"/>
      <c r="AJ412" s="269"/>
      <c r="AK412" s="178"/>
      <c r="AL412" s="215"/>
      <c r="AM412" s="215"/>
      <c r="AN412" s="262">
        <f>W412+Y412+AA412+AD412+AI412+AL412</f>
        <v>0</v>
      </c>
      <c r="AO412" s="263">
        <f>X412+Z412+AB412+AG412+AK412+AM412</f>
        <v>0</v>
      </c>
      <c r="AP412" s="184"/>
      <c r="AQ412" s="263"/>
      <c r="AR412" s="184"/>
      <c r="AS412" s="263"/>
      <c r="AT412" s="36"/>
      <c r="AU412" s="36"/>
      <c r="AV412" s="36"/>
      <c r="AW412" s="36"/>
      <c r="AX412" s="36"/>
      <c r="AY412" s="36"/>
      <c r="AZ412" s="36"/>
    </row>
    <row r="413" spans="1:52" x14ac:dyDescent="0.2">
      <c r="B413" s="176"/>
      <c r="C413" s="176"/>
      <c r="D413" s="176"/>
      <c r="E413" s="206"/>
      <c r="F413" s="207"/>
      <c r="G413" s="806"/>
      <c r="H413" s="215"/>
      <c r="I413" s="806"/>
      <c r="J413" s="807"/>
      <c r="K413" s="215"/>
      <c r="L413" s="807"/>
      <c r="M413" s="215"/>
      <c r="N413" s="216"/>
      <c r="O413" s="215"/>
      <c r="P413" s="215"/>
      <c r="Q413" s="806"/>
      <c r="R413" s="807"/>
      <c r="S413" s="215"/>
      <c r="T413" s="216"/>
      <c r="U413" s="184">
        <f t="shared" si="160"/>
        <v>0</v>
      </c>
      <c r="V413" s="184">
        <f t="shared" si="160"/>
        <v>0</v>
      </c>
      <c r="W413" s="262">
        <f t="shared" si="161"/>
        <v>0</v>
      </c>
      <c r="X413" s="263">
        <f t="shared" si="161"/>
        <v>0</v>
      </c>
      <c r="Y413" s="296"/>
      <c r="Z413" s="297"/>
      <c r="AA413" s="268"/>
      <c r="AB413" s="178"/>
      <c r="AC413" s="269" t="str">
        <f>'C. Capital Outlay &amp; Donations'!$D$130</f>
        <v>C.2</v>
      </c>
      <c r="AD413" s="177">
        <f>'C. Capital Outlay &amp; Donations'!K131</f>
        <v>0</v>
      </c>
      <c r="AE413" s="177"/>
      <c r="AF413" s="269"/>
      <c r="AG413" s="177"/>
      <c r="AH413" s="270"/>
      <c r="AI413" s="177"/>
      <c r="AJ413" s="269"/>
      <c r="AK413" s="178"/>
      <c r="AL413" s="215"/>
      <c r="AM413" s="215"/>
      <c r="AN413" s="262">
        <f>W413+Y413+AA413+AD413+AI413+AL413</f>
        <v>0</v>
      </c>
      <c r="AO413" s="263">
        <f>X413+Z413+AB413+AG413+AK413+AM413</f>
        <v>0</v>
      </c>
      <c r="AP413" s="184"/>
      <c r="AQ413" s="263"/>
      <c r="AR413" s="184"/>
      <c r="AS413" s="263"/>
      <c r="AT413" s="36"/>
      <c r="AU413" s="36"/>
      <c r="AV413" s="36"/>
      <c r="AW413" s="36"/>
      <c r="AX413" s="36"/>
      <c r="AY413" s="36"/>
      <c r="AZ413" s="36"/>
    </row>
    <row r="414" spans="1:52" ht="3.75" customHeight="1" x14ac:dyDescent="0.2">
      <c r="A414" s="303"/>
      <c r="B414" s="303"/>
      <c r="C414" s="303"/>
      <c r="D414" s="303"/>
      <c r="E414" s="299"/>
      <c r="F414" s="403"/>
      <c r="G414" s="812"/>
      <c r="H414" s="293"/>
      <c r="I414" s="812"/>
      <c r="J414" s="813"/>
      <c r="K414" s="293"/>
      <c r="L414" s="813"/>
      <c r="M414" s="293"/>
      <c r="N414" s="404"/>
      <c r="O414" s="293"/>
      <c r="P414" s="293"/>
      <c r="Q414" s="812"/>
      <c r="R414" s="813"/>
      <c r="S414" s="293"/>
      <c r="T414" s="404"/>
      <c r="U414" s="184"/>
      <c r="V414" s="184"/>
      <c r="W414" s="262"/>
      <c r="X414" s="263"/>
      <c r="Y414" s="292"/>
      <c r="Z414" s="293"/>
      <c r="AA414" s="261"/>
      <c r="AB414" s="134"/>
      <c r="AC414" s="257"/>
      <c r="AD414" s="45"/>
      <c r="AE414" s="45"/>
      <c r="AF414" s="257"/>
      <c r="AG414" s="45"/>
      <c r="AH414" s="256"/>
      <c r="AI414" s="45"/>
      <c r="AJ414" s="257"/>
      <c r="AK414" s="134"/>
      <c r="AL414" s="211"/>
      <c r="AM414" s="211"/>
      <c r="AN414" s="262"/>
      <c r="AO414" s="263"/>
      <c r="AP414" s="184"/>
      <c r="AQ414" s="263"/>
      <c r="AR414" s="184"/>
      <c r="AS414" s="263"/>
      <c r="AT414" s="36"/>
      <c r="AU414" s="36"/>
      <c r="AV414" s="36"/>
      <c r="AW414" s="36"/>
      <c r="AX414" s="36"/>
      <c r="AY414" s="36"/>
      <c r="AZ414" s="36"/>
    </row>
    <row r="415" spans="1:52" x14ac:dyDescent="0.2">
      <c r="B415" s="4" t="s">
        <v>655</v>
      </c>
      <c r="E415" s="202"/>
      <c r="F415" s="203"/>
      <c r="G415" s="802"/>
      <c r="H415" s="211"/>
      <c r="I415" s="802"/>
      <c r="J415" s="803"/>
      <c r="K415" s="211"/>
      <c r="L415" s="803"/>
      <c r="M415" s="211"/>
      <c r="N415" s="212"/>
      <c r="O415" s="211"/>
      <c r="P415" s="211"/>
      <c r="Q415" s="802"/>
      <c r="R415" s="803"/>
      <c r="S415" s="211"/>
      <c r="T415" s="212"/>
      <c r="U415" s="184">
        <f>O415+Q415+S415</f>
        <v>0</v>
      </c>
      <c r="V415" s="184">
        <f>P415+R415+T415</f>
        <v>0</v>
      </c>
      <c r="W415" s="262">
        <f>E415+G415+I415+K415+M415+U415</f>
        <v>0</v>
      </c>
      <c r="X415" s="263">
        <f>F415+H415+J415+L415+N415+V415</f>
        <v>0</v>
      </c>
      <c r="Y415" s="292"/>
      <c r="Z415" s="293"/>
      <c r="AA415" s="261"/>
      <c r="AB415" s="134"/>
      <c r="AC415" s="257" t="str">
        <f>'B. Depreciation'!A54</f>
        <v>B.1</v>
      </c>
      <c r="AD415" s="45">
        <f>'B. Depreciation'!J71</f>
        <v>0</v>
      </c>
      <c r="AE415" s="45"/>
      <c r="AF415" s="257"/>
      <c r="AG415" s="45"/>
      <c r="AH415" s="256"/>
      <c r="AI415" s="45"/>
      <c r="AJ415" s="257"/>
      <c r="AK415" s="134"/>
      <c r="AL415" s="211"/>
      <c r="AM415" s="211"/>
      <c r="AN415" s="262">
        <f>W415+Y415+AA415+AD415+AI415+AL415</f>
        <v>0</v>
      </c>
      <c r="AO415" s="263">
        <f>X415+Z415+AB415+AG415+AK415+AM415</f>
        <v>0</v>
      </c>
      <c r="AP415" s="184">
        <f>IF(AN415-AO415&lt;0, " ",AN415-AO415)</f>
        <v>0</v>
      </c>
      <c r="AQ415" s="263">
        <f>IF(AN415-AO415&gt;0, " ", AO415-AN415)</f>
        <v>0</v>
      </c>
      <c r="AR415" s="184"/>
      <c r="AS415" s="263"/>
      <c r="AT415" s="36"/>
      <c r="AU415" s="36"/>
      <c r="AV415" s="36"/>
      <c r="AW415" s="36"/>
      <c r="AX415" s="36"/>
      <c r="AY415" s="36"/>
      <c r="AZ415" s="36"/>
    </row>
    <row r="416" spans="1:52" ht="3.75" customHeight="1" x14ac:dyDescent="0.2">
      <c r="A416" s="303"/>
      <c r="B416" s="306"/>
      <c r="C416" s="303"/>
      <c r="D416" s="303"/>
      <c r="E416" s="299"/>
      <c r="F416" s="403"/>
      <c r="G416" s="812"/>
      <c r="H416" s="293"/>
      <c r="I416" s="812"/>
      <c r="J416" s="813"/>
      <c r="K416" s="293"/>
      <c r="L416" s="813"/>
      <c r="M416" s="293"/>
      <c r="N416" s="404"/>
      <c r="O416" s="293"/>
      <c r="P416" s="293"/>
      <c r="Q416" s="812"/>
      <c r="R416" s="813"/>
      <c r="S416" s="293"/>
      <c r="T416" s="404"/>
      <c r="U416" s="184"/>
      <c r="V416" s="184"/>
      <c r="W416" s="262"/>
      <c r="X416" s="263"/>
      <c r="Y416" s="292"/>
      <c r="Z416" s="293"/>
      <c r="AA416" s="261"/>
      <c r="AB416" s="134"/>
      <c r="AC416" s="276"/>
      <c r="AE416" s="45"/>
      <c r="AF416" s="257"/>
      <c r="AG416" s="45"/>
      <c r="AH416" s="256"/>
      <c r="AI416" s="45"/>
      <c r="AJ416" s="257"/>
      <c r="AK416" s="134"/>
      <c r="AL416" s="211"/>
      <c r="AM416" s="211"/>
      <c r="AN416" s="262"/>
      <c r="AO416" s="263"/>
      <c r="AP416" s="184"/>
      <c r="AQ416" s="263"/>
      <c r="AR416" s="184"/>
      <c r="AS416" s="263"/>
      <c r="AT416" s="36"/>
      <c r="AU416" s="36"/>
      <c r="AV416" s="36"/>
      <c r="AW416" s="36"/>
      <c r="AX416" s="36"/>
      <c r="AY416" s="36"/>
      <c r="AZ416" s="36"/>
    </row>
    <row r="417" spans="1:52" ht="18" customHeight="1" x14ac:dyDescent="0.2">
      <c r="A417" s="948" t="s">
        <v>388</v>
      </c>
      <c r="B417" s="949"/>
      <c r="C417" s="949"/>
      <c r="D417" s="401"/>
      <c r="E417" s="299"/>
      <c r="F417" s="403"/>
      <c r="G417" s="812"/>
      <c r="H417" s="293"/>
      <c r="I417" s="812"/>
      <c r="J417" s="813"/>
      <c r="K417" s="293"/>
      <c r="L417" s="813"/>
      <c r="M417" s="293"/>
      <c r="N417" s="404"/>
      <c r="O417" s="293"/>
      <c r="P417" s="293"/>
      <c r="Q417" s="812"/>
      <c r="R417" s="813"/>
      <c r="S417" s="293"/>
      <c r="T417" s="404"/>
      <c r="U417" s="184"/>
      <c r="V417" s="184"/>
      <c r="W417" s="262"/>
      <c r="X417" s="263"/>
      <c r="Y417" s="292"/>
      <c r="Z417" s="293"/>
      <c r="AA417" s="261"/>
      <c r="AB417" s="134"/>
      <c r="AC417" s="257"/>
      <c r="AD417" s="45"/>
      <c r="AE417" s="45"/>
      <c r="AF417" s="257"/>
      <c r="AG417" s="45"/>
      <c r="AH417" s="256"/>
      <c r="AI417" s="45"/>
      <c r="AJ417" s="257"/>
      <c r="AK417" s="134"/>
      <c r="AL417" s="211"/>
      <c r="AM417" s="211"/>
      <c r="AN417" s="262"/>
      <c r="AO417" s="263"/>
      <c r="AP417" s="184"/>
      <c r="AQ417" s="263"/>
      <c r="AR417" s="184"/>
      <c r="AS417" s="263"/>
      <c r="AT417" s="36"/>
      <c r="AU417" s="36"/>
      <c r="AV417" s="36"/>
      <c r="AW417" s="36"/>
      <c r="AX417" s="36"/>
      <c r="AY417" s="36"/>
      <c r="AZ417" s="36"/>
    </row>
    <row r="418" spans="1:52" ht="3.75" customHeight="1" x14ac:dyDescent="0.2">
      <c r="A418" s="303"/>
      <c r="B418" s="306"/>
      <c r="C418" s="303"/>
      <c r="D418" s="303"/>
      <c r="E418" s="299"/>
      <c r="F418" s="403"/>
      <c r="G418" s="812"/>
      <c r="H418" s="293"/>
      <c r="I418" s="812"/>
      <c r="J418" s="813"/>
      <c r="K418" s="293"/>
      <c r="L418" s="813"/>
      <c r="M418" s="293"/>
      <c r="N418" s="404"/>
      <c r="O418" s="293"/>
      <c r="P418" s="293"/>
      <c r="Q418" s="812"/>
      <c r="R418" s="813"/>
      <c r="S418" s="293"/>
      <c r="T418" s="404"/>
      <c r="U418" s="184"/>
      <c r="V418" s="184"/>
      <c r="W418" s="262"/>
      <c r="X418" s="263"/>
      <c r="Y418" s="292"/>
      <c r="Z418" s="293"/>
      <c r="AA418" s="261"/>
      <c r="AB418" s="134"/>
      <c r="AC418" s="257"/>
      <c r="AD418" s="45"/>
      <c r="AE418" s="45"/>
      <c r="AF418" s="257"/>
      <c r="AG418" s="45"/>
      <c r="AH418" s="256"/>
      <c r="AI418" s="45"/>
      <c r="AJ418" s="257"/>
      <c r="AK418" s="134"/>
      <c r="AL418" s="211"/>
      <c r="AM418" s="211"/>
      <c r="AN418" s="262"/>
      <c r="AO418" s="263"/>
      <c r="AP418" s="184"/>
      <c r="AQ418" s="263"/>
      <c r="AR418" s="184"/>
      <c r="AS418" s="263"/>
      <c r="AT418" s="36"/>
      <c r="AU418" s="36"/>
      <c r="AV418" s="36"/>
      <c r="AW418" s="36"/>
      <c r="AX418" s="36"/>
      <c r="AY418" s="36"/>
      <c r="AZ418" s="36"/>
    </row>
    <row r="419" spans="1:52" x14ac:dyDescent="0.2">
      <c r="C419" t="s">
        <v>696</v>
      </c>
      <c r="E419" s="202"/>
      <c r="F419" s="203"/>
      <c r="G419" s="802"/>
      <c r="H419" s="211"/>
      <c r="I419" s="802"/>
      <c r="J419" s="803"/>
      <c r="K419" s="211"/>
      <c r="L419" s="803"/>
      <c r="M419" s="211"/>
      <c r="N419" s="212"/>
      <c r="O419" s="211"/>
      <c r="P419" s="211"/>
      <c r="Q419" s="802"/>
      <c r="R419" s="803"/>
      <c r="S419" s="211"/>
      <c r="T419" s="212"/>
      <c r="U419" s="184">
        <f t="shared" ref="U419:V426" si="162">O419+Q419+S419</f>
        <v>0</v>
      </c>
      <c r="V419" s="184">
        <f t="shared" si="162"/>
        <v>0</v>
      </c>
      <c r="W419" s="262">
        <f t="shared" ref="W419:X426" si="163">E419+G419+I419+K419+M419+U419</f>
        <v>0</v>
      </c>
      <c r="X419" s="263">
        <f t="shared" si="163"/>
        <v>0</v>
      </c>
      <c r="Y419" s="292"/>
      <c r="Z419" s="293"/>
      <c r="AA419" s="261"/>
      <c r="AB419" s="134"/>
      <c r="AC419" s="257"/>
      <c r="AD419" s="45"/>
      <c r="AE419" s="45"/>
      <c r="AF419" s="257" t="str">
        <f>'C. Capital Outlay &amp; Donations'!D154</f>
        <v>C.3</v>
      </c>
      <c r="AG419" s="45">
        <f>'C. Capital Outlay &amp; Donations'!M163</f>
        <v>0</v>
      </c>
      <c r="AH419" s="256" t="str">
        <f>'I. Eliminations-Consolidations'!A210</f>
        <v>I.1</v>
      </c>
      <c r="AI419" s="45">
        <f>'I. Eliminations-Consolidations'!J210</f>
        <v>0</v>
      </c>
      <c r="AJ419" s="257"/>
      <c r="AK419" s="134"/>
      <c r="AL419" s="211"/>
      <c r="AM419" s="211"/>
      <c r="AN419" s="262">
        <f t="shared" ref="AN419:AN426" si="164">W419+Y419+AA419+AD419+AI419+AL419</f>
        <v>0</v>
      </c>
      <c r="AO419" s="263">
        <f t="shared" ref="AO419:AO426" si="165">X419+Z419+AB419+AG419+AK419+AM419</f>
        <v>0</v>
      </c>
      <c r="AP419" s="184">
        <f t="shared" ref="AP419:AP425" si="166">IF(AN419-AO419&lt;0, " ",AN419-AO419)</f>
        <v>0</v>
      </c>
      <c r="AQ419" s="263">
        <f t="shared" ref="AQ419:AQ425" si="167">IF(AN419-AO419&gt;0, " ", AO419-AN419)</f>
        <v>0</v>
      </c>
      <c r="AR419" s="184"/>
      <c r="AS419" s="263"/>
      <c r="AT419" s="36"/>
      <c r="AU419" s="36"/>
      <c r="AV419" s="36"/>
      <c r="AW419" s="36"/>
      <c r="AX419" s="36"/>
      <c r="AY419" s="36"/>
      <c r="AZ419" s="36"/>
    </row>
    <row r="420" spans="1:52" x14ac:dyDescent="0.2">
      <c r="C420" t="s">
        <v>695</v>
      </c>
      <c r="E420" s="202"/>
      <c r="F420" s="203"/>
      <c r="G420" s="802">
        <v>10000</v>
      </c>
      <c r="H420" s="211"/>
      <c r="I420" s="802"/>
      <c r="J420" s="803"/>
      <c r="K420" s="211"/>
      <c r="L420" s="803"/>
      <c r="M420" s="211"/>
      <c r="N420" s="212"/>
      <c r="O420" s="211"/>
      <c r="P420" s="211"/>
      <c r="Q420" s="802"/>
      <c r="R420" s="803"/>
      <c r="S420" s="211"/>
      <c r="T420" s="212"/>
      <c r="U420" s="184">
        <f t="shared" si="162"/>
        <v>0</v>
      </c>
      <c r="V420" s="184">
        <f t="shared" si="162"/>
        <v>0</v>
      </c>
      <c r="W420" s="262">
        <f t="shared" si="163"/>
        <v>10000</v>
      </c>
      <c r="X420" s="263">
        <f t="shared" si="163"/>
        <v>0</v>
      </c>
      <c r="Y420" s="292"/>
      <c r="Z420" s="293"/>
      <c r="AA420" s="261"/>
      <c r="AB420" s="134"/>
      <c r="AC420" s="257" t="str">
        <f>'D.  Capital Asset Disposal'!D189</f>
        <v>D.1</v>
      </c>
      <c r="AD420" s="45">
        <f>'D.  Capital Asset Disposal'!M199</f>
        <v>0</v>
      </c>
      <c r="AE420" s="45"/>
      <c r="AF420" s="257"/>
      <c r="AG420" s="45"/>
      <c r="AH420" s="256"/>
      <c r="AI420" s="45"/>
      <c r="AJ420" s="257" t="str">
        <f>'I. Eliminations-Consolidations'!A210</f>
        <v>I.1</v>
      </c>
      <c r="AK420" s="134">
        <f>'I. Eliminations-Consolidations'!L211</f>
        <v>0</v>
      </c>
      <c r="AL420" s="211"/>
      <c r="AM420" s="211"/>
      <c r="AN420" s="262">
        <f t="shared" si="164"/>
        <v>10000</v>
      </c>
      <c r="AO420" s="263">
        <f t="shared" si="165"/>
        <v>0</v>
      </c>
      <c r="AP420" s="184">
        <f t="shared" si="166"/>
        <v>10000</v>
      </c>
      <c r="AQ420" s="263" t="str">
        <f t="shared" si="167"/>
        <v xml:space="preserve"> </v>
      </c>
      <c r="AR420" s="184"/>
      <c r="AS420" s="263"/>
      <c r="AT420" s="36"/>
      <c r="AU420" s="36"/>
      <c r="AV420" s="36"/>
      <c r="AW420" s="36"/>
      <c r="AX420" s="36"/>
      <c r="AY420" s="36"/>
      <c r="AZ420" s="36"/>
    </row>
    <row r="421" spans="1:52" x14ac:dyDescent="0.2">
      <c r="B421" s="2"/>
      <c r="C421" s="11" t="s">
        <v>699</v>
      </c>
      <c r="D421" s="11"/>
      <c r="E421" s="202"/>
      <c r="F421" s="203">
        <v>400000</v>
      </c>
      <c r="G421" s="802"/>
      <c r="H421" s="211"/>
      <c r="I421" s="802"/>
      <c r="J421" s="803"/>
      <c r="K421" s="211"/>
      <c r="L421" s="803"/>
      <c r="M421" s="211"/>
      <c r="N421" s="212"/>
      <c r="O421" s="211"/>
      <c r="P421" s="211"/>
      <c r="Q421" s="802"/>
      <c r="R421" s="803"/>
      <c r="S421" s="211"/>
      <c r="T421" s="212"/>
      <c r="U421" s="184">
        <f t="shared" si="162"/>
        <v>0</v>
      </c>
      <c r="V421" s="184">
        <f t="shared" si="162"/>
        <v>0</v>
      </c>
      <c r="W421" s="262">
        <f t="shared" si="163"/>
        <v>0</v>
      </c>
      <c r="X421" s="263">
        <f t="shared" si="163"/>
        <v>400000</v>
      </c>
      <c r="Y421" s="292"/>
      <c r="Z421" s="293"/>
      <c r="AA421" s="261"/>
      <c r="AB421" s="134"/>
      <c r="AC421" s="257" t="str">
        <f>'F. Debt Issues'!D34</f>
        <v>F.1</v>
      </c>
      <c r="AD421" s="44">
        <f>'F. Debt Issues'!L34</f>
        <v>400000</v>
      </c>
      <c r="AE421" s="45"/>
      <c r="AF421" s="257"/>
      <c r="AG421" s="45"/>
      <c r="AH421" s="256"/>
      <c r="AI421" s="45"/>
      <c r="AJ421" s="257"/>
      <c r="AK421" s="134"/>
      <c r="AL421" s="211"/>
      <c r="AM421" s="211"/>
      <c r="AN421" s="262">
        <f t="shared" si="164"/>
        <v>400000</v>
      </c>
      <c r="AO421" s="263">
        <f t="shared" si="165"/>
        <v>400000</v>
      </c>
      <c r="AP421" s="184">
        <f t="shared" si="166"/>
        <v>0</v>
      </c>
      <c r="AQ421" s="263">
        <f t="shared" si="167"/>
        <v>0</v>
      </c>
      <c r="AR421" s="184"/>
      <c r="AS421" s="263"/>
      <c r="AT421" s="36"/>
      <c r="AU421" s="36"/>
      <c r="AV421" s="36"/>
      <c r="AW421" s="36"/>
      <c r="AX421" s="36"/>
      <c r="AY421" s="36"/>
      <c r="AZ421" s="36"/>
    </row>
    <row r="422" spans="1:52" x14ac:dyDescent="0.2">
      <c r="B422" s="2"/>
      <c r="C422" s="11" t="s">
        <v>702</v>
      </c>
      <c r="D422" s="11"/>
      <c r="E422" s="202"/>
      <c r="F422" s="203"/>
      <c r="G422" s="802"/>
      <c r="H422" s="211"/>
      <c r="I422" s="802"/>
      <c r="J422" s="803"/>
      <c r="K422" s="211"/>
      <c r="L422" s="803"/>
      <c r="M422" s="211"/>
      <c r="N422" s="212"/>
      <c r="O422" s="211"/>
      <c r="P422" s="211"/>
      <c r="Q422" s="802"/>
      <c r="R422" s="803"/>
      <c r="S422" s="211"/>
      <c r="T422" s="212"/>
      <c r="U422" s="184">
        <f t="shared" si="162"/>
        <v>0</v>
      </c>
      <c r="V422" s="184">
        <f t="shared" si="162"/>
        <v>0</v>
      </c>
      <c r="W422" s="262">
        <f t="shared" si="163"/>
        <v>0</v>
      </c>
      <c r="X422" s="263">
        <f t="shared" si="163"/>
        <v>0</v>
      </c>
      <c r="Y422" s="292"/>
      <c r="Z422" s="293"/>
      <c r="AA422" s="261"/>
      <c r="AB422" s="134"/>
      <c r="AC422" s="257" t="str">
        <f>'F. Debt Issues'!$D$34</f>
        <v>F.1</v>
      </c>
      <c r="AD422" s="44">
        <f>'F. Debt Issues'!L37</f>
        <v>0</v>
      </c>
      <c r="AE422" s="45"/>
      <c r="AF422" s="257"/>
      <c r="AG422" s="45"/>
      <c r="AH422" s="256"/>
      <c r="AI422" s="45"/>
      <c r="AJ422" s="257"/>
      <c r="AK422" s="134"/>
      <c r="AL422" s="211"/>
      <c r="AM422" s="211"/>
      <c r="AN422" s="262">
        <f t="shared" si="164"/>
        <v>0</v>
      </c>
      <c r="AO422" s="263">
        <f t="shared" si="165"/>
        <v>0</v>
      </c>
      <c r="AP422" s="184">
        <f t="shared" si="166"/>
        <v>0</v>
      </c>
      <c r="AQ422" s="263">
        <f t="shared" si="167"/>
        <v>0</v>
      </c>
      <c r="AR422" s="184"/>
      <c r="AS422" s="263"/>
      <c r="AT422" s="36"/>
      <c r="AU422" s="36"/>
      <c r="AV422" s="36"/>
      <c r="AW422" s="36"/>
      <c r="AX422" s="36"/>
      <c r="AY422" s="36"/>
      <c r="AZ422" s="36"/>
    </row>
    <row r="423" spans="1:52" x14ac:dyDescent="0.2">
      <c r="B423" s="2"/>
      <c r="C423" s="11" t="s">
        <v>701</v>
      </c>
      <c r="D423" s="11"/>
      <c r="E423" s="202"/>
      <c r="F423" s="203">
        <v>25000</v>
      </c>
      <c r="G423" s="802"/>
      <c r="H423" s="211"/>
      <c r="I423" s="802"/>
      <c r="J423" s="803"/>
      <c r="K423" s="211"/>
      <c r="L423" s="803"/>
      <c r="M423" s="211"/>
      <c r="N423" s="212"/>
      <c r="O423" s="211"/>
      <c r="P423" s="211"/>
      <c r="Q423" s="802"/>
      <c r="R423" s="803"/>
      <c r="S423" s="211"/>
      <c r="T423" s="212"/>
      <c r="U423" s="184">
        <f>O423+Q423+S423</f>
        <v>0</v>
      </c>
      <c r="V423" s="184">
        <f>P423+R423+T423</f>
        <v>0</v>
      </c>
      <c r="W423" s="262">
        <f>E423+G423+I423+K423+M423+U423</f>
        <v>0</v>
      </c>
      <c r="X423" s="263">
        <f>F423+H423+J423+L423+N423+V423</f>
        <v>25000</v>
      </c>
      <c r="Y423" s="292"/>
      <c r="Z423" s="293"/>
      <c r="AA423" s="261"/>
      <c r="AB423" s="134"/>
      <c r="AC423" s="257" t="str">
        <f>'F. Debt Issues'!$D$34</f>
        <v>F.1</v>
      </c>
      <c r="AD423" s="44">
        <f>'F. Debt Issues'!L35</f>
        <v>25000</v>
      </c>
      <c r="AE423" s="45"/>
      <c r="AF423" s="257"/>
      <c r="AG423" s="45"/>
      <c r="AH423" s="256"/>
      <c r="AI423" s="45"/>
      <c r="AJ423" s="257"/>
      <c r="AK423" s="134"/>
      <c r="AL423" s="211"/>
      <c r="AM423" s="211"/>
      <c r="AN423" s="262">
        <f>W423+Y423+AA423+AD423+AI423+AL423</f>
        <v>25000</v>
      </c>
      <c r="AO423" s="263">
        <f>X423+Z423+AB423+AG423+AK423+AM423</f>
        <v>25000</v>
      </c>
      <c r="AP423" s="184">
        <f t="shared" si="166"/>
        <v>0</v>
      </c>
      <c r="AQ423" s="263">
        <f t="shared" si="167"/>
        <v>0</v>
      </c>
      <c r="AR423" s="184"/>
      <c r="AS423" s="263"/>
      <c r="AT423" s="36"/>
      <c r="AU423" s="36"/>
      <c r="AV423" s="36"/>
      <c r="AW423" s="36"/>
      <c r="AX423" s="36"/>
      <c r="AY423" s="36"/>
      <c r="AZ423" s="36"/>
    </row>
    <row r="424" spans="1:52" x14ac:dyDescent="0.2">
      <c r="B424" s="2"/>
      <c r="C424" s="11" t="s">
        <v>703</v>
      </c>
      <c r="D424" s="11"/>
      <c r="E424" s="202"/>
      <c r="F424" s="203"/>
      <c r="G424" s="802"/>
      <c r="H424" s="211"/>
      <c r="I424" s="802"/>
      <c r="J424" s="803"/>
      <c r="K424" s="211"/>
      <c r="L424" s="803"/>
      <c r="M424" s="211"/>
      <c r="N424" s="212"/>
      <c r="O424" s="211"/>
      <c r="P424" s="211"/>
      <c r="Q424" s="802"/>
      <c r="R424" s="803"/>
      <c r="S424" s="211"/>
      <c r="T424" s="212"/>
      <c r="U424" s="184">
        <f>O424+Q424+S424</f>
        <v>0</v>
      </c>
      <c r="V424" s="184">
        <f>P424+R424+T424</f>
        <v>0</v>
      </c>
      <c r="W424" s="262">
        <f>E424+G424+I424+K424+M424+U424</f>
        <v>0</v>
      </c>
      <c r="X424" s="263">
        <f>F424+H424+J424+L424+N424+V424</f>
        <v>0</v>
      </c>
      <c r="Y424" s="292"/>
      <c r="Z424" s="293"/>
      <c r="AA424" s="261"/>
      <c r="AB424" s="134"/>
      <c r="AC424" s="257" t="str">
        <f>'F. Debt Issues'!$D$34</f>
        <v>F.1</v>
      </c>
      <c r="AD424" s="44">
        <f>'F. Debt Issues'!L36</f>
        <v>0</v>
      </c>
      <c r="AE424" s="45"/>
      <c r="AF424" s="257"/>
      <c r="AG424" s="45"/>
      <c r="AH424" s="256"/>
      <c r="AI424" s="45"/>
      <c r="AJ424" s="257"/>
      <c r="AK424" s="134"/>
      <c r="AL424" s="211"/>
      <c r="AM424" s="211"/>
      <c r="AN424" s="262">
        <f>W424+Y424+AA424+AD424+AI424+AL424</f>
        <v>0</v>
      </c>
      <c r="AO424" s="263">
        <f>X424+Z424+AB424+AG424+AK424+AM424</f>
        <v>0</v>
      </c>
      <c r="AP424" s="184">
        <f t="shared" si="166"/>
        <v>0</v>
      </c>
      <c r="AQ424" s="263">
        <f t="shared" si="167"/>
        <v>0</v>
      </c>
      <c r="AR424" s="184"/>
      <c r="AS424" s="263"/>
      <c r="AT424" s="36"/>
      <c r="AU424" s="36"/>
      <c r="AV424" s="36"/>
      <c r="AW424" s="36"/>
      <c r="AX424" s="36"/>
      <c r="AY424" s="36"/>
      <c r="AZ424" s="36"/>
    </row>
    <row r="425" spans="1:52" x14ac:dyDescent="0.2">
      <c r="C425" t="s">
        <v>700</v>
      </c>
      <c r="E425" s="202"/>
      <c r="F425" s="203"/>
      <c r="G425" s="802"/>
      <c r="H425" s="211"/>
      <c r="I425" s="802"/>
      <c r="J425" s="803"/>
      <c r="K425" s="211"/>
      <c r="L425" s="803"/>
      <c r="M425" s="211"/>
      <c r="N425" s="212"/>
      <c r="O425" s="211"/>
      <c r="P425" s="211"/>
      <c r="Q425" s="802"/>
      <c r="R425" s="803"/>
      <c r="S425" s="211"/>
      <c r="T425" s="212"/>
      <c r="U425" s="184">
        <f t="shared" si="162"/>
        <v>0</v>
      </c>
      <c r="V425" s="184">
        <f t="shared" si="162"/>
        <v>0</v>
      </c>
      <c r="W425" s="262">
        <f t="shared" si="163"/>
        <v>0</v>
      </c>
      <c r="X425" s="263">
        <f t="shared" si="163"/>
        <v>0</v>
      </c>
      <c r="Y425" s="292"/>
      <c r="Z425" s="293"/>
      <c r="AA425" s="261"/>
      <c r="AB425" s="134"/>
      <c r="AC425" s="257" t="str">
        <f>'D.  Capital Asset Disposal'!D189</f>
        <v>D.1</v>
      </c>
      <c r="AD425" s="45">
        <f>'D.  Capital Asset Disposal'!M195</f>
        <v>0</v>
      </c>
      <c r="AE425" s="45"/>
      <c r="AF425" s="257"/>
      <c r="AG425" s="45"/>
      <c r="AH425" s="256"/>
      <c r="AI425" s="45"/>
      <c r="AJ425" s="257"/>
      <c r="AK425" s="134"/>
      <c r="AL425" s="211"/>
      <c r="AM425" s="211"/>
      <c r="AN425" s="262">
        <f t="shared" si="164"/>
        <v>0</v>
      </c>
      <c r="AO425" s="263">
        <f t="shared" si="165"/>
        <v>0</v>
      </c>
      <c r="AP425" s="184">
        <f t="shared" si="166"/>
        <v>0</v>
      </c>
      <c r="AQ425" s="263">
        <f t="shared" si="167"/>
        <v>0</v>
      </c>
      <c r="AR425" s="184"/>
      <c r="AS425" s="263"/>
      <c r="AT425" s="36"/>
      <c r="AU425" s="36"/>
      <c r="AV425" s="36"/>
      <c r="AW425" s="36"/>
      <c r="AX425" s="36"/>
      <c r="AY425" s="36"/>
      <c r="AZ425" s="36"/>
    </row>
    <row r="426" spans="1:52" x14ac:dyDescent="0.2">
      <c r="B426" s="2"/>
      <c r="C426" s="11" t="s">
        <v>126</v>
      </c>
      <c r="D426" s="11"/>
      <c r="E426" s="204"/>
      <c r="F426" s="205"/>
      <c r="G426" s="804"/>
      <c r="H426" s="213"/>
      <c r="I426" s="804"/>
      <c r="J426" s="805"/>
      <c r="K426" s="213"/>
      <c r="L426" s="805"/>
      <c r="M426" s="213"/>
      <c r="N426" s="214"/>
      <c r="O426" s="213"/>
      <c r="P426" s="213"/>
      <c r="Q426" s="804"/>
      <c r="R426" s="805"/>
      <c r="S426" s="213"/>
      <c r="T426" s="214"/>
      <c r="U426" s="184">
        <f t="shared" si="162"/>
        <v>0</v>
      </c>
      <c r="V426" s="184">
        <f t="shared" si="162"/>
        <v>0</v>
      </c>
      <c r="W426" s="262">
        <f t="shared" si="163"/>
        <v>0</v>
      </c>
      <c r="X426" s="263">
        <f t="shared" si="163"/>
        <v>0</v>
      </c>
      <c r="Y426" s="294"/>
      <c r="Z426" s="295"/>
      <c r="AA426" s="265"/>
      <c r="AB426" s="135">
        <f>'A. Revenue by Function'!N221</f>
        <v>0</v>
      </c>
      <c r="AC426" s="266"/>
      <c r="AD426" s="44"/>
      <c r="AE426" s="44"/>
      <c r="AF426" s="266" t="str">
        <f>'D.  Capital Asset Disposal'!$D$189</f>
        <v>D.1</v>
      </c>
      <c r="AG426" s="44">
        <f>'D.  Capital Asset Disposal'!O198</f>
        <v>0</v>
      </c>
      <c r="AH426" s="267"/>
      <c r="AI426" s="44"/>
      <c r="AJ426" s="266"/>
      <c r="AK426" s="135"/>
      <c r="AL426" s="215"/>
      <c r="AM426" s="215"/>
      <c r="AN426" s="262">
        <f t="shared" si="164"/>
        <v>0</v>
      </c>
      <c r="AO426" s="263">
        <f t="shared" si="165"/>
        <v>0</v>
      </c>
      <c r="AP426" s="184">
        <f>IF(AN426+AN427-(AO426+AO427)&lt;0, " ",AN426+AN427-(AO426+AO427))</f>
        <v>0</v>
      </c>
      <c r="AQ426" s="263">
        <f>IF(AN426+AN427-(AO426+AO427)&gt;0, " ", AO426+AO427-(AN426+AN427))</f>
        <v>0</v>
      </c>
      <c r="AR426" s="184"/>
      <c r="AS426" s="263"/>
      <c r="AT426" s="36"/>
      <c r="AU426" s="36"/>
      <c r="AV426" s="36"/>
      <c r="AW426" s="36"/>
      <c r="AX426" s="36"/>
      <c r="AY426" s="36"/>
      <c r="AZ426" s="36"/>
    </row>
    <row r="427" spans="1:52" ht="3.75" customHeight="1" x14ac:dyDescent="0.2">
      <c r="A427" s="303"/>
      <c r="B427" s="303"/>
      <c r="C427" s="303"/>
      <c r="D427" s="303"/>
      <c r="E427" s="299"/>
      <c r="F427" s="403"/>
      <c r="G427" s="812"/>
      <c r="H427" s="293"/>
      <c r="I427" s="812"/>
      <c r="J427" s="813"/>
      <c r="K427" s="293"/>
      <c r="L427" s="813"/>
      <c r="M427" s="293"/>
      <c r="N427" s="404"/>
      <c r="O427" s="293"/>
      <c r="P427" s="293"/>
      <c r="Q427" s="812"/>
      <c r="R427" s="813"/>
      <c r="S427" s="293"/>
      <c r="T427" s="404"/>
      <c r="U427" s="184"/>
      <c r="V427" s="184"/>
      <c r="W427" s="262"/>
      <c r="X427" s="263"/>
      <c r="Y427" s="292"/>
      <c r="Z427" s="293"/>
      <c r="AA427" s="261"/>
      <c r="AB427" s="134"/>
      <c r="AC427" s="257"/>
      <c r="AD427" s="45"/>
      <c r="AE427" s="45"/>
      <c r="AF427" s="257"/>
      <c r="AG427" s="45"/>
      <c r="AH427" s="256"/>
      <c r="AI427" s="45"/>
      <c r="AJ427" s="257"/>
      <c r="AK427" s="134"/>
      <c r="AL427" s="211"/>
      <c r="AM427" s="211"/>
      <c r="AN427" s="262"/>
      <c r="AO427" s="263"/>
      <c r="AP427" s="184"/>
      <c r="AQ427" s="263"/>
      <c r="AR427" s="184"/>
      <c r="AS427" s="263"/>
      <c r="AT427" s="36"/>
      <c r="AU427" s="36"/>
      <c r="AV427" s="36"/>
      <c r="AW427" s="36"/>
      <c r="AX427" s="36"/>
      <c r="AY427" s="36"/>
      <c r="AZ427" s="36"/>
    </row>
    <row r="428" spans="1:52" x14ac:dyDescent="0.2">
      <c r="C428" t="s">
        <v>681</v>
      </c>
      <c r="E428" s="202"/>
      <c r="F428" s="203"/>
      <c r="G428" s="802"/>
      <c r="H428" s="211"/>
      <c r="I428" s="802"/>
      <c r="J428" s="803"/>
      <c r="K428" s="211"/>
      <c r="L428" s="803"/>
      <c r="M428" s="211"/>
      <c r="N428" s="212"/>
      <c r="O428" s="211"/>
      <c r="P428" s="211"/>
      <c r="Q428" s="802"/>
      <c r="R428" s="803"/>
      <c r="S428" s="211"/>
      <c r="T428" s="212"/>
      <c r="U428" s="184">
        <f>O428+Q428+S428</f>
        <v>0</v>
      </c>
      <c r="V428" s="184">
        <f>P428+R428+T428</f>
        <v>0</v>
      </c>
      <c r="W428" s="262">
        <f>E428+G428+I428+K428+M428+U428</f>
        <v>0</v>
      </c>
      <c r="X428" s="263">
        <f>F428+H428+J428+L428+N428+V428</f>
        <v>0</v>
      </c>
      <c r="Y428" s="292"/>
      <c r="Z428" s="293"/>
      <c r="AA428" s="261"/>
      <c r="AB428" s="134"/>
      <c r="AC428" s="272" t="str">
        <f>'G.  Other Asset Entries'!B90</f>
        <v>G.1</v>
      </c>
      <c r="AD428" s="45">
        <f>'G.  Other Asset Entries'!L91</f>
        <v>0</v>
      </c>
      <c r="AE428" s="45"/>
      <c r="AF428" s="257"/>
      <c r="AG428" s="45"/>
      <c r="AH428" s="256"/>
      <c r="AI428" s="45"/>
      <c r="AJ428" s="257"/>
      <c r="AK428" s="134"/>
      <c r="AL428" s="211"/>
      <c r="AM428" s="211"/>
      <c r="AN428" s="262">
        <f>W428+Y428+AA428+AD428+AI428+AL428</f>
        <v>0</v>
      </c>
      <c r="AO428" s="263">
        <f>X428+Z428+AB428+AG428+AK428+AM428</f>
        <v>0</v>
      </c>
      <c r="AP428" s="184">
        <f>IF(AN428-AO428&lt;0, " ",AN428-AO428)</f>
        <v>0</v>
      </c>
      <c r="AQ428" s="263">
        <f>IF(AN428-AO428&gt;0, " ", AO428-AN428)</f>
        <v>0</v>
      </c>
      <c r="AR428" s="184"/>
      <c r="AS428" s="263"/>
      <c r="AT428" s="36"/>
      <c r="AU428" s="36"/>
      <c r="AV428" s="36"/>
      <c r="AW428" s="36"/>
      <c r="AX428" s="36"/>
      <c r="AY428" s="36"/>
      <c r="AZ428" s="36"/>
    </row>
    <row r="429" spans="1:52" x14ac:dyDescent="0.2">
      <c r="C429" t="s">
        <v>682</v>
      </c>
      <c r="E429" s="202"/>
      <c r="F429" s="203"/>
      <c r="G429" s="802"/>
      <c r="H429" s="211"/>
      <c r="I429" s="802"/>
      <c r="J429" s="803"/>
      <c r="K429" s="211"/>
      <c r="L429" s="803"/>
      <c r="M429" s="211"/>
      <c r="N429" s="212"/>
      <c r="O429" s="211"/>
      <c r="P429" s="211"/>
      <c r="Q429" s="802"/>
      <c r="R429" s="803"/>
      <c r="S429" s="211"/>
      <c r="T429" s="212"/>
      <c r="U429" s="184">
        <f>O429+Q429+S429</f>
        <v>0</v>
      </c>
      <c r="V429" s="184">
        <f>P429+R429+T429</f>
        <v>0</v>
      </c>
      <c r="W429" s="262">
        <f>E429+G429+I429+K429+M429+U429</f>
        <v>0</v>
      </c>
      <c r="X429" s="263">
        <f>F429+H429+J429+L429+N429+V429</f>
        <v>0</v>
      </c>
      <c r="Y429" s="292"/>
      <c r="Z429" s="293"/>
      <c r="AA429" s="261"/>
      <c r="AB429" s="134"/>
      <c r="AC429" s="272" t="str">
        <f>'G.  Other Asset Entries'!B90</f>
        <v>G.1</v>
      </c>
      <c r="AD429" s="45">
        <f>'G.  Other Asset Entries'!L92</f>
        <v>0</v>
      </c>
      <c r="AE429" s="45"/>
      <c r="AF429" s="257"/>
      <c r="AG429" s="45"/>
      <c r="AH429" s="256"/>
      <c r="AI429" s="45"/>
      <c r="AJ429" s="257"/>
      <c r="AK429" s="134"/>
      <c r="AL429" s="211"/>
      <c r="AM429" s="211"/>
      <c r="AN429" s="262">
        <f>W429+Y429+AA429+AD429+AI429+AL429</f>
        <v>0</v>
      </c>
      <c r="AO429" s="263">
        <f>X429+Z429+AB429+AG429+AK429+AM429</f>
        <v>0</v>
      </c>
      <c r="AP429" s="184">
        <f>IF(AN429-AO429&lt;0, " ",AN429-AO429)</f>
        <v>0</v>
      </c>
      <c r="AQ429" s="263">
        <f>IF(AN429-AO429&gt;0, " ", AO429-AN429)</f>
        <v>0</v>
      </c>
      <c r="AR429" s="184"/>
      <c r="AS429" s="263"/>
      <c r="AT429" s="36"/>
      <c r="AU429" s="36"/>
      <c r="AV429" s="36"/>
      <c r="AW429" s="36"/>
      <c r="AX429" s="36"/>
      <c r="AY429" s="36"/>
      <c r="AZ429" s="36"/>
    </row>
    <row r="430" spans="1:52" ht="4.5" customHeight="1" x14ac:dyDescent="0.2">
      <c r="A430" s="303"/>
      <c r="B430" s="303"/>
      <c r="C430" s="303"/>
      <c r="D430" s="303"/>
      <c r="E430" s="299"/>
      <c r="F430" s="403"/>
      <c r="G430" s="812"/>
      <c r="H430" s="293"/>
      <c r="I430" s="812"/>
      <c r="J430" s="813"/>
      <c r="K430" s="293"/>
      <c r="L430" s="813"/>
      <c r="M430" s="293"/>
      <c r="N430" s="404"/>
      <c r="O430" s="293"/>
      <c r="P430" s="293"/>
      <c r="Q430" s="812"/>
      <c r="R430" s="813"/>
      <c r="S430" s="293"/>
      <c r="T430" s="404"/>
      <c r="U430" s="184"/>
      <c r="V430" s="184"/>
      <c r="W430" s="262"/>
      <c r="X430" s="263"/>
      <c r="Y430" s="292"/>
      <c r="Z430" s="293"/>
      <c r="AA430" s="261"/>
      <c r="AB430" s="134"/>
      <c r="AC430" s="257"/>
      <c r="AD430" s="45"/>
      <c r="AE430" s="45"/>
      <c r="AF430" s="272"/>
      <c r="AG430" s="45"/>
      <c r="AH430" s="256"/>
      <c r="AI430" s="45"/>
      <c r="AJ430" s="257"/>
      <c r="AK430" s="134"/>
      <c r="AL430" s="211"/>
      <c r="AM430" s="211"/>
      <c r="AN430" s="262"/>
      <c r="AO430" s="263"/>
      <c r="AP430" s="184"/>
      <c r="AQ430" s="263"/>
      <c r="AR430" s="184"/>
      <c r="AS430" s="263"/>
      <c r="AT430" s="36"/>
      <c r="AU430" s="36"/>
      <c r="AV430" s="36"/>
      <c r="AW430" s="36"/>
      <c r="AX430" s="36"/>
      <c r="AY430" s="36"/>
      <c r="AZ430" s="36"/>
    </row>
    <row r="431" spans="1:52" ht="18.75" customHeight="1" x14ac:dyDescent="0.2">
      <c r="A431" s="400" t="s">
        <v>637</v>
      </c>
      <c r="B431" s="409"/>
      <c r="C431" s="409"/>
      <c r="D431" s="409"/>
      <c r="E431" s="299"/>
      <c r="F431" s="403"/>
      <c r="G431" s="812"/>
      <c r="H431" s="293"/>
      <c r="I431" s="812"/>
      <c r="J431" s="813"/>
      <c r="K431" s="293"/>
      <c r="L431" s="813"/>
      <c r="M431" s="293"/>
      <c r="N431" s="404"/>
      <c r="O431" s="293"/>
      <c r="P431" s="293"/>
      <c r="Q431" s="812"/>
      <c r="R431" s="813"/>
      <c r="S431" s="293"/>
      <c r="T431" s="404"/>
      <c r="U431" s="184"/>
      <c r="V431" s="184"/>
      <c r="W431" s="262"/>
      <c r="X431" s="263"/>
      <c r="Y431" s="292"/>
      <c r="Z431" s="293"/>
      <c r="AA431" s="261"/>
      <c r="AB431" s="134"/>
      <c r="AC431" s="257"/>
      <c r="AD431" s="45"/>
      <c r="AE431" s="45"/>
      <c r="AF431" s="257"/>
      <c r="AG431" s="45"/>
      <c r="AH431" s="256"/>
      <c r="AI431" s="45"/>
      <c r="AJ431" s="257"/>
      <c r="AK431" s="134"/>
      <c r="AL431" s="211"/>
      <c r="AM431" s="211"/>
      <c r="AN431" s="262"/>
      <c r="AO431" s="263"/>
      <c r="AP431" s="184"/>
      <c r="AQ431" s="263"/>
      <c r="AR431" s="184"/>
      <c r="AS431" s="263"/>
      <c r="AT431" s="36"/>
      <c r="AU431" s="36"/>
      <c r="AV431" s="36"/>
      <c r="AW431" s="36"/>
      <c r="AX431" s="36"/>
      <c r="AY431" s="36"/>
      <c r="AZ431" s="36"/>
    </row>
    <row r="432" spans="1:52" ht="5.25" customHeight="1" x14ac:dyDescent="0.2">
      <c r="A432" s="303"/>
      <c r="B432" s="303"/>
      <c r="C432" s="303"/>
      <c r="D432" s="303"/>
      <c r="E432" s="299"/>
      <c r="F432" s="403"/>
      <c r="G432" s="812"/>
      <c r="H432" s="293"/>
      <c r="I432" s="812"/>
      <c r="J432" s="813"/>
      <c r="K432" s="293"/>
      <c r="L432" s="813"/>
      <c r="M432" s="293"/>
      <c r="N432" s="404"/>
      <c r="O432" s="293"/>
      <c r="P432" s="293"/>
      <c r="Q432" s="812"/>
      <c r="R432" s="813"/>
      <c r="S432" s="293"/>
      <c r="T432" s="404"/>
      <c r="U432" s="184"/>
      <c r="V432" s="184"/>
      <c r="W432" s="262"/>
      <c r="X432" s="263"/>
      <c r="Y432" s="292"/>
      <c r="Z432" s="293"/>
      <c r="AA432" s="261"/>
      <c r="AB432" s="134"/>
      <c r="AC432" s="257"/>
      <c r="AD432" s="45"/>
      <c r="AE432" s="45"/>
      <c r="AF432" s="257"/>
      <c r="AG432" s="45"/>
      <c r="AH432" s="256"/>
      <c r="AI432" s="45"/>
      <c r="AJ432" s="257"/>
      <c r="AK432" s="134"/>
      <c r="AL432" s="277"/>
      <c r="AM432" s="211"/>
      <c r="AN432" s="262"/>
      <c r="AO432" s="263"/>
      <c r="AP432" s="184"/>
      <c r="AQ432" s="263"/>
      <c r="AR432" s="184"/>
      <c r="AS432" s="263"/>
      <c r="AT432" s="36"/>
      <c r="AU432" s="36"/>
      <c r="AV432" s="36"/>
      <c r="AW432" s="36"/>
      <c r="AX432" s="36"/>
      <c r="AY432" s="36"/>
      <c r="AZ432" s="36"/>
    </row>
    <row r="433" spans="1:52" x14ac:dyDescent="0.2">
      <c r="B433" s="2"/>
      <c r="C433" t="s">
        <v>608</v>
      </c>
      <c r="E433" s="202"/>
      <c r="F433" s="203"/>
      <c r="G433" s="802"/>
      <c r="H433" s="211"/>
      <c r="I433" s="802"/>
      <c r="J433" s="803"/>
      <c r="K433" s="211"/>
      <c r="L433" s="803"/>
      <c r="M433" s="211"/>
      <c r="N433" s="212"/>
      <c r="O433" s="211"/>
      <c r="P433" s="211"/>
      <c r="Q433" s="802"/>
      <c r="R433" s="803"/>
      <c r="S433" s="211"/>
      <c r="T433" s="212"/>
      <c r="U433" s="184">
        <f t="shared" ref="U433:V435" si="168">O433+Q433+S433</f>
        <v>0</v>
      </c>
      <c r="V433" s="184">
        <f t="shared" si="168"/>
        <v>0</v>
      </c>
      <c r="W433" s="262">
        <f t="shared" ref="W433:X435" si="169">E433+G433+I433+K433+M433+U433</f>
        <v>0</v>
      </c>
      <c r="X433" s="263">
        <f t="shared" si="169"/>
        <v>0</v>
      </c>
      <c r="Y433" s="292"/>
      <c r="Z433" s="293"/>
      <c r="AA433" s="261"/>
      <c r="AB433" s="134"/>
      <c r="AC433" s="257" t="str">
        <f>'H. Other Liabilities &amp; Expenses'!D235</f>
        <v>H.1</v>
      </c>
      <c r="AD433" s="45">
        <f>'H. Other Liabilities &amp; Expenses'!L252</f>
        <v>0</v>
      </c>
      <c r="AE433" s="45"/>
      <c r="AF433" s="257"/>
      <c r="AG433" s="45"/>
      <c r="AH433" s="256"/>
      <c r="AI433" s="45"/>
      <c r="AJ433" s="257"/>
      <c r="AK433" s="134"/>
      <c r="AL433" s="211"/>
      <c r="AM433" s="211"/>
      <c r="AN433" s="262">
        <f>W433+Y433+AA433+AD433+AI433+AL433</f>
        <v>0</v>
      </c>
      <c r="AO433" s="263">
        <f>X433+Z433+AB433+AG433+AK433+AM433</f>
        <v>0</v>
      </c>
      <c r="AP433" s="184">
        <f>IF(AN433-AO433&lt;0, " ",AN433-AO433)</f>
        <v>0</v>
      </c>
      <c r="AQ433" s="263">
        <f>IF(AN433-AO433&gt;0, " ", AO433-AN433)</f>
        <v>0</v>
      </c>
      <c r="AR433" s="184"/>
      <c r="AS433" s="263"/>
      <c r="AT433" s="36"/>
      <c r="AU433" s="36"/>
      <c r="AV433" s="36"/>
      <c r="AW433" s="36"/>
      <c r="AX433" s="36"/>
      <c r="AY433" s="36"/>
      <c r="AZ433" s="36"/>
    </row>
    <row r="434" spans="1:52" x14ac:dyDescent="0.2">
      <c r="B434" s="2"/>
      <c r="C434" s="176" t="s">
        <v>638</v>
      </c>
      <c r="D434" s="176"/>
      <c r="E434" s="206"/>
      <c r="F434" s="207"/>
      <c r="G434" s="806"/>
      <c r="H434" s="215"/>
      <c r="I434" s="806"/>
      <c r="J434" s="807"/>
      <c r="K434" s="215"/>
      <c r="L434" s="807"/>
      <c r="M434" s="215"/>
      <c r="N434" s="216"/>
      <c r="O434" s="215"/>
      <c r="P434" s="215"/>
      <c r="Q434" s="806"/>
      <c r="R434" s="807"/>
      <c r="S434" s="215"/>
      <c r="T434" s="216"/>
      <c r="U434" s="184">
        <f t="shared" si="168"/>
        <v>0</v>
      </c>
      <c r="V434" s="184">
        <f t="shared" si="168"/>
        <v>0</v>
      </c>
      <c r="W434" s="262">
        <f t="shared" si="169"/>
        <v>0</v>
      </c>
      <c r="X434" s="263">
        <f t="shared" si="169"/>
        <v>0</v>
      </c>
      <c r="Y434" s="296"/>
      <c r="Z434" s="297"/>
      <c r="AA434" s="268"/>
      <c r="AB434" s="178"/>
      <c r="AC434" s="269" t="str">
        <f>'H. Other Liabilities &amp; Expenses'!D235</f>
        <v>H.1</v>
      </c>
      <c r="AD434" s="177">
        <f>'H. Other Liabilities &amp; Expenses'!L253</f>
        <v>0</v>
      </c>
      <c r="AE434" s="177"/>
      <c r="AF434" s="269"/>
      <c r="AG434" s="177"/>
      <c r="AH434" s="270"/>
      <c r="AI434" s="177"/>
      <c r="AJ434" s="269"/>
      <c r="AK434" s="178"/>
      <c r="AL434" s="215"/>
      <c r="AM434" s="215"/>
      <c r="AN434" s="262">
        <f>W434+Y434+AA434+AD434+AI434+AL434</f>
        <v>0</v>
      </c>
      <c r="AO434" s="263">
        <f>X434+Z434+AB434+AG434+AK434+AM434</f>
        <v>0</v>
      </c>
      <c r="AP434" s="184">
        <f>IF(AN434+AN435-AO434-AO435&lt;0, " ",AN434+AN435-AO434-AO435)</f>
        <v>0</v>
      </c>
      <c r="AQ434" s="263">
        <f>IF(AN434+AN435-AO434-AO435&gt;0, " ", AO434+AN435-AN434-AO435)</f>
        <v>0</v>
      </c>
      <c r="AR434" s="184"/>
      <c r="AS434" s="263"/>
      <c r="AT434" s="36"/>
      <c r="AU434" s="36"/>
      <c r="AV434" s="36"/>
      <c r="AW434" s="36"/>
      <c r="AX434" s="36"/>
      <c r="AY434" s="36"/>
      <c r="AZ434" s="36"/>
    </row>
    <row r="435" spans="1:52" x14ac:dyDescent="0.2">
      <c r="B435" s="2"/>
      <c r="C435" s="176"/>
      <c r="D435" s="176"/>
      <c r="E435" s="206"/>
      <c r="F435" s="207"/>
      <c r="G435" s="806"/>
      <c r="H435" s="215"/>
      <c r="I435" s="806"/>
      <c r="J435" s="807"/>
      <c r="K435" s="215"/>
      <c r="L435" s="807"/>
      <c r="M435" s="215"/>
      <c r="N435" s="216"/>
      <c r="O435" s="215"/>
      <c r="P435" s="215"/>
      <c r="Q435" s="806"/>
      <c r="R435" s="807"/>
      <c r="S435" s="215"/>
      <c r="T435" s="216"/>
      <c r="U435" s="184">
        <f t="shared" si="168"/>
        <v>0</v>
      </c>
      <c r="V435" s="184">
        <f t="shared" si="168"/>
        <v>0</v>
      </c>
      <c r="W435" s="262">
        <f t="shared" si="169"/>
        <v>0</v>
      </c>
      <c r="X435" s="263">
        <f t="shared" si="169"/>
        <v>0</v>
      </c>
      <c r="Y435" s="296"/>
      <c r="Z435" s="297"/>
      <c r="AA435" s="268"/>
      <c r="AB435" s="178"/>
      <c r="AC435" s="269" t="s">
        <v>132</v>
      </c>
      <c r="AD435" s="177">
        <f>'D.  Capital Asset Disposal'!M226</f>
        <v>0</v>
      </c>
      <c r="AE435" s="177"/>
      <c r="AF435" s="269"/>
      <c r="AG435" s="177"/>
      <c r="AH435" s="270"/>
      <c r="AI435" s="177"/>
      <c r="AJ435" s="269"/>
      <c r="AK435" s="178"/>
      <c r="AL435" s="215"/>
      <c r="AM435" s="215"/>
      <c r="AN435" s="262">
        <f>W435+Y435+AA435+AD435+AI435+AL435</f>
        <v>0</v>
      </c>
      <c r="AO435" s="263">
        <f>X435+Z435+AB435+AG435+AK435+AM435</f>
        <v>0</v>
      </c>
      <c r="AP435" s="184"/>
      <c r="AQ435" s="263"/>
      <c r="AR435" s="184"/>
      <c r="AS435" s="263"/>
      <c r="AT435" s="36"/>
      <c r="AU435" s="36"/>
      <c r="AV435" s="36"/>
      <c r="AW435" s="36"/>
      <c r="AX435" s="36"/>
      <c r="AY435" s="36"/>
      <c r="AZ435" s="36"/>
    </row>
    <row r="436" spans="1:52" ht="5.25" customHeight="1" x14ac:dyDescent="0.2">
      <c r="A436" s="303"/>
      <c r="B436" s="410"/>
      <c r="C436" s="303"/>
      <c r="D436" s="303"/>
      <c r="E436" s="299"/>
      <c r="F436" s="403"/>
      <c r="G436" s="812"/>
      <c r="H436" s="293"/>
      <c r="I436" s="812"/>
      <c r="J436" s="813"/>
      <c r="K436" s="293"/>
      <c r="L436" s="813"/>
      <c r="M436" s="293"/>
      <c r="N436" s="404"/>
      <c r="O436" s="293"/>
      <c r="P436" s="293"/>
      <c r="Q436" s="812"/>
      <c r="R436" s="813"/>
      <c r="S436" s="293"/>
      <c r="T436" s="404"/>
      <c r="U436" s="184"/>
      <c r="V436" s="184"/>
      <c r="W436" s="262"/>
      <c r="X436" s="263"/>
      <c r="Y436" s="292"/>
      <c r="Z436" s="293"/>
      <c r="AA436" s="261"/>
      <c r="AB436" s="134"/>
      <c r="AC436" s="257"/>
      <c r="AD436" s="45"/>
      <c r="AE436" s="45"/>
      <c r="AF436" s="257"/>
      <c r="AG436" s="45"/>
      <c r="AH436" s="256"/>
      <c r="AI436" s="45"/>
      <c r="AJ436" s="257"/>
      <c r="AK436" s="134"/>
      <c r="AL436" s="211"/>
      <c r="AM436" s="211"/>
      <c r="AN436" s="262"/>
      <c r="AO436" s="263"/>
      <c r="AP436" s="184"/>
      <c r="AQ436" s="263"/>
      <c r="AR436" s="184"/>
      <c r="AS436" s="263"/>
      <c r="AT436" s="36"/>
      <c r="AU436" s="36"/>
      <c r="AV436" s="36"/>
      <c r="AW436" s="36"/>
      <c r="AX436" s="36"/>
      <c r="AY436" s="36"/>
      <c r="AZ436" s="36"/>
    </row>
    <row r="437" spans="1:52" x14ac:dyDescent="0.2">
      <c r="B437" s="2"/>
      <c r="C437" s="176" t="s">
        <v>133</v>
      </c>
      <c r="D437" s="176"/>
      <c r="E437" s="206"/>
      <c r="F437" s="207"/>
      <c r="G437" s="806"/>
      <c r="H437" s="215"/>
      <c r="I437" s="806"/>
      <c r="J437" s="807"/>
      <c r="K437" s="215"/>
      <c r="L437" s="807"/>
      <c r="M437" s="215"/>
      <c r="N437" s="216"/>
      <c r="O437" s="215"/>
      <c r="P437" s="215"/>
      <c r="Q437" s="806"/>
      <c r="R437" s="807"/>
      <c r="S437" s="215"/>
      <c r="T437" s="216"/>
      <c r="U437" s="184">
        <f>O437+Q437+S437</f>
        <v>0</v>
      </c>
      <c r="V437" s="184">
        <f>P437+R437+T437</f>
        <v>0</v>
      </c>
      <c r="W437" s="262">
        <f>E437+G437+I437+K437+M437+U437</f>
        <v>0</v>
      </c>
      <c r="X437" s="263">
        <f>F437+H437+J437+L437+N437+V437</f>
        <v>0</v>
      </c>
      <c r="Y437" s="296"/>
      <c r="Z437" s="297"/>
      <c r="AA437" s="268"/>
      <c r="AB437" s="178">
        <f>'A. Revenue by Function'!N232</f>
        <v>0</v>
      </c>
      <c r="AC437" s="269"/>
      <c r="AD437" s="177"/>
      <c r="AE437" s="177"/>
      <c r="AF437" s="269" t="str">
        <f>'D.  Capital Asset Disposal'!$D$189</f>
        <v>D.1</v>
      </c>
      <c r="AG437" s="177">
        <f>'D.  Capital Asset Disposal'!O225</f>
        <v>0</v>
      </c>
      <c r="AH437" s="270"/>
      <c r="AI437" s="177"/>
      <c r="AJ437" s="269"/>
      <c r="AK437" s="178"/>
      <c r="AL437" s="215"/>
      <c r="AM437" s="215"/>
      <c r="AN437" s="262">
        <f>W437+Y437+AA437+AD437+AI437+AL437</f>
        <v>0</v>
      </c>
      <c r="AO437" s="263">
        <f>X437+Z437+AB437+AG437+AK437+AM437</f>
        <v>0</v>
      </c>
      <c r="AP437" s="184">
        <f>IF(AN437+AN438-(AO437+AO438)&lt;0, " ",AN437+AN438-(AO437+AO438))</f>
        <v>0</v>
      </c>
      <c r="AQ437" s="263">
        <f>IF(AN437+AN438-(AO437+AO438)&gt;0, " ", AO437+AO438-(AN437+AN438))</f>
        <v>0</v>
      </c>
      <c r="AR437" s="184"/>
      <c r="AS437" s="263"/>
      <c r="AT437" s="36"/>
      <c r="AU437" s="36"/>
      <c r="AV437" s="36"/>
      <c r="AW437" s="36"/>
      <c r="AX437" s="36"/>
      <c r="AY437" s="36"/>
      <c r="AZ437" s="36"/>
    </row>
    <row r="438" spans="1:52" x14ac:dyDescent="0.2">
      <c r="B438" s="2"/>
      <c r="C438" s="176"/>
      <c r="D438" s="176"/>
      <c r="E438" s="206"/>
      <c r="F438" s="207"/>
      <c r="G438" s="806"/>
      <c r="H438" s="215"/>
      <c r="I438" s="806"/>
      <c r="J438" s="807"/>
      <c r="K438" s="215"/>
      <c r="L438" s="807"/>
      <c r="M438" s="215"/>
      <c r="N438" s="216"/>
      <c r="O438" s="215"/>
      <c r="P438" s="215"/>
      <c r="Q438" s="806"/>
      <c r="R438" s="807"/>
      <c r="S438" s="215"/>
      <c r="T438" s="216"/>
      <c r="U438" s="184">
        <f>O438+Q438+S438</f>
        <v>0</v>
      </c>
      <c r="V438" s="184">
        <f>P438+R438+T438</f>
        <v>0</v>
      </c>
      <c r="W438" s="262">
        <f>E438+G438+I438+K438+M438+U438</f>
        <v>0</v>
      </c>
      <c r="X438" s="263">
        <f>F438+H438+J438+L438+N438+V438</f>
        <v>0</v>
      </c>
      <c r="Y438" s="296"/>
      <c r="Z438" s="297"/>
      <c r="AA438" s="268"/>
      <c r="AB438" s="178"/>
      <c r="AC438" s="269"/>
      <c r="AD438" s="177"/>
      <c r="AE438" s="177"/>
      <c r="AF438" s="269" t="str">
        <f>'C. Capital Outlay &amp; Donations'!D154</f>
        <v>C.3</v>
      </c>
      <c r="AG438" s="177">
        <f>'C. Capital Outlay &amp; Donations'!M162</f>
        <v>0</v>
      </c>
      <c r="AH438" s="270"/>
      <c r="AI438" s="177"/>
      <c r="AJ438" s="269"/>
      <c r="AK438" s="178"/>
      <c r="AL438" s="215"/>
      <c r="AM438" s="215"/>
      <c r="AN438" s="262">
        <f>W438+Y438+AA438+AD438+AI438+AL438</f>
        <v>0</v>
      </c>
      <c r="AO438" s="263">
        <f>X438+Z438+AB438+AG438+AK438+AM438</f>
        <v>0</v>
      </c>
      <c r="AP438" s="184"/>
      <c r="AQ438" s="263"/>
      <c r="AR438" s="184"/>
      <c r="AS438" s="263"/>
      <c r="AT438" s="36"/>
      <c r="AU438" s="36"/>
      <c r="AV438" s="36"/>
      <c r="AW438" s="36"/>
      <c r="AX438" s="36"/>
      <c r="AY438" s="36"/>
      <c r="AZ438" s="36"/>
    </row>
    <row r="439" spans="1:52" ht="5.25" customHeight="1" x14ac:dyDescent="0.2">
      <c r="A439" s="303"/>
      <c r="B439" s="410"/>
      <c r="C439" s="311"/>
      <c r="D439" s="311"/>
      <c r="E439" s="407"/>
      <c r="F439" s="307"/>
      <c r="G439" s="814"/>
      <c r="H439" s="295"/>
      <c r="I439" s="814"/>
      <c r="J439" s="815"/>
      <c r="K439" s="295"/>
      <c r="L439" s="815"/>
      <c r="M439" s="295"/>
      <c r="N439" s="408"/>
      <c r="O439" s="295"/>
      <c r="P439" s="295"/>
      <c r="Q439" s="814"/>
      <c r="R439" s="815"/>
      <c r="S439" s="295"/>
      <c r="T439" s="408"/>
      <c r="U439" s="184"/>
      <c r="V439" s="184"/>
      <c r="W439" s="262"/>
      <c r="X439" s="263"/>
      <c r="Y439" s="294"/>
      <c r="Z439" s="295"/>
      <c r="AA439" s="265"/>
      <c r="AB439" s="135"/>
      <c r="AC439" s="266"/>
      <c r="AD439" s="44"/>
      <c r="AE439" s="44"/>
      <c r="AF439" s="266"/>
      <c r="AG439" s="44"/>
      <c r="AH439" s="267"/>
      <c r="AI439" s="44"/>
      <c r="AJ439" s="266"/>
      <c r="AK439" s="135"/>
      <c r="AL439" s="213"/>
      <c r="AM439" s="213"/>
      <c r="AN439" s="262"/>
      <c r="AO439" s="263"/>
      <c r="AP439" s="184"/>
      <c r="AQ439" s="263"/>
      <c r="AR439" s="184"/>
      <c r="AS439" s="263"/>
      <c r="AT439" s="36"/>
      <c r="AU439" s="36"/>
      <c r="AV439" s="36"/>
      <c r="AW439" s="36"/>
      <c r="AX439" s="36"/>
      <c r="AY439" s="36"/>
      <c r="AZ439" s="36"/>
    </row>
    <row r="440" spans="1:52" x14ac:dyDescent="0.2">
      <c r="B440" s="2"/>
      <c r="C440" s="176" t="s">
        <v>639</v>
      </c>
      <c r="D440" s="176"/>
      <c r="E440" s="206"/>
      <c r="F440" s="207"/>
      <c r="G440" s="806"/>
      <c r="H440" s="215"/>
      <c r="I440" s="806"/>
      <c r="J440" s="807"/>
      <c r="K440" s="215"/>
      <c r="L440" s="807"/>
      <c r="M440" s="215"/>
      <c r="N440" s="216"/>
      <c r="O440" s="215"/>
      <c r="P440" s="215"/>
      <c r="Q440" s="806"/>
      <c r="R440" s="807"/>
      <c r="S440" s="215"/>
      <c r="T440" s="216"/>
      <c r="U440" s="184">
        <f>O440+Q440+S440</f>
        <v>0</v>
      </c>
      <c r="V440" s="184">
        <f>P440+R440+T440</f>
        <v>0</v>
      </c>
      <c r="W440" s="262">
        <f>E440+G440+I440+K440+M440+U440</f>
        <v>0</v>
      </c>
      <c r="X440" s="263">
        <f>F440+H440+J440+L440+N440+V440</f>
        <v>0</v>
      </c>
      <c r="Y440" s="296"/>
      <c r="Z440" s="297"/>
      <c r="AA440" s="268"/>
      <c r="AB440" s="178">
        <f>'A. Revenue by Function'!N233</f>
        <v>0</v>
      </c>
      <c r="AC440" s="269"/>
      <c r="AD440" s="177"/>
      <c r="AE440" s="177"/>
      <c r="AF440" s="269" t="s">
        <v>132</v>
      </c>
      <c r="AG440" s="177">
        <f>'D.  Capital Asset Disposal'!O226</f>
        <v>0</v>
      </c>
      <c r="AH440" s="270"/>
      <c r="AI440" s="177"/>
      <c r="AJ440" s="269"/>
      <c r="AK440" s="178"/>
      <c r="AL440" s="215"/>
      <c r="AM440" s="215"/>
      <c r="AN440" s="262">
        <f>W440+Y440+AA440+AD440+AI440+AL440</f>
        <v>0</v>
      </c>
      <c r="AO440" s="263">
        <f>X440+Z440+AB440+AG440+AK440+AM440</f>
        <v>0</v>
      </c>
      <c r="AP440" s="184">
        <f>IF(AN440+AN441-AO440-AO441&lt;0, " ",AN440-AO440)</f>
        <v>0</v>
      </c>
      <c r="AQ440" s="263">
        <f>IF(AN440+AN441-AO440-AO441&gt;0, " ", AO440+AN441-AN440-AO441)</f>
        <v>0</v>
      </c>
      <c r="AR440" s="184"/>
      <c r="AS440" s="263"/>
      <c r="AT440" s="36"/>
      <c r="AU440" s="36"/>
      <c r="AV440" s="36"/>
      <c r="AW440" s="36"/>
      <c r="AX440" s="36"/>
      <c r="AY440" s="36"/>
      <c r="AZ440" s="36"/>
    </row>
    <row r="441" spans="1:52" x14ac:dyDescent="0.2">
      <c r="B441" s="2"/>
      <c r="C441" s="176"/>
      <c r="D441" s="176"/>
      <c r="E441" s="206"/>
      <c r="F441" s="207"/>
      <c r="G441" s="806"/>
      <c r="H441" s="215"/>
      <c r="I441" s="806"/>
      <c r="J441" s="807"/>
      <c r="K441" s="215"/>
      <c r="L441" s="807"/>
      <c r="M441" s="215"/>
      <c r="N441" s="216"/>
      <c r="O441" s="215"/>
      <c r="P441" s="215"/>
      <c r="Q441" s="806"/>
      <c r="R441" s="807"/>
      <c r="S441" s="215"/>
      <c r="T441" s="216"/>
      <c r="U441" s="184">
        <f>O441+Q441+S441</f>
        <v>0</v>
      </c>
      <c r="V441" s="184">
        <f>P441+R441+T441</f>
        <v>0</v>
      </c>
      <c r="W441" s="262">
        <f>E441+G441+I441+K441+M441+U441</f>
        <v>0</v>
      </c>
      <c r="X441" s="263">
        <f>F441+H441+J441+L441+N441+V441</f>
        <v>0</v>
      </c>
      <c r="Y441" s="296"/>
      <c r="Z441" s="297"/>
      <c r="AA441" s="268"/>
      <c r="AB441" s="178"/>
      <c r="AC441" s="269"/>
      <c r="AD441" s="177"/>
      <c r="AE441" s="177"/>
      <c r="AF441" s="269"/>
      <c r="AG441" s="177"/>
      <c r="AH441" s="270"/>
      <c r="AI441" s="177"/>
      <c r="AJ441" s="269"/>
      <c r="AK441" s="178"/>
      <c r="AL441" s="215"/>
      <c r="AM441" s="215"/>
      <c r="AN441" s="262">
        <f>W441+Y441+AA441+AD441+AI441+AL441</f>
        <v>0</v>
      </c>
      <c r="AO441" s="263">
        <f>X441+Z441+AB441+AG441+AK441+AM441</f>
        <v>0</v>
      </c>
      <c r="AP441" s="184"/>
      <c r="AQ441" s="263"/>
      <c r="AR441" s="184"/>
      <c r="AS441" s="263"/>
      <c r="AT441" s="36"/>
      <c r="AU441" s="36"/>
      <c r="AV441" s="36"/>
      <c r="AW441" s="36"/>
      <c r="AX441" s="36"/>
      <c r="AY441" s="36"/>
      <c r="AZ441" s="36"/>
    </row>
    <row r="442" spans="1:52" ht="4.5" customHeight="1" x14ac:dyDescent="0.2">
      <c r="A442" s="303"/>
      <c r="B442" s="410"/>
      <c r="C442" s="303"/>
      <c r="D442" s="303"/>
      <c r="E442" s="299"/>
      <c r="F442" s="403"/>
      <c r="G442" s="812"/>
      <c r="H442" s="293"/>
      <c r="I442" s="812"/>
      <c r="J442" s="813"/>
      <c r="K442" s="293"/>
      <c r="L442" s="813"/>
      <c r="M442" s="293"/>
      <c r="N442" s="404"/>
      <c r="O442" s="293"/>
      <c r="P442" s="293"/>
      <c r="Q442" s="812"/>
      <c r="R442" s="813"/>
      <c r="S442" s="293"/>
      <c r="T442" s="404"/>
      <c r="U442" s="295"/>
      <c r="V442" s="295"/>
      <c r="W442" s="292"/>
      <c r="X442" s="404"/>
      <c r="Y442" s="292"/>
      <c r="Z442" s="293"/>
      <c r="AA442" s="292"/>
      <c r="AB442" s="404"/>
      <c r="AC442" s="411"/>
      <c r="AD442" s="293"/>
      <c r="AE442" s="293"/>
      <c r="AF442" s="411"/>
      <c r="AG442" s="293"/>
      <c r="AH442" s="412"/>
      <c r="AI442" s="293"/>
      <c r="AJ442" s="411"/>
      <c r="AK442" s="404"/>
      <c r="AL442" s="293"/>
      <c r="AM442" s="293"/>
      <c r="AN442" s="294"/>
      <c r="AO442" s="408"/>
      <c r="AP442" s="293"/>
      <c r="AQ442" s="404"/>
      <c r="AR442" s="293"/>
      <c r="AS442" s="404"/>
      <c r="AT442" s="36"/>
      <c r="AU442" s="36"/>
      <c r="AV442" s="36"/>
      <c r="AW442" s="36"/>
      <c r="AX442" s="36"/>
      <c r="AY442" s="36"/>
      <c r="AZ442" s="36"/>
    </row>
    <row r="443" spans="1:52" ht="13.5" thickBot="1" x14ac:dyDescent="0.25">
      <c r="C443" s="374" t="s">
        <v>164</v>
      </c>
      <c r="D443" s="374"/>
      <c r="E443" s="375">
        <f t="shared" ref="E443:AB443" si="170">SUM(E6:E442)</f>
        <v>675028</v>
      </c>
      <c r="F443" s="376">
        <f t="shared" si="170"/>
        <v>675028</v>
      </c>
      <c r="G443" s="818">
        <f t="shared" si="170"/>
        <v>440860</v>
      </c>
      <c r="H443" s="376">
        <f t="shared" si="170"/>
        <v>440860</v>
      </c>
      <c r="I443" s="818">
        <f t="shared" si="170"/>
        <v>0</v>
      </c>
      <c r="J443" s="819">
        <f t="shared" si="170"/>
        <v>0</v>
      </c>
      <c r="K443" s="376">
        <f t="shared" si="170"/>
        <v>0</v>
      </c>
      <c r="L443" s="819">
        <f t="shared" si="170"/>
        <v>0</v>
      </c>
      <c r="M443" s="376">
        <f t="shared" si="170"/>
        <v>0</v>
      </c>
      <c r="N443" s="377">
        <f t="shared" si="170"/>
        <v>0</v>
      </c>
      <c r="O443" s="376">
        <f t="shared" si="170"/>
        <v>32716</v>
      </c>
      <c r="P443" s="376">
        <f t="shared" si="170"/>
        <v>32716</v>
      </c>
      <c r="Q443" s="818">
        <f t="shared" si="170"/>
        <v>2053</v>
      </c>
      <c r="R443" s="819">
        <f t="shared" si="170"/>
        <v>2053</v>
      </c>
      <c r="S443" s="376">
        <f t="shared" si="170"/>
        <v>0</v>
      </c>
      <c r="T443" s="377">
        <f t="shared" si="170"/>
        <v>0</v>
      </c>
      <c r="U443" s="376">
        <f t="shared" si="170"/>
        <v>34769</v>
      </c>
      <c r="V443" s="376">
        <f t="shared" si="170"/>
        <v>34769</v>
      </c>
      <c r="W443" s="378">
        <f t="shared" si="170"/>
        <v>1150657</v>
      </c>
      <c r="X443" s="376">
        <f t="shared" si="170"/>
        <v>1150657</v>
      </c>
      <c r="Y443" s="379">
        <f t="shared" si="170"/>
        <v>782959</v>
      </c>
      <c r="Z443" s="380">
        <f t="shared" si="170"/>
        <v>782959</v>
      </c>
      <c r="AA443" s="375">
        <f t="shared" si="170"/>
        <v>570409</v>
      </c>
      <c r="AB443" s="377">
        <f t="shared" si="170"/>
        <v>570409</v>
      </c>
      <c r="AC443" s="382"/>
      <c r="AD443" s="376">
        <f>SUM(AD6:AD442)</f>
        <v>967968</v>
      </c>
      <c r="AE443" s="382"/>
      <c r="AF443" s="382"/>
      <c r="AG443" s="376">
        <f>SUM(AG6:AG442)</f>
        <v>967968</v>
      </c>
      <c r="AH443" s="381"/>
      <c r="AI443" s="376">
        <f>SUM(AI6:AI442)</f>
        <v>487202</v>
      </c>
      <c r="AJ443" s="382"/>
      <c r="AK443" s="377">
        <f t="shared" ref="AK443:AS443" si="171">SUM(AK6:AK442)</f>
        <v>487202</v>
      </c>
      <c r="AL443" s="376">
        <f t="shared" si="171"/>
        <v>0</v>
      </c>
      <c r="AM443" s="376">
        <f t="shared" si="171"/>
        <v>0</v>
      </c>
      <c r="AN443" s="375">
        <f t="shared" si="171"/>
        <v>3959195</v>
      </c>
      <c r="AO443" s="375">
        <f t="shared" si="171"/>
        <v>3959195</v>
      </c>
      <c r="AP443" s="376">
        <f>SUM(AP6:AP442)</f>
        <v>570778</v>
      </c>
      <c r="AQ443" s="376">
        <f>SUM(AQ6:AQ442)</f>
        <v>570409</v>
      </c>
      <c r="AR443" s="378">
        <f t="shared" si="171"/>
        <v>1667210</v>
      </c>
      <c r="AS443" s="376">
        <f t="shared" si="171"/>
        <v>1667210</v>
      </c>
      <c r="AT443" s="247"/>
      <c r="AU443" s="36"/>
      <c r="AV443" s="36"/>
      <c r="AW443" s="36"/>
      <c r="AX443" s="36"/>
      <c r="AY443" s="36"/>
      <c r="AZ443" s="36"/>
    </row>
    <row r="444" spans="1:52" ht="13.5" thickTop="1" x14ac:dyDescent="0.2">
      <c r="E444" s="20">
        <f>E443-F443</f>
        <v>0</v>
      </c>
      <c r="F444" s="9"/>
      <c r="G444" s="820">
        <f>G443-H443</f>
        <v>0</v>
      </c>
      <c r="H444" s="45"/>
      <c r="I444" s="820">
        <f>I443-J443</f>
        <v>0</v>
      </c>
      <c r="J444" s="770"/>
      <c r="K444" s="9">
        <f>K443-L443</f>
        <v>0</v>
      </c>
      <c r="L444" s="770"/>
      <c r="M444" s="9">
        <f>M443-N443</f>
        <v>0</v>
      </c>
      <c r="N444" s="134"/>
      <c r="O444" s="333">
        <f>O443-P443</f>
        <v>0</v>
      </c>
      <c r="P444" s="45"/>
      <c r="Q444" s="820">
        <f>Q443-R443</f>
        <v>0</v>
      </c>
      <c r="R444" s="770"/>
      <c r="S444" s="9">
        <f>S443-T443</f>
        <v>0</v>
      </c>
      <c r="T444" s="134"/>
      <c r="U444" s="333">
        <f>U443-V443</f>
        <v>0</v>
      </c>
      <c r="V444" s="45"/>
      <c r="W444" s="20">
        <f>W443-X443</f>
        <v>0</v>
      </c>
      <c r="X444" s="134"/>
      <c r="Y444" s="299">
        <f>Y443-Z443</f>
        <v>0</v>
      </c>
      <c r="Z444" s="293"/>
      <c r="AA444" s="20">
        <f>AA443-AB443</f>
        <v>0</v>
      </c>
      <c r="AB444" s="134"/>
      <c r="AC444" s="257"/>
      <c r="AD444" s="45">
        <f>AD443-AG443</f>
        <v>0</v>
      </c>
      <c r="AE444" s="45"/>
      <c r="AF444" s="257"/>
      <c r="AG444" s="45"/>
      <c r="AH444" s="256"/>
      <c r="AI444" s="45">
        <f>AI443-AK443</f>
        <v>0</v>
      </c>
      <c r="AJ444" s="257"/>
      <c r="AK444" s="134"/>
      <c r="AL444" s="9">
        <f>AL443-AM443</f>
        <v>0</v>
      </c>
      <c r="AM444" s="45"/>
      <c r="AN444" s="20">
        <f>AN443-AO443</f>
        <v>0</v>
      </c>
      <c r="AO444" s="135"/>
      <c r="AP444" s="9"/>
      <c r="AQ444" s="134"/>
      <c r="AR444" s="20">
        <f>AR443-AS443</f>
        <v>0</v>
      </c>
      <c r="AS444" s="134"/>
      <c r="AT444" s="36"/>
      <c r="AU444" s="36"/>
      <c r="AV444" s="36"/>
      <c r="AW444" s="36"/>
      <c r="AX444" s="36"/>
      <c r="AY444" s="36"/>
      <c r="AZ444" s="36"/>
    </row>
    <row r="445" spans="1:52" x14ac:dyDescent="0.2">
      <c r="C445" s="200" t="s">
        <v>727</v>
      </c>
      <c r="D445" s="200"/>
      <c r="E445" s="20"/>
      <c r="F445" s="9"/>
      <c r="G445" s="820"/>
      <c r="H445" s="9"/>
      <c r="I445" s="820"/>
      <c r="J445" s="821"/>
      <c r="K445" s="9"/>
      <c r="L445" s="821"/>
      <c r="M445" s="9"/>
      <c r="N445" s="335"/>
      <c r="O445" s="9"/>
      <c r="P445" s="9"/>
      <c r="Q445" s="769"/>
      <c r="R445" s="770"/>
      <c r="S445" s="45"/>
      <c r="T445" s="134"/>
      <c r="U445" s="45"/>
      <c r="V445" s="45"/>
      <c r="W445" s="261"/>
      <c r="X445" s="134"/>
      <c r="Y445" s="292"/>
      <c r="Z445" s="293"/>
      <c r="AA445" s="261"/>
      <c r="AB445" s="134"/>
      <c r="AC445" s="257"/>
      <c r="AD445" s="45"/>
      <c r="AE445" s="45"/>
      <c r="AF445" s="257"/>
      <c r="AG445" s="45"/>
      <c r="AH445" s="256"/>
      <c r="AI445" s="45"/>
      <c r="AJ445" s="257"/>
      <c r="AK445" s="134"/>
      <c r="AL445" s="45"/>
      <c r="AM445" s="45"/>
      <c r="AN445" s="265"/>
      <c r="AO445" s="135"/>
      <c r="AP445" s="184" t="str">
        <f>IF(AQ443-AP443&lt;0, " ",AQ443-AP443)</f>
        <v xml:space="preserve"> </v>
      </c>
      <c r="AQ445" s="263">
        <f>IF(AP443-AQ443&lt;0, 0,AP443-AQ443)</f>
        <v>369</v>
      </c>
      <c r="AR445" s="45"/>
      <c r="AS445" s="134"/>
      <c r="AT445" s="36"/>
      <c r="AU445" s="36"/>
      <c r="AV445" s="36"/>
      <c r="AW445" s="36"/>
      <c r="AX445" s="36"/>
      <c r="AY445" s="36"/>
      <c r="AZ445" s="36"/>
    </row>
    <row r="446" spans="1:52" x14ac:dyDescent="0.2">
      <c r="E446" s="20"/>
      <c r="F446" s="9"/>
      <c r="G446" s="769"/>
      <c r="H446" s="45"/>
      <c r="I446" s="769"/>
      <c r="J446" s="770"/>
      <c r="K446" s="45"/>
      <c r="L446" s="770"/>
      <c r="M446" s="45"/>
      <c r="N446" s="134"/>
      <c r="O446" s="45"/>
      <c r="P446" s="45"/>
      <c r="Q446" s="769"/>
      <c r="R446" s="770"/>
      <c r="S446" s="45"/>
      <c r="T446" s="134"/>
      <c r="U446" s="45"/>
      <c r="V446" s="36"/>
      <c r="W446" s="261"/>
      <c r="X446" s="45"/>
      <c r="Y446" s="292"/>
      <c r="Z446" s="293"/>
      <c r="AA446" s="261"/>
      <c r="AB446" s="134"/>
      <c r="AC446" s="257"/>
      <c r="AD446" s="45"/>
      <c r="AE446" s="45"/>
      <c r="AF446" s="257"/>
      <c r="AG446" s="45"/>
      <c r="AH446" s="256"/>
      <c r="AI446" s="45"/>
      <c r="AJ446" s="257"/>
      <c r="AK446" s="134"/>
      <c r="AL446" s="45"/>
      <c r="AM446" s="45"/>
      <c r="AN446" s="265"/>
      <c r="AO446" s="135"/>
      <c r="AP446" s="45"/>
      <c r="AQ446" s="134"/>
      <c r="AR446" s="45"/>
      <c r="AS446" s="134"/>
      <c r="AT446" s="36"/>
      <c r="AU446" s="36"/>
      <c r="AV446" s="36"/>
      <c r="AW446" s="36"/>
      <c r="AX446" s="36"/>
      <c r="AY446" s="36"/>
      <c r="AZ446" s="36"/>
    </row>
    <row r="447" spans="1:52" ht="13.5" thickBot="1" x14ac:dyDescent="0.25">
      <c r="C447" s="200" t="s">
        <v>452</v>
      </c>
      <c r="D447" s="200"/>
      <c r="E447" s="21"/>
      <c r="F447" s="22"/>
      <c r="G447" s="822"/>
      <c r="H447" s="22"/>
      <c r="I447" s="822"/>
      <c r="J447" s="823"/>
      <c r="K447" s="22"/>
      <c r="L447" s="823"/>
      <c r="M447" s="22"/>
      <c r="N447" s="336"/>
      <c r="O447" s="22"/>
      <c r="P447" s="22"/>
      <c r="Q447" s="826"/>
      <c r="R447" s="827"/>
      <c r="S447" s="150"/>
      <c r="T447" s="281"/>
      <c r="U447" s="150"/>
      <c r="V447" s="150"/>
      <c r="W447" s="278"/>
      <c r="X447" s="150"/>
      <c r="Y447" s="300"/>
      <c r="Z447" s="301"/>
      <c r="AA447" s="278"/>
      <c r="AB447" s="281"/>
      <c r="AC447" s="280"/>
      <c r="AD447" s="150"/>
      <c r="AE447" s="150"/>
      <c r="AF447" s="280"/>
      <c r="AG447" s="150"/>
      <c r="AH447" s="279"/>
      <c r="AI447" s="150"/>
      <c r="AJ447" s="280"/>
      <c r="AK447" s="281"/>
      <c r="AL447" s="150"/>
      <c r="AM447" s="150"/>
      <c r="AN447" s="342"/>
      <c r="AO447" s="199"/>
      <c r="AP447" s="383">
        <f>SUM(AP443:AP445)</f>
        <v>570778</v>
      </c>
      <c r="AQ447" s="384">
        <f>SUM(AQ443:AQ445)</f>
        <v>570778</v>
      </c>
      <c r="AR447" s="150"/>
      <c r="AS447" s="281"/>
      <c r="AT447" s="36"/>
      <c r="AU447" s="36"/>
      <c r="AV447" s="36"/>
      <c r="AW447" s="36"/>
      <c r="AX447" s="36"/>
      <c r="AY447" s="36"/>
      <c r="AZ447" s="36"/>
    </row>
    <row r="448" spans="1:52" x14ac:dyDescent="0.2">
      <c r="G448" s="36"/>
      <c r="H448" s="36"/>
      <c r="I448" s="36"/>
      <c r="J448" s="36"/>
      <c r="K448" s="36"/>
      <c r="L448" s="36"/>
      <c r="M448" s="36"/>
      <c r="N448" s="36"/>
      <c r="O448" s="36"/>
      <c r="P448" s="36"/>
      <c r="Q448" s="36"/>
      <c r="R448" s="36"/>
      <c r="S448" s="36"/>
      <c r="T448" s="36"/>
      <c r="U448" s="36"/>
      <c r="V448" s="36"/>
      <c r="W448" s="36"/>
      <c r="X448" s="36"/>
      <c r="Y448" s="45"/>
      <c r="Z448" s="45"/>
      <c r="AA448" s="36"/>
      <c r="AB448" s="36"/>
      <c r="AC448" s="276"/>
      <c r="AE448" s="36"/>
      <c r="AF448" s="276"/>
      <c r="AH448" s="276"/>
      <c r="AI448" s="36"/>
      <c r="AJ448" s="276"/>
      <c r="AK448" s="36"/>
      <c r="AL448" s="36"/>
      <c r="AM448" s="36"/>
      <c r="AP448" s="36">
        <f>AP447-AQ447</f>
        <v>0</v>
      </c>
      <c r="AQ448" s="36"/>
      <c r="AR448" s="36"/>
      <c r="AS448" s="36"/>
      <c r="AT448" s="36"/>
      <c r="AU448" s="36"/>
      <c r="AV448" s="36"/>
      <c r="AW448" s="36"/>
      <c r="AX448" s="36"/>
      <c r="AY448" s="36"/>
      <c r="AZ448" s="36"/>
    </row>
    <row r="449" spans="1:52" x14ac:dyDescent="0.2">
      <c r="C449" t="s">
        <v>351</v>
      </c>
      <c r="G449" s="36"/>
      <c r="H449" s="36"/>
      <c r="I449" s="36"/>
      <c r="J449" s="36"/>
      <c r="K449" s="36"/>
      <c r="L449" s="36"/>
      <c r="M449" s="36"/>
      <c r="N449" s="36" t="s">
        <v>351</v>
      </c>
      <c r="O449" s="36"/>
      <c r="P449" s="36"/>
      <c r="Q449" s="36"/>
      <c r="R449" s="36"/>
      <c r="S449" s="36"/>
      <c r="T449" s="36"/>
      <c r="U449" s="36"/>
      <c r="V449" s="36"/>
      <c r="W449" s="36">
        <f>W443-X443</f>
        <v>0</v>
      </c>
      <c r="X449" s="36"/>
      <c r="Y449" s="36"/>
      <c r="Z449" s="36"/>
      <c r="AA449" s="36"/>
      <c r="AB449" s="36"/>
      <c r="AC449" s="276"/>
      <c r="AE449" s="36"/>
      <c r="AF449" s="276"/>
      <c r="AH449" s="276"/>
      <c r="AI449" s="36"/>
      <c r="AJ449" s="276"/>
      <c r="AK449" s="36"/>
      <c r="AL449" s="36"/>
      <c r="AM449" s="36"/>
      <c r="AP449" s="36"/>
      <c r="AQ449" s="36"/>
      <c r="AR449" s="36"/>
      <c r="AS449" s="36"/>
      <c r="AT449" s="36"/>
      <c r="AU449" s="36"/>
      <c r="AV449" s="36"/>
      <c r="AW449" s="36"/>
      <c r="AX449" s="36"/>
      <c r="AY449" s="36"/>
      <c r="AZ449" s="36"/>
    </row>
    <row r="450" spans="1:52" x14ac:dyDescent="0.2">
      <c r="C450" t="s">
        <v>351</v>
      </c>
      <c r="N450" s="5" t="s">
        <v>351</v>
      </c>
      <c r="AR450" s="157"/>
    </row>
    <row r="451" spans="1:52" x14ac:dyDescent="0.2">
      <c r="A451" s="4" t="s">
        <v>208</v>
      </c>
      <c r="AP451" s="5"/>
    </row>
    <row r="452" spans="1:52" x14ac:dyDescent="0.2">
      <c r="A452" s="4">
        <v>1</v>
      </c>
      <c r="B452" t="s">
        <v>626</v>
      </c>
    </row>
    <row r="453" spans="1:52" ht="2.25" customHeight="1" x14ac:dyDescent="0.2">
      <c r="A453" s="4"/>
    </row>
    <row r="454" spans="1:52" x14ac:dyDescent="0.2">
      <c r="A454" s="4">
        <v>2</v>
      </c>
      <c r="B454" t="s">
        <v>112</v>
      </c>
    </row>
    <row r="455" spans="1:52" ht="2.25" customHeight="1" x14ac:dyDescent="0.2">
      <c r="A455" s="4"/>
    </row>
    <row r="456" spans="1:52" x14ac:dyDescent="0.2">
      <c r="A456" s="4">
        <v>3</v>
      </c>
      <c r="B456" t="s">
        <v>212</v>
      </c>
    </row>
    <row r="457" spans="1:52" x14ac:dyDescent="0.2">
      <c r="A457" s="4"/>
      <c r="B457" t="s">
        <v>28</v>
      </c>
    </row>
    <row r="458" spans="1:52" ht="2.25" customHeight="1" x14ac:dyDescent="0.2">
      <c r="A458" s="4"/>
    </row>
    <row r="459" spans="1:52" ht="12.75" customHeight="1" x14ac:dyDescent="0.2">
      <c r="A459" s="4">
        <v>4</v>
      </c>
      <c r="B459" s="858" t="s">
        <v>29</v>
      </c>
      <c r="C459" s="858"/>
      <c r="D459" s="858"/>
      <c r="E459" s="858"/>
      <c r="F459" s="858"/>
      <c r="G459" s="858"/>
      <c r="H459" s="858"/>
      <c r="I459" s="858"/>
      <c r="J459" s="858"/>
      <c r="K459" s="858"/>
      <c r="L459" s="858"/>
      <c r="M459" s="858"/>
      <c r="N459" s="858"/>
      <c r="O459" s="858"/>
      <c r="P459" s="858"/>
      <c r="Q459" s="858"/>
      <c r="R459" s="858"/>
      <c r="S459" s="858"/>
      <c r="T459" s="858"/>
      <c r="U459" s="858"/>
      <c r="V459" s="858"/>
      <c r="W459" s="858"/>
      <c r="X459" s="858"/>
      <c r="Y459" s="858"/>
      <c r="Z459" s="858"/>
      <c r="AA459" s="858"/>
      <c r="AB459" s="858"/>
      <c r="AC459" s="858"/>
      <c r="AD459" s="858"/>
      <c r="AE459" s="858"/>
      <c r="AF459" s="858"/>
      <c r="AG459" s="146"/>
      <c r="AH459" s="34"/>
      <c r="AI459" s="34"/>
      <c r="AJ459" s="34"/>
      <c r="AK459" s="34"/>
      <c r="AL459" s="34"/>
      <c r="AM459" s="34"/>
      <c r="AN459" s="191"/>
      <c r="AO459" s="191"/>
      <c r="AP459" s="749"/>
      <c r="AQ459" s="34"/>
      <c r="AR459" s="34"/>
      <c r="AS459" s="34"/>
    </row>
    <row r="460" spans="1:52" ht="2.25" customHeight="1" x14ac:dyDescent="0.2">
      <c r="A460" s="4"/>
      <c r="B460" s="34"/>
      <c r="C460" s="34"/>
      <c r="D460" s="34"/>
      <c r="E460" s="34"/>
      <c r="F460" s="34"/>
      <c r="G460" s="34"/>
      <c r="H460" s="34"/>
      <c r="I460" s="34"/>
      <c r="J460" s="34"/>
      <c r="K460" s="34"/>
      <c r="L460" s="34"/>
      <c r="M460" s="34"/>
      <c r="N460" s="34"/>
      <c r="O460" s="34"/>
      <c r="P460" s="34"/>
      <c r="Q460" s="34"/>
      <c r="R460" s="34"/>
      <c r="S460" s="34"/>
      <c r="T460" s="34"/>
      <c r="U460" s="34"/>
      <c r="V460" s="34"/>
      <c r="W460" s="34"/>
      <c r="X460" s="34"/>
      <c r="Y460" s="34"/>
      <c r="Z460" s="34"/>
      <c r="AA460" s="34"/>
      <c r="AB460" s="34"/>
      <c r="AC460" s="34"/>
      <c r="AD460" s="34"/>
      <c r="AE460" s="34"/>
      <c r="AF460" s="34"/>
      <c r="AG460" s="146"/>
      <c r="AH460" s="34"/>
      <c r="AI460" s="34"/>
      <c r="AJ460" s="34"/>
      <c r="AK460" s="34"/>
      <c r="AL460" s="34"/>
      <c r="AM460" s="34"/>
      <c r="AN460" s="191"/>
      <c r="AO460" s="191"/>
      <c r="AP460" s="34"/>
      <c r="AQ460" s="34"/>
      <c r="AR460" s="34"/>
      <c r="AS460" s="34"/>
    </row>
    <row r="461" spans="1:52" ht="14.25" customHeight="1" x14ac:dyDescent="0.2">
      <c r="A461" s="4">
        <v>5</v>
      </c>
      <c r="B461" t="s">
        <v>190</v>
      </c>
    </row>
    <row r="462" spans="1:52" ht="2.25" customHeight="1" x14ac:dyDescent="0.2">
      <c r="A462" s="4"/>
    </row>
    <row r="463" spans="1:52" ht="15" x14ac:dyDescent="0.25">
      <c r="A463" s="4">
        <v>6</v>
      </c>
      <c r="B463" t="s">
        <v>154</v>
      </c>
    </row>
    <row r="469" spans="35:41" x14ac:dyDescent="0.2">
      <c r="AI469" s="47"/>
      <c r="AJ469" s="140"/>
      <c r="AK469" s="47"/>
      <c r="AL469" s="47"/>
      <c r="AM469" s="47"/>
      <c r="AN469" s="192"/>
      <c r="AO469" s="192"/>
    </row>
  </sheetData>
  <sheetProtection algorithmName="SHA-512" hashValue="6Fi0HxDQ+W3T8y8Ac5qVmiZ3TrpGf3SqfnQAWUIRDnw6sxyPzFzXzErUn00iFG8rjQu3H1AmnAaL6kZCXjFN3w==" saltValue="xrSmB18a2lMSRz07RcngGQ==" spinCount="100000" sheet="1" objects="1" scenarios="1"/>
  <mergeCells count="55">
    <mergeCell ref="B459:AF459"/>
    <mergeCell ref="W4:X4"/>
    <mergeCell ref="Y3:Z3"/>
    <mergeCell ref="Y4:Z4"/>
    <mergeCell ref="U4:V4"/>
    <mergeCell ref="B216:B218"/>
    <mergeCell ref="A261:C261"/>
    <mergeCell ref="B196:B198"/>
    <mergeCell ref="A417:C417"/>
    <mergeCell ref="B221:B223"/>
    <mergeCell ref="B236:B238"/>
    <mergeCell ref="B191:B193"/>
    <mergeCell ref="B246:B248"/>
    <mergeCell ref="B241:B243"/>
    <mergeCell ref="B226:B228"/>
    <mergeCell ref="B231:B233"/>
    <mergeCell ref="B211:B213"/>
    <mergeCell ref="B128:B150"/>
    <mergeCell ref="B171:B173"/>
    <mergeCell ref="B176:B178"/>
    <mergeCell ref="AR3:AS3"/>
    <mergeCell ref="AR4:AS4"/>
    <mergeCell ref="AC4:AG4"/>
    <mergeCell ref="AP3:AQ3"/>
    <mergeCell ref="AP4:AQ4"/>
    <mergeCell ref="AH3:AK3"/>
    <mergeCell ref="AH4:AK4"/>
    <mergeCell ref="AN4:AO4"/>
    <mergeCell ref="AL3:AM4"/>
    <mergeCell ref="B166:B168"/>
    <mergeCell ref="B186:B188"/>
    <mergeCell ref="B206:B208"/>
    <mergeCell ref="B201:B203"/>
    <mergeCell ref="B181:B183"/>
    <mergeCell ref="E1:L1"/>
    <mergeCell ref="W1:X2"/>
    <mergeCell ref="O3:T3"/>
    <mergeCell ref="O4:P4"/>
    <mergeCell ref="Q4:R4"/>
    <mergeCell ref="G4:H4"/>
    <mergeCell ref="M4:N4"/>
    <mergeCell ref="K4:L4"/>
    <mergeCell ref="I4:J4"/>
    <mergeCell ref="E4:F4"/>
    <mergeCell ref="E3:N3"/>
    <mergeCell ref="AA2:AB2"/>
    <mergeCell ref="AL2:AM2"/>
    <mergeCell ref="U1:V2"/>
    <mergeCell ref="S4:T4"/>
    <mergeCell ref="AC1:AG1"/>
    <mergeCell ref="AC2:AG2"/>
    <mergeCell ref="AH1:AK2"/>
    <mergeCell ref="W3:X3"/>
    <mergeCell ref="Y2:Z2"/>
    <mergeCell ref="Y1:Z1"/>
  </mergeCells>
  <phoneticPr fontId="0" type="noConversion"/>
  <conditionalFormatting sqref="E444 G444 I444 K444 M444 O444 Q444 S444 U444 W444 Y444 AD444 AA444 AI444 AL444 AN444">
    <cfRule type="cellIs" dxfId="37" priority="2" operator="notEqual">
      <formula>0</formula>
    </cfRule>
  </conditionalFormatting>
  <conditionalFormatting sqref="AR444">
    <cfRule type="cellIs" dxfId="36" priority="1" operator="notEqual">
      <formula>0</formula>
    </cfRule>
  </conditionalFormatting>
  <pageMargins left="0.28000000000000003" right="0.28999999999999998" top="1.1599999999999999" bottom="0.65" header="0.42" footer="0.5"/>
  <pageSetup paperSize="5" scale="38" fitToHeight="0" orientation="landscape" r:id="rId1"/>
  <headerFooter alignWithMargins="0">
    <oddHeader>&amp;L&amp;D&amp;C&amp;"Arial,Bold"&amp;14Carolina County Board of Education
GASB 34 Conversion Worksheet
&amp;11to prepare the Government-wide Statements - (including  adjustments and consolidations)&amp;RPage &amp;P of &amp;N</oddHeader>
    <oddFooter>&amp;L&amp;F</oddFooter>
  </headerFooter>
  <legacy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595"/>
  <sheetViews>
    <sheetView zoomScale="80" zoomScaleNormal="80" workbookViewId="0">
      <pane xSplit="7" ySplit="2" topLeftCell="K281" activePane="bottomRight" state="frozen"/>
      <selection activeCell="F316" sqref="F316"/>
      <selection pane="topRight" activeCell="F316" sqref="F316"/>
      <selection pane="bottomLeft" activeCell="F316" sqref="F316"/>
      <selection pane="bottomRight" activeCell="C297" sqref="C297"/>
    </sheetView>
  </sheetViews>
  <sheetFormatPr defaultColWidth="9.140625" defaultRowHeight="15" x14ac:dyDescent="0.25"/>
  <cols>
    <col min="1" max="1" width="13.42578125" style="531" customWidth="1"/>
    <col min="2" max="2" width="39" style="531" customWidth="1"/>
    <col min="3" max="4" width="13.85546875" style="531" customWidth="1"/>
    <col min="5" max="6" width="20" style="531" customWidth="1"/>
    <col min="7" max="7" width="20.28515625" style="531" customWidth="1"/>
    <col min="8" max="8" width="3.85546875" style="531" customWidth="1"/>
    <col min="9" max="9" width="18.28515625" style="531" customWidth="1"/>
    <col min="10" max="10" width="20" style="531" customWidth="1"/>
    <col min="11" max="11" width="14.42578125" style="531" customWidth="1"/>
    <col min="12" max="12" width="19.42578125" style="531" customWidth="1"/>
    <col min="13" max="13" width="3.85546875" style="531" customWidth="1"/>
    <col min="14" max="14" width="18.28515625" style="531" customWidth="1"/>
    <col min="15" max="15" width="20" style="531" customWidth="1"/>
    <col min="16" max="16" width="14.42578125" style="531" customWidth="1"/>
    <col min="17" max="17" width="19.42578125" style="531" customWidth="1"/>
    <col min="18" max="18" width="3.85546875" style="531" customWidth="1"/>
    <col min="19" max="19" width="22.28515625" style="531" customWidth="1"/>
    <col min="20" max="20" width="22.42578125" style="531" customWidth="1"/>
    <col min="21" max="21" width="16.85546875" style="531" customWidth="1"/>
    <col min="22" max="23" width="9.140625" style="531"/>
    <col min="24" max="24" width="12.5703125" style="531" bestFit="1" customWidth="1"/>
    <col min="25" max="25" width="11.5703125" style="531" bestFit="1" customWidth="1"/>
    <col min="26" max="26" width="10.5703125" style="531" bestFit="1" customWidth="1"/>
    <col min="27" max="16384" width="9.140625" style="531"/>
  </cols>
  <sheetData>
    <row r="1" spans="1:28" x14ac:dyDescent="0.25">
      <c r="A1" s="530"/>
      <c r="I1" s="532" t="s">
        <v>762</v>
      </c>
      <c r="J1" s="532"/>
      <c r="K1" s="532"/>
      <c r="L1" s="532"/>
      <c r="N1" s="532" t="s">
        <v>763</v>
      </c>
      <c r="O1" s="532"/>
      <c r="P1" s="532"/>
      <c r="Q1" s="532"/>
      <c r="S1" s="532" t="s">
        <v>764</v>
      </c>
      <c r="T1" s="532"/>
      <c r="U1" s="532"/>
    </row>
    <row r="2" spans="1:28" ht="135" x14ac:dyDescent="0.25">
      <c r="A2" s="533" t="s">
        <v>765</v>
      </c>
      <c r="B2" s="533" t="s">
        <v>766</v>
      </c>
      <c r="C2" s="533" t="s">
        <v>1112</v>
      </c>
      <c r="D2" s="533" t="s">
        <v>1113</v>
      </c>
      <c r="E2" s="533" t="s">
        <v>767</v>
      </c>
      <c r="F2" s="533" t="s">
        <v>1114</v>
      </c>
      <c r="G2" s="533" t="s">
        <v>1115</v>
      </c>
      <c r="H2" s="533" t="s">
        <v>1116</v>
      </c>
      <c r="I2" s="533" t="s">
        <v>768</v>
      </c>
      <c r="J2" s="533" t="s">
        <v>769</v>
      </c>
      <c r="K2" s="533" t="s">
        <v>770</v>
      </c>
      <c r="L2" s="533" t="s">
        <v>771</v>
      </c>
      <c r="M2" s="533" t="s">
        <v>1116</v>
      </c>
      <c r="N2" s="533" t="s">
        <v>768</v>
      </c>
      <c r="O2" s="533" t="s">
        <v>769</v>
      </c>
      <c r="P2" s="533" t="s">
        <v>770</v>
      </c>
      <c r="Q2" s="533" t="s">
        <v>771</v>
      </c>
      <c r="R2" s="533" t="s">
        <v>1116</v>
      </c>
      <c r="S2" s="533" t="s">
        <v>772</v>
      </c>
      <c r="T2" s="533" t="s">
        <v>773</v>
      </c>
      <c r="U2" s="533" t="s">
        <v>774</v>
      </c>
      <c r="Y2" s="534"/>
      <c r="Z2" s="534"/>
      <c r="AA2" s="534"/>
      <c r="AB2" s="534"/>
    </row>
    <row r="3" spans="1:28" x14ac:dyDescent="0.25">
      <c r="A3" s="535">
        <v>10200</v>
      </c>
      <c r="B3" s="536" t="s">
        <v>775</v>
      </c>
      <c r="C3" s="537">
        <v>1.1215000000000001E-3</v>
      </c>
      <c r="D3" s="537">
        <v>1.1096000000000001E-3</v>
      </c>
      <c r="E3" s="538">
        <v>1278633.06</v>
      </c>
      <c r="F3" s="538">
        <f t="shared" ref="F3:F66" si="0">D3*$F$298</f>
        <v>1300918</v>
      </c>
      <c r="G3" s="538">
        <v>4132950</v>
      </c>
      <c r="H3" s="538"/>
      <c r="I3" s="539">
        <v>0</v>
      </c>
      <c r="J3" s="539">
        <v>2884079</v>
      </c>
      <c r="K3" s="539">
        <v>0</v>
      </c>
      <c r="L3" s="538">
        <v>136810</v>
      </c>
      <c r="M3" s="538"/>
      <c r="N3" s="539">
        <v>469916</v>
      </c>
      <c r="O3" s="539">
        <v>3331849</v>
      </c>
      <c r="P3" s="539">
        <v>0</v>
      </c>
      <c r="Q3" s="538">
        <v>57108</v>
      </c>
      <c r="R3" s="538"/>
      <c r="S3" s="539">
        <v>402714</v>
      </c>
      <c r="T3" s="540">
        <v>33216</v>
      </c>
      <c r="U3" s="540">
        <v>435930</v>
      </c>
      <c r="X3" s="541"/>
      <c r="Y3" s="541"/>
      <c r="Z3" s="541"/>
      <c r="AA3" s="541"/>
    </row>
    <row r="4" spans="1:28" x14ac:dyDescent="0.25">
      <c r="A4" s="535">
        <v>10400</v>
      </c>
      <c r="B4" s="536" t="s">
        <v>776</v>
      </c>
      <c r="C4" s="542">
        <v>3.2226999999999998E-3</v>
      </c>
      <c r="D4" s="542">
        <v>4.7707000000000001E-3</v>
      </c>
      <c r="E4" s="538">
        <v>4443452</v>
      </c>
      <c r="F4" s="538">
        <f t="shared" si="0"/>
        <v>5593269</v>
      </c>
      <c r="G4" s="538">
        <v>11876288</v>
      </c>
      <c r="H4" s="538"/>
      <c r="I4" s="539">
        <v>0</v>
      </c>
      <c r="J4" s="539">
        <v>8287579</v>
      </c>
      <c r="K4" s="539">
        <v>0</v>
      </c>
      <c r="L4" s="538">
        <v>0</v>
      </c>
      <c r="M4" s="538"/>
      <c r="N4" s="539">
        <v>1350334</v>
      </c>
      <c r="O4" s="539">
        <v>9574274</v>
      </c>
      <c r="P4" s="539">
        <v>0</v>
      </c>
      <c r="Q4" s="538">
        <v>6262521</v>
      </c>
      <c r="R4" s="538"/>
      <c r="S4" s="539">
        <v>1157223</v>
      </c>
      <c r="T4" s="540">
        <v>-1734910</v>
      </c>
      <c r="U4" s="540">
        <v>-577687</v>
      </c>
      <c r="X4" s="541"/>
      <c r="Y4" s="541"/>
      <c r="Z4" s="541"/>
      <c r="AA4" s="541"/>
    </row>
    <row r="5" spans="1:28" x14ac:dyDescent="0.25">
      <c r="A5" s="535">
        <v>10500</v>
      </c>
      <c r="B5" s="536" t="s">
        <v>777</v>
      </c>
      <c r="C5" s="542">
        <v>7.291E-4</v>
      </c>
      <c r="D5" s="542">
        <v>7.2420000000000004E-4</v>
      </c>
      <c r="E5" s="538">
        <v>908098.01</v>
      </c>
      <c r="F5" s="538">
        <f t="shared" si="0"/>
        <v>849067</v>
      </c>
      <c r="G5" s="538">
        <v>2686878</v>
      </c>
      <c r="H5" s="538"/>
      <c r="I5" s="539">
        <v>0</v>
      </c>
      <c r="J5" s="539">
        <v>1874973</v>
      </c>
      <c r="K5" s="539">
        <v>0</v>
      </c>
      <c r="L5" s="538">
        <v>11039</v>
      </c>
      <c r="M5" s="538"/>
      <c r="N5" s="539">
        <v>305498</v>
      </c>
      <c r="O5" s="539">
        <v>2166073</v>
      </c>
      <c r="P5" s="539">
        <v>0</v>
      </c>
      <c r="Q5" s="538">
        <v>88722</v>
      </c>
      <c r="R5" s="538"/>
      <c r="S5" s="539">
        <v>261809</v>
      </c>
      <c r="T5" s="540">
        <v>-28742</v>
      </c>
      <c r="U5" s="540">
        <v>233067</v>
      </c>
      <c r="X5" s="541"/>
      <c r="Y5" s="541"/>
      <c r="Z5" s="541"/>
      <c r="AA5" s="541"/>
    </row>
    <row r="6" spans="1:28" x14ac:dyDescent="0.25">
      <c r="A6" s="535">
        <v>10700</v>
      </c>
      <c r="B6" s="536" t="s">
        <v>778</v>
      </c>
      <c r="C6" s="542">
        <v>1.854E-3</v>
      </c>
      <c r="D6" s="542">
        <v>1.9047000000000001E-3</v>
      </c>
      <c r="E6" s="538">
        <v>2752347.82</v>
      </c>
      <c r="F6" s="538">
        <f t="shared" si="0"/>
        <v>2233110</v>
      </c>
      <c r="G6" s="538">
        <v>6832357</v>
      </c>
      <c r="H6" s="538"/>
      <c r="I6" s="539">
        <v>0</v>
      </c>
      <c r="J6" s="539">
        <v>4767795</v>
      </c>
      <c r="K6" s="539">
        <v>0</v>
      </c>
      <c r="L6" s="538">
        <v>240329</v>
      </c>
      <c r="M6" s="538"/>
      <c r="N6" s="539">
        <v>776839</v>
      </c>
      <c r="O6" s="539">
        <v>5508023</v>
      </c>
      <c r="P6" s="539">
        <v>0</v>
      </c>
      <c r="Q6" s="538">
        <v>0</v>
      </c>
      <c r="R6" s="538"/>
      <c r="S6" s="539">
        <v>665743.59</v>
      </c>
      <c r="T6" s="540">
        <v>77371</v>
      </c>
      <c r="U6" s="540">
        <v>743115</v>
      </c>
      <c r="X6" s="541"/>
      <c r="Y6" s="541"/>
      <c r="Z6" s="541"/>
      <c r="AA6" s="541"/>
    </row>
    <row r="7" spans="1:28" x14ac:dyDescent="0.25">
      <c r="A7" s="535">
        <v>10800</v>
      </c>
      <c r="B7" s="536" t="s">
        <v>779</v>
      </c>
      <c r="C7" s="542">
        <v>1.9480399999999998E-2</v>
      </c>
      <c r="D7" s="542">
        <v>1.9810100000000001E-2</v>
      </c>
      <c r="E7" s="538">
        <v>25675383</v>
      </c>
      <c r="F7" s="538">
        <f t="shared" si="0"/>
        <v>23225779</v>
      </c>
      <c r="G7" s="538">
        <v>71789131</v>
      </c>
      <c r="H7" s="538"/>
      <c r="I7" s="539">
        <v>0</v>
      </c>
      <c r="J7" s="539">
        <v>50096303</v>
      </c>
      <c r="K7" s="539">
        <v>0</v>
      </c>
      <c r="L7" s="538">
        <v>192345</v>
      </c>
      <c r="M7" s="538"/>
      <c r="N7" s="539">
        <v>8162424</v>
      </c>
      <c r="O7" s="539">
        <v>57874048</v>
      </c>
      <c r="P7" s="539">
        <v>0</v>
      </c>
      <c r="Q7" s="538">
        <v>549275</v>
      </c>
      <c r="R7" s="538"/>
      <c r="S7" s="539">
        <v>6995119</v>
      </c>
      <c r="T7" s="540">
        <v>-83213</v>
      </c>
      <c r="U7" s="540">
        <v>6911907</v>
      </c>
      <c r="X7" s="541"/>
      <c r="Y7" s="541"/>
      <c r="Z7" s="541"/>
      <c r="AA7" s="541"/>
    </row>
    <row r="8" spans="1:28" x14ac:dyDescent="0.25">
      <c r="A8" s="535">
        <v>10850</v>
      </c>
      <c r="B8" s="536" t="s">
        <v>780</v>
      </c>
      <c r="C8" s="542">
        <v>1.2410000000000001E-4</v>
      </c>
      <c r="D8" s="542">
        <v>1.198E-4</v>
      </c>
      <c r="E8" s="538">
        <v>244557.65</v>
      </c>
      <c r="F8" s="538">
        <f t="shared" si="0"/>
        <v>140456</v>
      </c>
      <c r="G8" s="538">
        <v>457333</v>
      </c>
      <c r="H8" s="538"/>
      <c r="I8" s="539">
        <v>0</v>
      </c>
      <c r="J8" s="539">
        <v>319139</v>
      </c>
      <c r="K8" s="539">
        <v>0</v>
      </c>
      <c r="L8" s="538">
        <v>211587</v>
      </c>
      <c r="M8" s="538"/>
      <c r="N8" s="539">
        <v>51999</v>
      </c>
      <c r="O8" s="539">
        <v>368687</v>
      </c>
      <c r="P8" s="539">
        <v>0</v>
      </c>
      <c r="Q8" s="538">
        <v>0</v>
      </c>
      <c r="R8" s="538"/>
      <c r="S8" s="539">
        <v>44562</v>
      </c>
      <c r="T8" s="540">
        <v>68753</v>
      </c>
      <c r="U8" s="540">
        <v>113315</v>
      </c>
      <c r="X8" s="541"/>
      <c r="Y8" s="541"/>
      <c r="Z8" s="541"/>
      <c r="AA8" s="541"/>
    </row>
    <row r="9" spans="1:28" x14ac:dyDescent="0.25">
      <c r="A9" s="535">
        <v>10900</v>
      </c>
      <c r="B9" s="536" t="s">
        <v>781</v>
      </c>
      <c r="C9" s="542">
        <v>1.9277000000000001E-3</v>
      </c>
      <c r="D9" s="542">
        <v>1.8564E-3</v>
      </c>
      <c r="E9" s="538">
        <v>3045859.58</v>
      </c>
      <c r="F9" s="538">
        <f t="shared" si="0"/>
        <v>2176483</v>
      </c>
      <c r="G9" s="538">
        <v>7103956</v>
      </c>
      <c r="H9" s="538"/>
      <c r="I9" s="539">
        <v>0</v>
      </c>
      <c r="J9" s="539">
        <v>4957323</v>
      </c>
      <c r="K9" s="539">
        <v>0</v>
      </c>
      <c r="L9" s="538">
        <v>1426419</v>
      </c>
      <c r="M9" s="538"/>
      <c r="N9" s="539">
        <v>807720</v>
      </c>
      <c r="O9" s="539">
        <v>5726977</v>
      </c>
      <c r="P9" s="539">
        <v>0</v>
      </c>
      <c r="Q9" s="538">
        <v>0</v>
      </c>
      <c r="R9" s="538"/>
      <c r="S9" s="539">
        <v>692208</v>
      </c>
      <c r="T9" s="540">
        <v>447658</v>
      </c>
      <c r="U9" s="540">
        <v>1139866</v>
      </c>
      <c r="X9" s="541"/>
      <c r="Y9" s="541"/>
      <c r="Z9" s="541"/>
      <c r="AA9" s="541"/>
    </row>
    <row r="10" spans="1:28" x14ac:dyDescent="0.25">
      <c r="A10" s="535">
        <v>10910</v>
      </c>
      <c r="B10" s="536" t="s">
        <v>782</v>
      </c>
      <c r="C10" s="542">
        <v>3.3819999999999998E-4</v>
      </c>
      <c r="D10" s="542">
        <v>2.9770000000000003E-4</v>
      </c>
      <c r="E10" s="538">
        <v>459631.7</v>
      </c>
      <c r="F10" s="538">
        <f t="shared" si="0"/>
        <v>349030</v>
      </c>
      <c r="G10" s="538">
        <v>1246334</v>
      </c>
      <c r="H10" s="538"/>
      <c r="I10" s="539">
        <v>0</v>
      </c>
      <c r="J10" s="539">
        <v>869724</v>
      </c>
      <c r="K10" s="539">
        <v>0</v>
      </c>
      <c r="L10" s="538">
        <v>197047</v>
      </c>
      <c r="M10" s="538"/>
      <c r="N10" s="539">
        <v>141708</v>
      </c>
      <c r="O10" s="539">
        <v>1004754</v>
      </c>
      <c r="P10" s="539">
        <v>0</v>
      </c>
      <c r="Q10" s="538">
        <v>48542</v>
      </c>
      <c r="R10" s="538"/>
      <c r="S10" s="539">
        <v>121443</v>
      </c>
      <c r="T10" s="540">
        <v>37185</v>
      </c>
      <c r="U10" s="540">
        <v>158628</v>
      </c>
      <c r="X10" s="541"/>
      <c r="Y10" s="541"/>
      <c r="Z10" s="541"/>
      <c r="AA10" s="541"/>
    </row>
    <row r="11" spans="1:28" x14ac:dyDescent="0.25">
      <c r="A11" s="535">
        <v>10930</v>
      </c>
      <c r="B11" s="536" t="s">
        <v>783</v>
      </c>
      <c r="C11" s="542">
        <v>2.6234000000000001E-3</v>
      </c>
      <c r="D11" s="542">
        <v>2.4191E-3</v>
      </c>
      <c r="E11" s="538">
        <v>3833671.01</v>
      </c>
      <c r="F11" s="538">
        <f t="shared" si="0"/>
        <v>2836204</v>
      </c>
      <c r="G11" s="538">
        <v>9667748</v>
      </c>
      <c r="H11" s="538"/>
      <c r="I11" s="539">
        <v>0</v>
      </c>
      <c r="J11" s="539">
        <v>6746404</v>
      </c>
      <c r="K11" s="539">
        <v>0</v>
      </c>
      <c r="L11" s="538">
        <v>1273472</v>
      </c>
      <c r="M11" s="538"/>
      <c r="N11" s="539">
        <v>1099223</v>
      </c>
      <c r="O11" s="539">
        <v>7793822</v>
      </c>
      <c r="P11" s="539">
        <v>0</v>
      </c>
      <c r="Q11" s="538">
        <v>217826</v>
      </c>
      <c r="R11" s="538"/>
      <c r="S11" s="539">
        <v>942024</v>
      </c>
      <c r="T11" s="540">
        <v>274689</v>
      </c>
      <c r="U11" s="540">
        <v>1216712</v>
      </c>
    </row>
    <row r="12" spans="1:28" x14ac:dyDescent="0.25">
      <c r="A12" s="535">
        <v>10940</v>
      </c>
      <c r="B12" s="536" t="s">
        <v>784</v>
      </c>
      <c r="C12" s="542">
        <v>7.228E-4</v>
      </c>
      <c r="D12" s="542">
        <v>8.5400000000000005E-4</v>
      </c>
      <c r="E12" s="538">
        <v>1038418.6</v>
      </c>
      <c r="F12" s="538">
        <f t="shared" si="0"/>
        <v>1001248</v>
      </c>
      <c r="G12" s="538">
        <v>2663661</v>
      </c>
      <c r="H12" s="538"/>
      <c r="I12" s="539">
        <v>0</v>
      </c>
      <c r="J12" s="539">
        <v>1858771</v>
      </c>
      <c r="K12" s="539">
        <v>0</v>
      </c>
      <c r="L12" s="538">
        <v>0</v>
      </c>
      <c r="M12" s="538"/>
      <c r="N12" s="539">
        <v>302858</v>
      </c>
      <c r="O12" s="539">
        <v>2147356</v>
      </c>
      <c r="P12" s="539">
        <v>0</v>
      </c>
      <c r="Q12" s="538">
        <v>501045</v>
      </c>
      <c r="R12" s="538"/>
      <c r="S12" s="539">
        <v>259547</v>
      </c>
      <c r="T12" s="540">
        <v>-142385</v>
      </c>
      <c r="U12" s="540">
        <v>117162</v>
      </c>
    </row>
    <row r="13" spans="1:28" x14ac:dyDescent="0.25">
      <c r="A13" s="535">
        <v>10950</v>
      </c>
      <c r="B13" s="536" t="s">
        <v>785</v>
      </c>
      <c r="C13" s="542">
        <v>6.7480000000000003E-4</v>
      </c>
      <c r="D13" s="542">
        <v>6.6839999999999998E-4</v>
      </c>
      <c r="E13" s="538">
        <v>927702.87</v>
      </c>
      <c r="F13" s="538">
        <f t="shared" si="0"/>
        <v>783646</v>
      </c>
      <c r="G13" s="538">
        <v>2486772</v>
      </c>
      <c r="H13" s="538"/>
      <c r="I13" s="539">
        <v>0</v>
      </c>
      <c r="J13" s="539">
        <v>1735333</v>
      </c>
      <c r="K13" s="539">
        <v>0</v>
      </c>
      <c r="L13" s="538">
        <v>260459</v>
      </c>
      <c r="M13" s="538"/>
      <c r="N13" s="539">
        <v>282746</v>
      </c>
      <c r="O13" s="539">
        <v>2004754</v>
      </c>
      <c r="P13" s="539">
        <v>0</v>
      </c>
      <c r="Q13" s="538">
        <v>0</v>
      </c>
      <c r="R13" s="538"/>
      <c r="S13" s="539">
        <v>242311</v>
      </c>
      <c r="T13" s="540">
        <v>86318</v>
      </c>
      <c r="U13" s="540">
        <v>328629</v>
      </c>
    </row>
    <row r="14" spans="1:28" x14ac:dyDescent="0.25">
      <c r="A14" s="535">
        <v>11300</v>
      </c>
      <c r="B14" s="536" t="s">
        <v>786</v>
      </c>
      <c r="C14" s="542">
        <v>8.1285999999999997E-3</v>
      </c>
      <c r="D14" s="542">
        <v>8.5200999999999992E-3</v>
      </c>
      <c r="E14" s="538">
        <v>11121994</v>
      </c>
      <c r="F14" s="538">
        <f t="shared" si="0"/>
        <v>9989145</v>
      </c>
      <c r="G14" s="538">
        <v>29955500</v>
      </c>
      <c r="H14" s="538"/>
      <c r="I14" s="539">
        <v>0</v>
      </c>
      <c r="J14" s="539">
        <v>20903719</v>
      </c>
      <c r="K14" s="539">
        <v>0</v>
      </c>
      <c r="L14" s="538">
        <v>0</v>
      </c>
      <c r="M14" s="538"/>
      <c r="N14" s="539">
        <v>3405940</v>
      </c>
      <c r="O14" s="539">
        <v>24149144</v>
      </c>
      <c r="P14" s="539">
        <v>0</v>
      </c>
      <c r="Q14" s="538">
        <v>1197297</v>
      </c>
      <c r="R14" s="538"/>
      <c r="S14" s="539">
        <v>2918858</v>
      </c>
      <c r="T14" s="540">
        <v>-348985</v>
      </c>
      <c r="U14" s="540">
        <v>2569873</v>
      </c>
    </row>
    <row r="15" spans="1:28" x14ac:dyDescent="0.25">
      <c r="A15" s="535">
        <v>11310</v>
      </c>
      <c r="B15" s="536" t="s">
        <v>787</v>
      </c>
      <c r="C15" s="542">
        <v>5.1639999999999998E-4</v>
      </c>
      <c r="D15" s="542">
        <v>5.1659999999999998E-4</v>
      </c>
      <c r="E15" s="538">
        <v>708974.88</v>
      </c>
      <c r="F15" s="538">
        <f t="shared" si="0"/>
        <v>605673</v>
      </c>
      <c r="G15" s="538">
        <v>1903036</v>
      </c>
      <c r="H15" s="538"/>
      <c r="I15" s="539">
        <v>0</v>
      </c>
      <c r="J15" s="539">
        <v>1327988</v>
      </c>
      <c r="K15" s="539">
        <v>0</v>
      </c>
      <c r="L15" s="538">
        <v>66309</v>
      </c>
      <c r="M15" s="538"/>
      <c r="N15" s="539">
        <v>216375</v>
      </c>
      <c r="O15" s="539">
        <v>1534166</v>
      </c>
      <c r="P15" s="539">
        <v>0</v>
      </c>
      <c r="Q15" s="538">
        <v>0</v>
      </c>
      <c r="R15" s="538"/>
      <c r="S15" s="539">
        <v>185431</v>
      </c>
      <c r="T15" s="540">
        <v>20201</v>
      </c>
      <c r="U15" s="540">
        <v>205632</v>
      </c>
    </row>
    <row r="16" spans="1:28" x14ac:dyDescent="0.25">
      <c r="A16" s="535">
        <v>11600</v>
      </c>
      <c r="B16" s="536" t="s">
        <v>788</v>
      </c>
      <c r="C16" s="542">
        <v>2.1665E-3</v>
      </c>
      <c r="D16" s="542">
        <v>2.222E-3</v>
      </c>
      <c r="E16" s="538">
        <v>2668558.35</v>
      </c>
      <c r="F16" s="538">
        <f t="shared" si="0"/>
        <v>2605120</v>
      </c>
      <c r="G16" s="538">
        <v>7983981</v>
      </c>
      <c r="H16" s="538"/>
      <c r="I16" s="539">
        <v>0</v>
      </c>
      <c r="J16" s="539">
        <v>5571428</v>
      </c>
      <c r="K16" s="539">
        <v>0</v>
      </c>
      <c r="L16" s="538">
        <v>153619</v>
      </c>
      <c r="M16" s="538"/>
      <c r="N16" s="539">
        <v>907779</v>
      </c>
      <c r="O16" s="539">
        <v>6436425</v>
      </c>
      <c r="P16" s="539">
        <v>0</v>
      </c>
      <c r="Q16" s="538">
        <v>287193</v>
      </c>
      <c r="R16" s="538"/>
      <c r="S16" s="539">
        <v>777958</v>
      </c>
      <c r="T16" s="540">
        <v>-24494</v>
      </c>
      <c r="U16" s="540">
        <v>753463</v>
      </c>
    </row>
    <row r="17" spans="1:21" x14ac:dyDescent="0.25">
      <c r="A17" s="535">
        <v>11900</v>
      </c>
      <c r="B17" s="536" t="s">
        <v>789</v>
      </c>
      <c r="C17" s="542">
        <v>2.474E-4</v>
      </c>
      <c r="D17" s="542">
        <v>2.2139999999999999E-4</v>
      </c>
      <c r="E17" s="538">
        <v>295452.24</v>
      </c>
      <c r="F17" s="538">
        <f t="shared" si="0"/>
        <v>259574</v>
      </c>
      <c r="G17" s="538">
        <v>911718</v>
      </c>
      <c r="H17" s="538"/>
      <c r="I17" s="539">
        <v>0</v>
      </c>
      <c r="J17" s="539">
        <v>636220</v>
      </c>
      <c r="K17" s="539">
        <v>0</v>
      </c>
      <c r="L17" s="538">
        <v>96857</v>
      </c>
      <c r="M17" s="538"/>
      <c r="N17" s="539">
        <v>103662</v>
      </c>
      <c r="O17" s="539">
        <v>734997</v>
      </c>
      <c r="P17" s="539">
        <v>0</v>
      </c>
      <c r="Q17" s="538">
        <v>44076</v>
      </c>
      <c r="R17" s="538"/>
      <c r="S17" s="539">
        <v>88838</v>
      </c>
      <c r="T17" s="540">
        <v>11032</v>
      </c>
      <c r="U17" s="540">
        <v>99870</v>
      </c>
    </row>
    <row r="18" spans="1:21" x14ac:dyDescent="0.25">
      <c r="A18" s="535">
        <v>12100</v>
      </c>
      <c r="B18" s="536" t="s">
        <v>790</v>
      </c>
      <c r="C18" s="542">
        <v>2.677E-4</v>
      </c>
      <c r="D18" s="542">
        <v>2.519E-4</v>
      </c>
      <c r="E18" s="538">
        <v>369619.58</v>
      </c>
      <c r="F18" s="538">
        <f t="shared" si="0"/>
        <v>295333</v>
      </c>
      <c r="G18" s="538">
        <v>986528</v>
      </c>
      <c r="H18" s="538"/>
      <c r="I18" s="539">
        <v>0</v>
      </c>
      <c r="J18" s="539">
        <v>688424</v>
      </c>
      <c r="K18" s="539">
        <v>0</v>
      </c>
      <c r="L18" s="538">
        <v>285140</v>
      </c>
      <c r="M18" s="538"/>
      <c r="N18" s="539">
        <v>112168</v>
      </c>
      <c r="O18" s="539">
        <v>795306</v>
      </c>
      <c r="P18" s="539">
        <v>0</v>
      </c>
      <c r="Q18" s="538">
        <v>0</v>
      </c>
      <c r="R18" s="538"/>
      <c r="S18" s="539">
        <v>96127</v>
      </c>
      <c r="T18" s="540">
        <v>94737</v>
      </c>
      <c r="U18" s="540">
        <v>190864</v>
      </c>
    </row>
    <row r="19" spans="1:21" x14ac:dyDescent="0.25">
      <c r="A19" s="535">
        <v>12150</v>
      </c>
      <c r="B19" s="536" t="s">
        <v>791</v>
      </c>
      <c r="C19" s="542">
        <v>4.3000000000000002E-5</v>
      </c>
      <c r="D19" s="542">
        <v>3.3699999999999999E-5</v>
      </c>
      <c r="E19" s="538">
        <v>43959.39</v>
      </c>
      <c r="F19" s="538">
        <f t="shared" si="0"/>
        <v>39511</v>
      </c>
      <c r="G19" s="538">
        <v>158464</v>
      </c>
      <c r="H19" s="538"/>
      <c r="I19" s="539">
        <v>0</v>
      </c>
      <c r="J19" s="539">
        <v>110580</v>
      </c>
      <c r="K19" s="539">
        <v>0</v>
      </c>
      <c r="L19" s="538">
        <v>39777</v>
      </c>
      <c r="M19" s="538"/>
      <c r="N19" s="539">
        <v>18017</v>
      </c>
      <c r="O19" s="539">
        <v>127748</v>
      </c>
      <c r="P19" s="539">
        <v>0</v>
      </c>
      <c r="Q19" s="538">
        <v>0</v>
      </c>
      <c r="R19" s="538"/>
      <c r="S19" s="539">
        <v>15441</v>
      </c>
      <c r="T19" s="540">
        <v>11710</v>
      </c>
      <c r="U19" s="540">
        <v>27150</v>
      </c>
    </row>
    <row r="20" spans="1:21" x14ac:dyDescent="0.25">
      <c r="A20" s="535">
        <v>12160</v>
      </c>
      <c r="B20" s="536" t="s">
        <v>792</v>
      </c>
      <c r="C20" s="542">
        <v>1.8278000000000001E-3</v>
      </c>
      <c r="D20" s="542">
        <v>1.8473000000000001E-3</v>
      </c>
      <c r="E20" s="538">
        <v>2677763.98</v>
      </c>
      <c r="F20" s="538">
        <f t="shared" si="0"/>
        <v>2165814</v>
      </c>
      <c r="G20" s="538">
        <v>6735805</v>
      </c>
      <c r="H20" s="538"/>
      <c r="I20" s="539">
        <v>0</v>
      </c>
      <c r="J20" s="539">
        <v>4700418</v>
      </c>
      <c r="K20" s="539">
        <v>0</v>
      </c>
      <c r="L20" s="538">
        <v>796022</v>
      </c>
      <c r="M20" s="538"/>
      <c r="N20" s="539">
        <v>765861</v>
      </c>
      <c r="O20" s="539">
        <v>5430185</v>
      </c>
      <c r="P20" s="539">
        <v>0</v>
      </c>
      <c r="Q20" s="538">
        <v>0</v>
      </c>
      <c r="R20" s="538"/>
      <c r="S20" s="539">
        <v>656336</v>
      </c>
      <c r="T20" s="540">
        <v>268436</v>
      </c>
      <c r="U20" s="540">
        <v>924771</v>
      </c>
    </row>
    <row r="21" spans="1:21" x14ac:dyDescent="0.25">
      <c r="A21" s="535">
        <v>12220</v>
      </c>
      <c r="B21" s="536" t="s">
        <v>793</v>
      </c>
      <c r="C21" s="542">
        <v>4.9292900000000001E-2</v>
      </c>
      <c r="D21" s="542">
        <v>4.9215700000000001E-2</v>
      </c>
      <c r="E21" s="538">
        <v>67341096</v>
      </c>
      <c r="F21" s="538">
        <f t="shared" si="0"/>
        <v>57701526</v>
      </c>
      <c r="G21" s="538">
        <v>181654096</v>
      </c>
      <c r="H21" s="538"/>
      <c r="I21" s="539">
        <v>0</v>
      </c>
      <c r="J21" s="539">
        <v>126762903</v>
      </c>
      <c r="K21" s="539">
        <v>0</v>
      </c>
      <c r="L21" s="538">
        <v>5945813</v>
      </c>
      <c r="M21" s="538"/>
      <c r="N21" s="539">
        <v>20654070</v>
      </c>
      <c r="O21" s="539">
        <v>146443587</v>
      </c>
      <c r="P21" s="539">
        <v>0</v>
      </c>
      <c r="Q21" s="538">
        <v>0</v>
      </c>
      <c r="R21" s="538"/>
      <c r="S21" s="539">
        <v>17700341</v>
      </c>
      <c r="T21" s="540">
        <v>1778821</v>
      </c>
      <c r="U21" s="540">
        <v>19479162</v>
      </c>
    </row>
    <row r="22" spans="1:21" x14ac:dyDescent="0.25">
      <c r="A22" s="535">
        <v>12510</v>
      </c>
      <c r="B22" s="536" t="s">
        <v>794</v>
      </c>
      <c r="C22" s="542">
        <v>5.705E-3</v>
      </c>
      <c r="D22" s="542">
        <v>6.3379999999999999E-3</v>
      </c>
      <c r="E22" s="538">
        <v>8802921</v>
      </c>
      <c r="F22" s="538">
        <f t="shared" si="0"/>
        <v>7430805</v>
      </c>
      <c r="G22" s="538">
        <v>21024055</v>
      </c>
      <c r="H22" s="538"/>
      <c r="I22" s="539">
        <v>0</v>
      </c>
      <c r="J22" s="539">
        <v>14671126</v>
      </c>
      <c r="K22" s="539">
        <v>0</v>
      </c>
      <c r="L22" s="538">
        <v>251511</v>
      </c>
      <c r="M22" s="538"/>
      <c r="N22" s="539">
        <v>2390435</v>
      </c>
      <c r="O22" s="539">
        <v>16948905</v>
      </c>
      <c r="P22" s="539">
        <v>0</v>
      </c>
      <c r="Q22" s="538">
        <v>1426966</v>
      </c>
      <c r="R22" s="538"/>
      <c r="S22" s="539">
        <v>2048580</v>
      </c>
      <c r="T22" s="540">
        <v>-305134</v>
      </c>
      <c r="U22" s="540">
        <v>1743446</v>
      </c>
    </row>
    <row r="23" spans="1:21" x14ac:dyDescent="0.25">
      <c r="A23" s="535">
        <v>12600</v>
      </c>
      <c r="B23" s="536" t="s">
        <v>795</v>
      </c>
      <c r="C23" s="542">
        <v>1.5257000000000001E-3</v>
      </c>
      <c r="D23" s="542">
        <v>1.5721999999999999E-3</v>
      </c>
      <c r="E23" s="538">
        <v>2240938.91</v>
      </c>
      <c r="F23" s="538">
        <f t="shared" si="0"/>
        <v>1843280</v>
      </c>
      <c r="G23" s="538">
        <v>5622507</v>
      </c>
      <c r="H23" s="538"/>
      <c r="I23" s="539">
        <v>0</v>
      </c>
      <c r="J23" s="539">
        <v>3923530</v>
      </c>
      <c r="K23" s="539">
        <v>0</v>
      </c>
      <c r="L23" s="538">
        <v>49577</v>
      </c>
      <c r="M23" s="538"/>
      <c r="N23" s="539">
        <v>639279</v>
      </c>
      <c r="O23" s="539">
        <v>4532681</v>
      </c>
      <c r="P23" s="539">
        <v>0</v>
      </c>
      <c r="Q23" s="538">
        <v>50254</v>
      </c>
      <c r="R23" s="538"/>
      <c r="S23" s="539">
        <v>547856</v>
      </c>
      <c r="T23" s="540">
        <v>-4279</v>
      </c>
      <c r="U23" s="540">
        <v>543577</v>
      </c>
    </row>
    <row r="24" spans="1:21" x14ac:dyDescent="0.25">
      <c r="A24" s="535">
        <v>12700</v>
      </c>
      <c r="B24" s="536" t="s">
        <v>796</v>
      </c>
      <c r="C24" s="542">
        <v>1.1758000000000001E-3</v>
      </c>
      <c r="D24" s="542">
        <v>1.2378999999999999E-3</v>
      </c>
      <c r="E24" s="538">
        <v>1751369.28</v>
      </c>
      <c r="F24" s="538">
        <f t="shared" si="0"/>
        <v>1451340</v>
      </c>
      <c r="G24" s="538">
        <v>4333056</v>
      </c>
      <c r="H24" s="538"/>
      <c r="I24" s="539">
        <v>0</v>
      </c>
      <c r="J24" s="539">
        <v>3023718</v>
      </c>
      <c r="K24" s="539">
        <v>0</v>
      </c>
      <c r="L24" s="538">
        <v>0</v>
      </c>
      <c r="M24" s="538"/>
      <c r="N24" s="539">
        <v>492668</v>
      </c>
      <c r="O24" s="539">
        <v>3493168</v>
      </c>
      <c r="P24" s="539">
        <v>0</v>
      </c>
      <c r="Q24" s="538">
        <v>64630</v>
      </c>
      <c r="R24" s="538"/>
      <c r="S24" s="539">
        <v>422212</v>
      </c>
      <c r="T24" s="540">
        <v>-18775</v>
      </c>
      <c r="U24" s="540">
        <v>403437</v>
      </c>
    </row>
    <row r="25" spans="1:21" x14ac:dyDescent="0.25">
      <c r="A25" s="535">
        <v>13500</v>
      </c>
      <c r="B25" s="536" t="s">
        <v>797</v>
      </c>
      <c r="C25" s="542">
        <v>4.2383999999999998E-3</v>
      </c>
      <c r="D25" s="542">
        <v>4.2439000000000001E-3</v>
      </c>
      <c r="E25" s="538">
        <v>5697612</v>
      </c>
      <c r="F25" s="538">
        <f t="shared" si="0"/>
        <v>4975638</v>
      </c>
      <c r="G25" s="538">
        <v>15619343</v>
      </c>
      <c r="H25" s="538"/>
      <c r="I25" s="539">
        <v>0</v>
      </c>
      <c r="J25" s="539">
        <v>10899580</v>
      </c>
      <c r="K25" s="539">
        <v>0</v>
      </c>
      <c r="L25" s="538">
        <v>386867</v>
      </c>
      <c r="M25" s="538"/>
      <c r="N25" s="539">
        <v>1775919</v>
      </c>
      <c r="O25" s="539">
        <v>12591803</v>
      </c>
      <c r="P25" s="539">
        <v>0</v>
      </c>
      <c r="Q25" s="538">
        <v>0</v>
      </c>
      <c r="R25" s="538"/>
      <c r="S25" s="539">
        <v>1521946</v>
      </c>
      <c r="T25" s="540">
        <v>118461</v>
      </c>
      <c r="U25" s="540">
        <v>1640407</v>
      </c>
    </row>
    <row r="26" spans="1:21" x14ac:dyDescent="0.25">
      <c r="A26" s="535">
        <v>13700</v>
      </c>
      <c r="B26" s="536" t="s">
        <v>798</v>
      </c>
      <c r="C26" s="542">
        <v>5.3370000000000002E-4</v>
      </c>
      <c r="D26" s="542">
        <v>5.7600000000000001E-4</v>
      </c>
      <c r="E26" s="538">
        <v>771457.87</v>
      </c>
      <c r="F26" s="538">
        <f t="shared" si="0"/>
        <v>675315</v>
      </c>
      <c r="G26" s="538">
        <v>1966790</v>
      </c>
      <c r="H26" s="538"/>
      <c r="I26" s="539">
        <v>0</v>
      </c>
      <c r="J26" s="539">
        <v>1372477</v>
      </c>
      <c r="K26" s="539">
        <v>0</v>
      </c>
      <c r="L26" s="538">
        <v>28274</v>
      </c>
      <c r="M26" s="538"/>
      <c r="N26" s="539">
        <v>223624</v>
      </c>
      <c r="O26" s="539">
        <v>1585562</v>
      </c>
      <c r="P26" s="539">
        <v>0</v>
      </c>
      <c r="Q26" s="538">
        <v>102626</v>
      </c>
      <c r="R26" s="538"/>
      <c r="S26" s="539">
        <v>191644</v>
      </c>
      <c r="T26" s="540">
        <v>-18294</v>
      </c>
      <c r="U26" s="540">
        <v>173350</v>
      </c>
    </row>
    <row r="27" spans="1:21" x14ac:dyDescent="0.25">
      <c r="A27" s="535">
        <v>14200</v>
      </c>
      <c r="B27" s="536" t="s">
        <v>799</v>
      </c>
      <c r="C27" s="542">
        <v>0</v>
      </c>
      <c r="D27" s="542">
        <v>0</v>
      </c>
      <c r="E27" s="538"/>
      <c r="F27" s="538">
        <f t="shared" si="0"/>
        <v>0</v>
      </c>
      <c r="G27" s="538">
        <v>0</v>
      </c>
      <c r="H27" s="538"/>
      <c r="I27" s="539">
        <v>0</v>
      </c>
      <c r="J27" s="539">
        <v>0</v>
      </c>
      <c r="K27" s="539">
        <v>0</v>
      </c>
      <c r="L27" s="538">
        <v>0</v>
      </c>
      <c r="M27" s="538"/>
      <c r="N27" s="539">
        <v>0</v>
      </c>
      <c r="O27" s="539">
        <v>0</v>
      </c>
      <c r="P27" s="539">
        <v>0</v>
      </c>
      <c r="Q27" s="538">
        <v>7072</v>
      </c>
      <c r="R27" s="538"/>
      <c r="S27" s="539">
        <v>0</v>
      </c>
      <c r="T27" s="540">
        <v>-2535</v>
      </c>
      <c r="U27" s="540">
        <v>-2535</v>
      </c>
    </row>
    <row r="28" spans="1:21" x14ac:dyDescent="0.25">
      <c r="A28" s="535">
        <v>14300</v>
      </c>
      <c r="B28" s="536" t="s">
        <v>800</v>
      </c>
      <c r="C28" s="542">
        <v>1.5661E-3</v>
      </c>
      <c r="D28" s="542">
        <v>1.5441999999999999E-3</v>
      </c>
      <c r="E28" s="538">
        <v>1984271.3</v>
      </c>
      <c r="F28" s="538">
        <f t="shared" si="0"/>
        <v>1810453</v>
      </c>
      <c r="G28" s="538">
        <v>5771389</v>
      </c>
      <c r="H28" s="538"/>
      <c r="I28" s="539">
        <v>0</v>
      </c>
      <c r="J28" s="539">
        <v>4027423</v>
      </c>
      <c r="K28" s="539">
        <v>0</v>
      </c>
      <c r="L28" s="538">
        <v>98252</v>
      </c>
      <c r="M28" s="538"/>
      <c r="N28" s="539">
        <v>656207</v>
      </c>
      <c r="O28" s="539">
        <v>4652705</v>
      </c>
      <c r="P28" s="539">
        <v>0</v>
      </c>
      <c r="Q28" s="538">
        <v>56141</v>
      </c>
      <c r="R28" s="538"/>
      <c r="S28" s="539">
        <v>562363</v>
      </c>
      <c r="T28" s="540">
        <v>7094</v>
      </c>
      <c r="U28" s="540">
        <v>569457</v>
      </c>
    </row>
    <row r="29" spans="1:21" x14ac:dyDescent="0.25">
      <c r="A29" s="535">
        <v>18400</v>
      </c>
      <c r="B29" s="536" t="s">
        <v>801</v>
      </c>
      <c r="C29" s="542">
        <v>5.7102999999999998E-3</v>
      </c>
      <c r="D29" s="542">
        <v>5.7371000000000002E-3</v>
      </c>
      <c r="E29" s="538">
        <v>7853312</v>
      </c>
      <c r="F29" s="538">
        <f t="shared" si="0"/>
        <v>6726297</v>
      </c>
      <c r="G29" s="538">
        <v>21043586</v>
      </c>
      <c r="H29" s="538"/>
      <c r="I29" s="539">
        <v>0</v>
      </c>
      <c r="J29" s="539">
        <v>14684756</v>
      </c>
      <c r="K29" s="539">
        <v>0</v>
      </c>
      <c r="L29" s="538">
        <v>995510</v>
      </c>
      <c r="M29" s="538"/>
      <c r="N29" s="539">
        <v>2392656</v>
      </c>
      <c r="O29" s="539">
        <v>16964650</v>
      </c>
      <c r="P29" s="539">
        <v>0</v>
      </c>
      <c r="Q29" s="538">
        <v>0</v>
      </c>
      <c r="R29" s="538"/>
      <c r="S29" s="539">
        <v>2050483</v>
      </c>
      <c r="T29" s="540">
        <v>324993</v>
      </c>
      <c r="U29" s="540">
        <v>2375476</v>
      </c>
    </row>
    <row r="30" spans="1:21" x14ac:dyDescent="0.25">
      <c r="A30" s="535">
        <v>18600</v>
      </c>
      <c r="B30" s="536" t="s">
        <v>802</v>
      </c>
      <c r="C30" s="542">
        <v>1.8600000000000001E-5</v>
      </c>
      <c r="D30" s="542">
        <v>2.44E-5</v>
      </c>
      <c r="E30" s="538">
        <v>35811</v>
      </c>
      <c r="F30" s="538">
        <f t="shared" si="0"/>
        <v>28607</v>
      </c>
      <c r="G30" s="538">
        <v>68545</v>
      </c>
      <c r="H30" s="538"/>
      <c r="I30" s="539">
        <v>0</v>
      </c>
      <c r="J30" s="539">
        <v>47832</v>
      </c>
      <c r="K30" s="539">
        <v>0</v>
      </c>
      <c r="L30" s="538">
        <v>4466</v>
      </c>
      <c r="M30" s="538"/>
      <c r="N30" s="539">
        <v>7794</v>
      </c>
      <c r="O30" s="539">
        <v>55258</v>
      </c>
      <c r="P30" s="539">
        <v>0</v>
      </c>
      <c r="Q30" s="538">
        <v>14903</v>
      </c>
      <c r="R30" s="538"/>
      <c r="S30" s="539">
        <v>6679</v>
      </c>
      <c r="T30" s="540">
        <v>-2528</v>
      </c>
      <c r="U30" s="540">
        <v>4151</v>
      </c>
    </row>
    <row r="31" spans="1:21" x14ac:dyDescent="0.25">
      <c r="A31" s="535">
        <v>18640</v>
      </c>
      <c r="B31" s="536" t="s">
        <v>803</v>
      </c>
      <c r="C31" s="542">
        <v>0</v>
      </c>
      <c r="D31" s="542">
        <v>1.7999999999999999E-6</v>
      </c>
      <c r="E31" s="538">
        <v>0</v>
      </c>
      <c r="F31" s="538">
        <f t="shared" si="0"/>
        <v>2110</v>
      </c>
      <c r="G31" s="538">
        <v>0</v>
      </c>
      <c r="H31" s="538"/>
      <c r="I31" s="539">
        <v>0</v>
      </c>
      <c r="J31" s="539">
        <v>0</v>
      </c>
      <c r="K31" s="539">
        <v>0</v>
      </c>
      <c r="L31" s="538">
        <v>0</v>
      </c>
      <c r="M31" s="538"/>
      <c r="N31" s="539">
        <v>0</v>
      </c>
      <c r="O31" s="539">
        <v>0</v>
      </c>
      <c r="P31" s="539">
        <v>0</v>
      </c>
      <c r="Q31" s="538">
        <v>15007</v>
      </c>
      <c r="R31" s="538"/>
      <c r="S31" s="539">
        <v>0</v>
      </c>
      <c r="T31" s="540">
        <v>-4758</v>
      </c>
      <c r="U31" s="540">
        <v>-4758</v>
      </c>
    </row>
    <row r="32" spans="1:21" x14ac:dyDescent="0.25">
      <c r="A32" s="535">
        <v>18670</v>
      </c>
      <c r="B32" s="536" t="s">
        <v>804</v>
      </c>
      <c r="C32" s="542">
        <v>0</v>
      </c>
      <c r="D32" s="542">
        <v>3.4999999999999999E-6</v>
      </c>
      <c r="E32" s="538"/>
      <c r="F32" s="538">
        <f t="shared" si="0"/>
        <v>4103</v>
      </c>
      <c r="G32" s="538">
        <v>0</v>
      </c>
      <c r="H32" s="538"/>
      <c r="I32" s="539">
        <v>0</v>
      </c>
      <c r="J32" s="539">
        <v>0</v>
      </c>
      <c r="K32" s="539">
        <v>0</v>
      </c>
      <c r="L32" s="538">
        <v>0</v>
      </c>
      <c r="M32" s="538"/>
      <c r="N32" s="539">
        <v>0</v>
      </c>
      <c r="O32" s="539">
        <v>0</v>
      </c>
      <c r="P32" s="539">
        <v>0</v>
      </c>
      <c r="Q32" s="538">
        <v>18964</v>
      </c>
      <c r="R32" s="538"/>
      <c r="S32" s="539">
        <v>0</v>
      </c>
      <c r="T32" s="540">
        <v>-5591</v>
      </c>
      <c r="U32" s="540">
        <v>-5591</v>
      </c>
    </row>
    <row r="33" spans="1:21" x14ac:dyDescent="0.25">
      <c r="A33" s="535">
        <v>18690</v>
      </c>
      <c r="B33" s="536" t="s">
        <v>805</v>
      </c>
      <c r="C33" s="542">
        <v>8.6999999999999997E-6</v>
      </c>
      <c r="D33" s="542">
        <v>1.2E-5</v>
      </c>
      <c r="E33" s="538">
        <v>25183.09</v>
      </c>
      <c r="F33" s="538">
        <f t="shared" si="0"/>
        <v>14069</v>
      </c>
      <c r="G33" s="538">
        <v>32061</v>
      </c>
      <c r="H33" s="538"/>
      <c r="I33" s="539">
        <v>0</v>
      </c>
      <c r="J33" s="539">
        <v>22373</v>
      </c>
      <c r="K33" s="539">
        <v>0</v>
      </c>
      <c r="L33" s="538">
        <v>17368</v>
      </c>
      <c r="M33" s="538"/>
      <c r="N33" s="539">
        <v>3645</v>
      </c>
      <c r="O33" s="539">
        <v>25847</v>
      </c>
      <c r="P33" s="539">
        <v>0</v>
      </c>
      <c r="Q33" s="538">
        <v>2853</v>
      </c>
      <c r="R33" s="538"/>
      <c r="S33" s="539">
        <v>3124</v>
      </c>
      <c r="T33" s="540">
        <v>5435</v>
      </c>
      <c r="U33" s="540">
        <v>8559</v>
      </c>
    </row>
    <row r="34" spans="1:21" x14ac:dyDescent="0.25">
      <c r="A34" s="535">
        <v>18740</v>
      </c>
      <c r="B34" s="536" t="s">
        <v>806</v>
      </c>
      <c r="C34" s="542">
        <v>6.2999999999999998E-6</v>
      </c>
      <c r="D34" s="542">
        <v>6.9E-6</v>
      </c>
      <c r="E34" s="538">
        <v>9550.41</v>
      </c>
      <c r="F34" s="538">
        <f t="shared" si="0"/>
        <v>8090</v>
      </c>
      <c r="G34" s="538">
        <v>23217</v>
      </c>
      <c r="H34" s="538"/>
      <c r="I34" s="539">
        <v>0</v>
      </c>
      <c r="J34" s="539">
        <v>16201</v>
      </c>
      <c r="K34" s="539">
        <v>0</v>
      </c>
      <c r="L34" s="538">
        <v>429</v>
      </c>
      <c r="M34" s="538"/>
      <c r="N34" s="539">
        <v>2640</v>
      </c>
      <c r="O34" s="539">
        <v>18717</v>
      </c>
      <c r="P34" s="539">
        <v>0</v>
      </c>
      <c r="Q34" s="538">
        <v>1290</v>
      </c>
      <c r="R34" s="538"/>
      <c r="S34" s="539">
        <v>2262</v>
      </c>
      <c r="T34" s="540">
        <v>-204</v>
      </c>
      <c r="U34" s="540">
        <v>2059</v>
      </c>
    </row>
    <row r="35" spans="1:21" x14ac:dyDescent="0.25">
      <c r="A35" s="535">
        <v>18780</v>
      </c>
      <c r="B35" s="536" t="s">
        <v>807</v>
      </c>
      <c r="C35" s="542">
        <v>1.3200000000000001E-5</v>
      </c>
      <c r="D35" s="542">
        <v>1.26E-5</v>
      </c>
      <c r="E35" s="538">
        <v>19770.14</v>
      </c>
      <c r="F35" s="538">
        <f t="shared" si="0"/>
        <v>14773</v>
      </c>
      <c r="G35" s="538">
        <v>48645</v>
      </c>
      <c r="H35" s="538"/>
      <c r="I35" s="539">
        <v>0</v>
      </c>
      <c r="J35" s="539">
        <v>33945</v>
      </c>
      <c r="K35" s="539">
        <v>0</v>
      </c>
      <c r="L35" s="538">
        <v>15638</v>
      </c>
      <c r="M35" s="538"/>
      <c r="N35" s="539">
        <v>5531</v>
      </c>
      <c r="O35" s="539">
        <v>39216</v>
      </c>
      <c r="P35" s="539">
        <v>0</v>
      </c>
      <c r="Q35" s="538">
        <v>0</v>
      </c>
      <c r="R35" s="538"/>
      <c r="S35" s="539">
        <v>4740</v>
      </c>
      <c r="T35" s="540">
        <v>5200</v>
      </c>
      <c r="U35" s="540">
        <v>9940</v>
      </c>
    </row>
    <row r="36" spans="1:21" x14ac:dyDescent="0.25">
      <c r="A36" s="535">
        <v>19005</v>
      </c>
      <c r="B36" s="536" t="s">
        <v>808</v>
      </c>
      <c r="C36" s="542">
        <v>8.0519999999999995E-4</v>
      </c>
      <c r="D36" s="542">
        <v>8.072E-4</v>
      </c>
      <c r="E36" s="538">
        <v>1204505.94</v>
      </c>
      <c r="F36" s="538">
        <f t="shared" si="0"/>
        <v>946378</v>
      </c>
      <c r="G36" s="538">
        <v>2967321</v>
      </c>
      <c r="H36" s="538"/>
      <c r="I36" s="539">
        <v>0</v>
      </c>
      <c r="J36" s="539">
        <v>2070673</v>
      </c>
      <c r="K36" s="539">
        <v>0</v>
      </c>
      <c r="L36" s="538">
        <v>175903</v>
      </c>
      <c r="M36" s="538"/>
      <c r="N36" s="539">
        <v>337384</v>
      </c>
      <c r="O36" s="539">
        <v>2392157</v>
      </c>
      <c r="P36" s="539">
        <v>0</v>
      </c>
      <c r="Q36" s="538">
        <v>0</v>
      </c>
      <c r="R36" s="538"/>
      <c r="S36" s="539">
        <v>289135</v>
      </c>
      <c r="T36" s="540">
        <v>51756</v>
      </c>
      <c r="U36" s="540">
        <v>340891</v>
      </c>
    </row>
    <row r="37" spans="1:21" x14ac:dyDescent="0.25">
      <c r="A37" s="535">
        <v>19100</v>
      </c>
      <c r="B37" s="536" t="s">
        <v>809</v>
      </c>
      <c r="C37" s="542">
        <v>7.0273699999999995E-2</v>
      </c>
      <c r="D37" s="542">
        <v>6.9269800000000006E-2</v>
      </c>
      <c r="E37" s="538">
        <v>88492017</v>
      </c>
      <c r="F37" s="538">
        <f t="shared" si="0"/>
        <v>81213376</v>
      </c>
      <c r="G37" s="538">
        <v>258972499</v>
      </c>
      <c r="H37" s="538"/>
      <c r="I37" s="539">
        <v>0</v>
      </c>
      <c r="J37" s="539">
        <v>180717674</v>
      </c>
      <c r="K37" s="539">
        <v>0</v>
      </c>
      <c r="L37" s="538">
        <v>4071143</v>
      </c>
      <c r="M37" s="538"/>
      <c r="N37" s="539">
        <v>29445172</v>
      </c>
      <c r="O37" s="539">
        <v>208775151</v>
      </c>
      <c r="P37" s="539">
        <v>0</v>
      </c>
      <c r="Q37" s="538">
        <v>4337831</v>
      </c>
      <c r="R37" s="538"/>
      <c r="S37" s="539">
        <v>25234232</v>
      </c>
      <c r="T37" s="540">
        <v>-427038</v>
      </c>
      <c r="U37" s="540">
        <v>24807194</v>
      </c>
    </row>
    <row r="38" spans="1:21" x14ac:dyDescent="0.25">
      <c r="A38" s="535">
        <v>20100</v>
      </c>
      <c r="B38" s="536" t="s">
        <v>810</v>
      </c>
      <c r="C38" s="542">
        <v>5.7920999999999997E-3</v>
      </c>
      <c r="D38" s="542">
        <v>5.6360000000000004E-3</v>
      </c>
      <c r="E38" s="538">
        <v>7591521</v>
      </c>
      <c r="F38" s="538">
        <f t="shared" si="0"/>
        <v>6607765</v>
      </c>
      <c r="G38" s="538">
        <v>21345035</v>
      </c>
      <c r="H38" s="538"/>
      <c r="I38" s="539">
        <v>0</v>
      </c>
      <c r="J38" s="539">
        <v>14895115</v>
      </c>
      <c r="K38" s="539">
        <v>0</v>
      </c>
      <c r="L38" s="538">
        <v>1317075</v>
      </c>
      <c r="M38" s="538"/>
      <c r="N38" s="539">
        <v>2426930</v>
      </c>
      <c r="O38" s="539">
        <v>17207669</v>
      </c>
      <c r="P38" s="539">
        <v>0</v>
      </c>
      <c r="Q38" s="538">
        <v>0</v>
      </c>
      <c r="R38" s="538"/>
      <c r="S38" s="539">
        <v>2079856</v>
      </c>
      <c r="T38" s="540">
        <v>400476</v>
      </c>
      <c r="U38" s="540">
        <v>2480332</v>
      </c>
    </row>
    <row r="39" spans="1:21" x14ac:dyDescent="0.25">
      <c r="A39" s="535">
        <v>20200</v>
      </c>
      <c r="B39" s="536" t="s">
        <v>811</v>
      </c>
      <c r="C39" s="542">
        <v>8.0079999999999995E-4</v>
      </c>
      <c r="D39" s="542">
        <v>8.1280000000000002E-4</v>
      </c>
      <c r="E39" s="538">
        <v>1170762</v>
      </c>
      <c r="F39" s="538">
        <f t="shared" si="0"/>
        <v>952944</v>
      </c>
      <c r="G39" s="538">
        <v>2951107</v>
      </c>
      <c r="H39" s="538"/>
      <c r="I39" s="539">
        <v>0</v>
      </c>
      <c r="J39" s="539">
        <v>2059358</v>
      </c>
      <c r="K39" s="539">
        <v>0</v>
      </c>
      <c r="L39" s="538">
        <v>152058</v>
      </c>
      <c r="M39" s="538"/>
      <c r="N39" s="539">
        <v>335541</v>
      </c>
      <c r="O39" s="539">
        <v>2379086</v>
      </c>
      <c r="P39" s="539">
        <v>0</v>
      </c>
      <c r="Q39" s="538">
        <v>0</v>
      </c>
      <c r="R39" s="538"/>
      <c r="S39" s="539">
        <v>287555</v>
      </c>
      <c r="T39" s="540">
        <v>48453</v>
      </c>
      <c r="U39" s="540">
        <v>336008</v>
      </c>
    </row>
    <row r="40" spans="1:21" x14ac:dyDescent="0.25">
      <c r="A40" s="535">
        <v>20300</v>
      </c>
      <c r="B40" s="536" t="s">
        <v>812</v>
      </c>
      <c r="C40" s="542">
        <v>1.34568E-2</v>
      </c>
      <c r="D40" s="542">
        <v>1.37251E-2</v>
      </c>
      <c r="E40" s="538">
        <v>17411076</v>
      </c>
      <c r="F40" s="538">
        <f t="shared" si="0"/>
        <v>16091597</v>
      </c>
      <c r="G40" s="538">
        <v>49590972</v>
      </c>
      <c r="H40" s="538"/>
      <c r="I40" s="539">
        <v>0</v>
      </c>
      <c r="J40" s="539">
        <v>34605857</v>
      </c>
      <c r="K40" s="539">
        <v>0</v>
      </c>
      <c r="L40" s="538">
        <v>2040187</v>
      </c>
      <c r="M40" s="538"/>
      <c r="N40" s="539">
        <v>5638493</v>
      </c>
      <c r="O40" s="539">
        <v>39978619</v>
      </c>
      <c r="P40" s="539">
        <v>0</v>
      </c>
      <c r="Q40" s="538">
        <v>805719</v>
      </c>
      <c r="R40" s="538"/>
      <c r="S40" s="539">
        <v>4832135</v>
      </c>
      <c r="T40" s="540">
        <v>508059</v>
      </c>
      <c r="U40" s="540">
        <v>5340194</v>
      </c>
    </row>
    <row r="41" spans="1:21" x14ac:dyDescent="0.25">
      <c r="A41" s="535">
        <v>20400</v>
      </c>
      <c r="B41" s="536" t="s">
        <v>813</v>
      </c>
      <c r="C41" s="542">
        <v>1.1751999999999999E-3</v>
      </c>
      <c r="D41" s="542">
        <v>1.4748000000000001E-3</v>
      </c>
      <c r="E41" s="538">
        <v>1713197.66</v>
      </c>
      <c r="F41" s="538">
        <f t="shared" si="0"/>
        <v>1729087</v>
      </c>
      <c r="G41" s="538">
        <v>4330845</v>
      </c>
      <c r="H41" s="538"/>
      <c r="I41" s="539">
        <v>0</v>
      </c>
      <c r="J41" s="539">
        <v>3022175</v>
      </c>
      <c r="K41" s="539">
        <v>0</v>
      </c>
      <c r="L41" s="538">
        <v>0</v>
      </c>
      <c r="M41" s="538"/>
      <c r="N41" s="539">
        <v>492417</v>
      </c>
      <c r="O41" s="539">
        <v>3491385</v>
      </c>
      <c r="P41" s="539">
        <v>0</v>
      </c>
      <c r="Q41" s="538">
        <v>1805825</v>
      </c>
      <c r="R41" s="538"/>
      <c r="S41" s="539">
        <v>421997</v>
      </c>
      <c r="T41" s="540">
        <v>-558605</v>
      </c>
      <c r="U41" s="540">
        <v>-136608</v>
      </c>
    </row>
    <row r="42" spans="1:21" x14ac:dyDescent="0.25">
      <c r="A42" s="535">
        <v>20600</v>
      </c>
      <c r="B42" s="536" t="s">
        <v>814</v>
      </c>
      <c r="C42" s="542">
        <v>1.9930999999999998E-3</v>
      </c>
      <c r="D42" s="542">
        <v>2.1145999999999999E-3</v>
      </c>
      <c r="E42" s="538">
        <v>2791288.88</v>
      </c>
      <c r="F42" s="538">
        <f t="shared" si="0"/>
        <v>2479202</v>
      </c>
      <c r="G42" s="538">
        <v>7344968</v>
      </c>
      <c r="H42" s="538"/>
      <c r="I42" s="539">
        <v>0</v>
      </c>
      <c r="J42" s="539">
        <v>5125508</v>
      </c>
      <c r="K42" s="539">
        <v>0</v>
      </c>
      <c r="L42" s="538">
        <v>8891</v>
      </c>
      <c r="M42" s="538"/>
      <c r="N42" s="539">
        <v>835123</v>
      </c>
      <c r="O42" s="539">
        <v>5921273</v>
      </c>
      <c r="P42" s="539">
        <v>0</v>
      </c>
      <c r="Q42" s="538">
        <v>299100</v>
      </c>
      <c r="R42" s="538"/>
      <c r="S42" s="539">
        <v>715692</v>
      </c>
      <c r="T42" s="540">
        <v>-79666</v>
      </c>
      <c r="U42" s="540">
        <v>636026</v>
      </c>
    </row>
    <row r="43" spans="1:21" x14ac:dyDescent="0.25">
      <c r="A43" s="535">
        <v>20700</v>
      </c>
      <c r="B43" s="536" t="s">
        <v>815</v>
      </c>
      <c r="C43" s="542">
        <v>3.9925000000000004E-3</v>
      </c>
      <c r="D43" s="542">
        <v>4.1276000000000004E-3</v>
      </c>
      <c r="E43" s="538">
        <v>5835356</v>
      </c>
      <c r="F43" s="538">
        <f t="shared" si="0"/>
        <v>4839285</v>
      </c>
      <c r="G43" s="538">
        <v>14713153</v>
      </c>
      <c r="H43" s="538"/>
      <c r="I43" s="539">
        <v>0</v>
      </c>
      <c r="J43" s="539">
        <v>10267217</v>
      </c>
      <c r="K43" s="539">
        <v>0</v>
      </c>
      <c r="L43" s="538">
        <v>203579</v>
      </c>
      <c r="M43" s="538"/>
      <c r="N43" s="539">
        <v>1672885</v>
      </c>
      <c r="O43" s="539">
        <v>11861262</v>
      </c>
      <c r="P43" s="539">
        <v>0</v>
      </c>
      <c r="Q43" s="538">
        <v>0</v>
      </c>
      <c r="R43" s="538"/>
      <c r="S43" s="539">
        <v>1433647</v>
      </c>
      <c r="T43" s="540">
        <v>68867</v>
      </c>
      <c r="U43" s="540">
        <v>1502513</v>
      </c>
    </row>
    <row r="44" spans="1:21" x14ac:dyDescent="0.25">
      <c r="A44" s="535">
        <v>20800</v>
      </c>
      <c r="B44" s="536" t="s">
        <v>816</v>
      </c>
      <c r="C44" s="542">
        <v>3.6311E-3</v>
      </c>
      <c r="D44" s="542">
        <v>3.9148999999999998E-3</v>
      </c>
      <c r="E44" s="538">
        <v>5061837</v>
      </c>
      <c r="F44" s="538">
        <f t="shared" si="0"/>
        <v>4589911</v>
      </c>
      <c r="G44" s="538">
        <v>13381322</v>
      </c>
      <c r="H44" s="538"/>
      <c r="I44" s="539">
        <v>0</v>
      </c>
      <c r="J44" s="539">
        <v>9337831</v>
      </c>
      <c r="K44" s="539">
        <v>0</v>
      </c>
      <c r="L44" s="538">
        <v>143218</v>
      </c>
      <c r="M44" s="538"/>
      <c r="N44" s="539">
        <v>1521456</v>
      </c>
      <c r="O44" s="539">
        <v>10787584</v>
      </c>
      <c r="P44" s="539">
        <v>0</v>
      </c>
      <c r="Q44" s="538">
        <v>827661</v>
      </c>
      <c r="R44" s="538"/>
      <c r="S44" s="539">
        <v>1303874</v>
      </c>
      <c r="T44" s="540">
        <v>-177937</v>
      </c>
      <c r="U44" s="540">
        <v>1125937</v>
      </c>
    </row>
    <row r="45" spans="1:21" x14ac:dyDescent="0.25">
      <c r="A45" s="535">
        <v>20900</v>
      </c>
      <c r="B45" s="536" t="s">
        <v>817</v>
      </c>
      <c r="C45" s="542">
        <v>4.9801000000000003E-3</v>
      </c>
      <c r="D45" s="542">
        <v>5.3026999999999996E-3</v>
      </c>
      <c r="E45" s="538">
        <v>6755909</v>
      </c>
      <c r="F45" s="538">
        <f t="shared" si="0"/>
        <v>6216997</v>
      </c>
      <c r="G45" s="538">
        <v>18352655</v>
      </c>
      <c r="H45" s="538"/>
      <c r="I45" s="539">
        <v>0</v>
      </c>
      <c r="J45" s="539">
        <v>12806955</v>
      </c>
      <c r="K45" s="539">
        <v>0</v>
      </c>
      <c r="L45" s="538">
        <v>0</v>
      </c>
      <c r="M45" s="538"/>
      <c r="N45" s="539">
        <v>2086697</v>
      </c>
      <c r="O45" s="539">
        <v>14795309</v>
      </c>
      <c r="P45" s="539">
        <v>0</v>
      </c>
      <c r="Q45" s="538">
        <v>1547769</v>
      </c>
      <c r="R45" s="538"/>
      <c r="S45" s="539">
        <v>1788279</v>
      </c>
      <c r="T45" s="540">
        <v>-473420</v>
      </c>
      <c r="U45" s="540">
        <v>1314859</v>
      </c>
    </row>
    <row r="46" spans="1:21" x14ac:dyDescent="0.25">
      <c r="A46" s="535">
        <v>21200</v>
      </c>
      <c r="B46" s="536" t="s">
        <v>818</v>
      </c>
      <c r="C46" s="542">
        <v>1.6559000000000001E-3</v>
      </c>
      <c r="D46" s="542">
        <v>1.6521000000000001E-3</v>
      </c>
      <c r="E46" s="538">
        <v>2217753</v>
      </c>
      <c r="F46" s="538">
        <f t="shared" si="0"/>
        <v>1936957</v>
      </c>
      <c r="G46" s="538">
        <v>6102319</v>
      </c>
      <c r="H46" s="538"/>
      <c r="I46" s="539">
        <v>0</v>
      </c>
      <c r="J46" s="539">
        <v>4258355</v>
      </c>
      <c r="K46" s="539">
        <v>0</v>
      </c>
      <c r="L46" s="538">
        <v>115670</v>
      </c>
      <c r="M46" s="538"/>
      <c r="N46" s="539">
        <v>693834</v>
      </c>
      <c r="O46" s="539">
        <v>4919490</v>
      </c>
      <c r="P46" s="539">
        <v>0</v>
      </c>
      <c r="Q46" s="538">
        <v>129813</v>
      </c>
      <c r="R46" s="538"/>
      <c r="S46" s="539">
        <v>594609</v>
      </c>
      <c r="T46" s="540">
        <v>-14486</v>
      </c>
      <c r="U46" s="540">
        <v>580123</v>
      </c>
    </row>
    <row r="47" spans="1:21" x14ac:dyDescent="0.25">
      <c r="A47" s="535">
        <v>21300</v>
      </c>
      <c r="B47" s="536" t="s">
        <v>819</v>
      </c>
      <c r="C47" s="542">
        <v>2.1394E-2</v>
      </c>
      <c r="D47" s="542">
        <v>2.1459900000000001E-2</v>
      </c>
      <c r="E47" s="538">
        <v>28438845</v>
      </c>
      <c r="F47" s="538">
        <f t="shared" si="0"/>
        <v>25160040</v>
      </c>
      <c r="G47" s="538">
        <v>78841126</v>
      </c>
      <c r="H47" s="538"/>
      <c r="I47" s="539">
        <v>0</v>
      </c>
      <c r="J47" s="539">
        <v>55017367</v>
      </c>
      <c r="K47" s="539">
        <v>0</v>
      </c>
      <c r="L47" s="538">
        <v>2722767</v>
      </c>
      <c r="M47" s="538"/>
      <c r="N47" s="539">
        <v>8964236</v>
      </c>
      <c r="O47" s="539">
        <v>63559135</v>
      </c>
      <c r="P47" s="539">
        <v>0</v>
      </c>
      <c r="Q47" s="538">
        <v>0</v>
      </c>
      <c r="R47" s="538"/>
      <c r="S47" s="539">
        <v>7682264</v>
      </c>
      <c r="T47" s="540">
        <v>907530</v>
      </c>
      <c r="U47" s="540">
        <v>8589794</v>
      </c>
    </row>
    <row r="48" spans="1:21" x14ac:dyDescent="0.25">
      <c r="A48" s="535">
        <v>21520</v>
      </c>
      <c r="B48" s="536" t="s">
        <v>820</v>
      </c>
      <c r="C48" s="542">
        <v>3.1222699999999999E-2</v>
      </c>
      <c r="D48" s="542">
        <v>3.2242199999999999E-2</v>
      </c>
      <c r="E48" s="538">
        <v>41342778</v>
      </c>
      <c r="F48" s="538">
        <f t="shared" si="0"/>
        <v>37801436</v>
      </c>
      <c r="G48" s="538">
        <v>115061832</v>
      </c>
      <c r="H48" s="538"/>
      <c r="I48" s="539">
        <v>0</v>
      </c>
      <c r="J48" s="539">
        <v>80293107</v>
      </c>
      <c r="K48" s="539">
        <v>0</v>
      </c>
      <c r="L48" s="538">
        <v>2044288</v>
      </c>
      <c r="M48" s="538"/>
      <c r="N48" s="539">
        <v>13082530</v>
      </c>
      <c r="O48" s="539">
        <v>92759082</v>
      </c>
      <c r="P48" s="539">
        <v>0</v>
      </c>
      <c r="Q48" s="538">
        <v>2810047</v>
      </c>
      <c r="R48" s="538"/>
      <c r="S48" s="539">
        <v>11211603</v>
      </c>
      <c r="T48" s="540">
        <v>-45687</v>
      </c>
      <c r="U48" s="540">
        <v>11165917</v>
      </c>
    </row>
    <row r="49" spans="1:21" x14ac:dyDescent="0.25">
      <c r="A49" s="535">
        <v>21525</v>
      </c>
      <c r="B49" s="536" t="s">
        <v>821</v>
      </c>
      <c r="C49" s="542">
        <v>1.3163999999999999E-3</v>
      </c>
      <c r="D49" s="542">
        <v>1.3787999999999999E-3</v>
      </c>
      <c r="E49" s="538">
        <v>1954225.19</v>
      </c>
      <c r="F49" s="538">
        <f t="shared" si="0"/>
        <v>1616534</v>
      </c>
      <c r="G49" s="538">
        <v>4851195</v>
      </c>
      <c r="H49" s="538"/>
      <c r="I49" s="539">
        <v>0</v>
      </c>
      <c r="J49" s="539">
        <v>3385288</v>
      </c>
      <c r="K49" s="539">
        <v>0</v>
      </c>
      <c r="L49" s="538">
        <v>136990</v>
      </c>
      <c r="M49" s="538"/>
      <c r="N49" s="539">
        <v>551581</v>
      </c>
      <c r="O49" s="539">
        <v>3910874</v>
      </c>
      <c r="P49" s="539">
        <v>0</v>
      </c>
      <c r="Q49" s="538">
        <v>35341</v>
      </c>
      <c r="R49" s="538"/>
      <c r="S49" s="539">
        <v>472699</v>
      </c>
      <c r="T49" s="540">
        <v>39311</v>
      </c>
      <c r="U49" s="540">
        <v>512010</v>
      </c>
    </row>
    <row r="50" spans="1:21" x14ac:dyDescent="0.25">
      <c r="A50" s="535">
        <v>21550</v>
      </c>
      <c r="B50" s="536" t="s">
        <v>822</v>
      </c>
      <c r="C50" s="542">
        <v>3.5722400000000001E-2</v>
      </c>
      <c r="D50" s="542">
        <v>3.6556999999999999E-2</v>
      </c>
      <c r="E50" s="538">
        <v>42344203</v>
      </c>
      <c r="F50" s="538">
        <f t="shared" si="0"/>
        <v>42860198</v>
      </c>
      <c r="G50" s="538">
        <v>131644117</v>
      </c>
      <c r="H50" s="538"/>
      <c r="I50" s="539">
        <v>0</v>
      </c>
      <c r="J50" s="539">
        <v>91864653</v>
      </c>
      <c r="K50" s="539">
        <v>0</v>
      </c>
      <c r="L50" s="538">
        <v>7216850</v>
      </c>
      <c r="M50" s="538"/>
      <c r="N50" s="539">
        <v>14967936</v>
      </c>
      <c r="O50" s="539">
        <v>106127178</v>
      </c>
      <c r="P50" s="539">
        <v>0</v>
      </c>
      <c r="Q50" s="538">
        <v>5691585</v>
      </c>
      <c r="R50" s="538"/>
      <c r="S50" s="539">
        <v>12827378</v>
      </c>
      <c r="T50" s="540">
        <v>1010068</v>
      </c>
      <c r="U50" s="540">
        <v>13837446</v>
      </c>
    </row>
    <row r="51" spans="1:21" x14ac:dyDescent="0.25">
      <c r="A51" s="535">
        <v>21570</v>
      </c>
      <c r="B51" s="536" t="s">
        <v>823</v>
      </c>
      <c r="C51" s="542">
        <v>1.7019999999999999E-4</v>
      </c>
      <c r="D51" s="542">
        <v>1.8689999999999999E-4</v>
      </c>
      <c r="E51" s="538">
        <v>248377.23</v>
      </c>
      <c r="F51" s="538">
        <f t="shared" si="0"/>
        <v>219126</v>
      </c>
      <c r="G51" s="538">
        <v>627221</v>
      </c>
      <c r="H51" s="538"/>
      <c r="I51" s="539">
        <v>0</v>
      </c>
      <c r="J51" s="539">
        <v>437691</v>
      </c>
      <c r="K51" s="539">
        <v>0</v>
      </c>
      <c r="L51" s="538">
        <v>0</v>
      </c>
      <c r="M51" s="538"/>
      <c r="N51" s="539">
        <v>71315</v>
      </c>
      <c r="O51" s="539">
        <v>505645</v>
      </c>
      <c r="P51" s="539">
        <v>0</v>
      </c>
      <c r="Q51" s="538">
        <v>103365</v>
      </c>
      <c r="R51" s="538"/>
      <c r="S51" s="539">
        <v>61116</v>
      </c>
      <c r="T51" s="540">
        <v>-33427</v>
      </c>
      <c r="U51" s="540">
        <v>27689</v>
      </c>
    </row>
    <row r="52" spans="1:21" x14ac:dyDescent="0.25">
      <c r="A52" s="535">
        <v>21800</v>
      </c>
      <c r="B52" s="536" t="s">
        <v>824</v>
      </c>
      <c r="C52" s="542">
        <v>2.9962999999999999E-3</v>
      </c>
      <c r="D52" s="542">
        <v>2.9312000000000001E-3</v>
      </c>
      <c r="E52" s="538">
        <v>4057924.66</v>
      </c>
      <c r="F52" s="538">
        <f t="shared" si="0"/>
        <v>3436601</v>
      </c>
      <c r="G52" s="538">
        <v>11041959</v>
      </c>
      <c r="H52" s="538"/>
      <c r="I52" s="539">
        <v>0</v>
      </c>
      <c r="J52" s="539">
        <v>7705363</v>
      </c>
      <c r="K52" s="539">
        <v>0</v>
      </c>
      <c r="L52" s="538">
        <v>1003057</v>
      </c>
      <c r="M52" s="538"/>
      <c r="N52" s="539">
        <v>1255471</v>
      </c>
      <c r="O52" s="539">
        <v>8901666</v>
      </c>
      <c r="P52" s="539">
        <v>0</v>
      </c>
      <c r="Q52" s="538">
        <v>0</v>
      </c>
      <c r="R52" s="538"/>
      <c r="S52" s="539">
        <v>1075926</v>
      </c>
      <c r="T52" s="540">
        <v>319541</v>
      </c>
      <c r="U52" s="540">
        <v>1395467</v>
      </c>
    </row>
    <row r="53" spans="1:21" x14ac:dyDescent="0.25">
      <c r="A53" s="535">
        <v>21900</v>
      </c>
      <c r="B53" s="536" t="s">
        <v>825</v>
      </c>
      <c r="C53" s="542">
        <v>2.3990999999999999E-3</v>
      </c>
      <c r="D53" s="542">
        <v>2.4667000000000001E-3</v>
      </c>
      <c r="E53" s="538">
        <v>3289641.51</v>
      </c>
      <c r="F53" s="538">
        <f t="shared" si="0"/>
        <v>2892011</v>
      </c>
      <c r="G53" s="538">
        <v>8841159</v>
      </c>
      <c r="H53" s="538"/>
      <c r="I53" s="539">
        <v>0</v>
      </c>
      <c r="J53" s="539">
        <v>6169588</v>
      </c>
      <c r="K53" s="539">
        <v>0</v>
      </c>
      <c r="L53" s="538">
        <v>302624</v>
      </c>
      <c r="M53" s="538"/>
      <c r="N53" s="539">
        <v>1005240</v>
      </c>
      <c r="O53" s="539">
        <v>7127453</v>
      </c>
      <c r="P53" s="539">
        <v>0</v>
      </c>
      <c r="Q53" s="538">
        <v>82025</v>
      </c>
      <c r="R53" s="538"/>
      <c r="S53" s="539">
        <v>861481</v>
      </c>
      <c r="T53" s="540">
        <v>85746</v>
      </c>
      <c r="U53" s="540">
        <v>947227</v>
      </c>
    </row>
    <row r="54" spans="1:21" x14ac:dyDescent="0.25">
      <c r="A54" s="535">
        <v>22000</v>
      </c>
      <c r="B54" s="536" t="s">
        <v>826</v>
      </c>
      <c r="C54" s="542">
        <v>4.1340999999999999E-3</v>
      </c>
      <c r="D54" s="542">
        <v>4.4561000000000002E-3</v>
      </c>
      <c r="E54" s="538">
        <v>6162690</v>
      </c>
      <c r="F54" s="538">
        <f t="shared" si="0"/>
        <v>5224426</v>
      </c>
      <c r="G54" s="538">
        <v>15234977</v>
      </c>
      <c r="H54" s="538"/>
      <c r="I54" s="539">
        <v>0</v>
      </c>
      <c r="J54" s="539">
        <v>10631359</v>
      </c>
      <c r="K54" s="539">
        <v>0</v>
      </c>
      <c r="L54" s="538">
        <v>818834</v>
      </c>
      <c r="M54" s="538"/>
      <c r="N54" s="539">
        <v>1732217</v>
      </c>
      <c r="O54" s="539">
        <v>12281940</v>
      </c>
      <c r="P54" s="539">
        <v>0</v>
      </c>
      <c r="Q54" s="538">
        <v>624633</v>
      </c>
      <c r="R54" s="538"/>
      <c r="S54" s="539">
        <v>1484493</v>
      </c>
      <c r="T54" s="540">
        <v>120460</v>
      </c>
      <c r="U54" s="540">
        <v>1604954</v>
      </c>
    </row>
    <row r="55" spans="1:21" x14ac:dyDescent="0.25">
      <c r="A55" s="535">
        <v>23000</v>
      </c>
      <c r="B55" s="536" t="s">
        <v>827</v>
      </c>
      <c r="C55" s="542">
        <v>1.1814E-3</v>
      </c>
      <c r="D55" s="542">
        <v>1.1854000000000001E-3</v>
      </c>
      <c r="E55" s="538">
        <v>1684016.46</v>
      </c>
      <c r="F55" s="538">
        <f t="shared" si="0"/>
        <v>1389788</v>
      </c>
      <c r="G55" s="538">
        <v>4353693</v>
      </c>
      <c r="H55" s="538"/>
      <c r="I55" s="539">
        <v>0</v>
      </c>
      <c r="J55" s="539">
        <v>3038119</v>
      </c>
      <c r="K55" s="539">
        <v>0</v>
      </c>
      <c r="L55" s="538">
        <v>521886</v>
      </c>
      <c r="M55" s="538"/>
      <c r="N55" s="539">
        <v>495015</v>
      </c>
      <c r="O55" s="539">
        <v>3509805</v>
      </c>
      <c r="P55" s="539">
        <v>0</v>
      </c>
      <c r="Q55" s="538">
        <v>0</v>
      </c>
      <c r="R55" s="538"/>
      <c r="S55" s="539">
        <v>424223</v>
      </c>
      <c r="T55" s="540">
        <v>176163</v>
      </c>
      <c r="U55" s="540">
        <v>600386</v>
      </c>
    </row>
    <row r="56" spans="1:21" x14ac:dyDescent="0.25">
      <c r="A56" s="535">
        <v>23100</v>
      </c>
      <c r="B56" s="536" t="s">
        <v>828</v>
      </c>
      <c r="C56" s="542">
        <v>6.7044000000000001E-3</v>
      </c>
      <c r="D56" s="542">
        <v>6.7809000000000003E-3</v>
      </c>
      <c r="E56" s="538">
        <v>8922814</v>
      </c>
      <c r="F56" s="538">
        <f t="shared" si="0"/>
        <v>7950070</v>
      </c>
      <c r="G56" s="538">
        <v>24707041</v>
      </c>
      <c r="H56" s="538"/>
      <c r="I56" s="539">
        <v>0</v>
      </c>
      <c r="J56" s="539">
        <v>17241209</v>
      </c>
      <c r="K56" s="539">
        <v>0</v>
      </c>
      <c r="L56" s="538">
        <v>906304</v>
      </c>
      <c r="M56" s="538"/>
      <c r="N56" s="539">
        <v>2809191</v>
      </c>
      <c r="O56" s="539">
        <v>19918008</v>
      </c>
      <c r="P56" s="539">
        <v>0</v>
      </c>
      <c r="Q56" s="538">
        <v>0</v>
      </c>
      <c r="R56" s="538"/>
      <c r="S56" s="539">
        <v>2407449</v>
      </c>
      <c r="T56" s="540">
        <v>321982</v>
      </c>
      <c r="U56" s="540">
        <v>2729432</v>
      </c>
    </row>
    <row r="57" spans="1:21" x14ac:dyDescent="0.25">
      <c r="A57" s="535">
        <v>23200</v>
      </c>
      <c r="B57" s="536" t="s">
        <v>829</v>
      </c>
      <c r="C57" s="542">
        <v>3.5723E-3</v>
      </c>
      <c r="D57" s="542">
        <v>3.6424000000000001E-3</v>
      </c>
      <c r="E57" s="538">
        <v>4871725.95</v>
      </c>
      <c r="F57" s="538">
        <f t="shared" si="0"/>
        <v>4270427</v>
      </c>
      <c r="G57" s="538">
        <v>13164633</v>
      </c>
      <c r="H57" s="538"/>
      <c r="I57" s="539">
        <v>0</v>
      </c>
      <c r="J57" s="539">
        <v>9186620</v>
      </c>
      <c r="K57" s="539">
        <v>0</v>
      </c>
      <c r="L57" s="538">
        <v>0</v>
      </c>
      <c r="M57" s="538"/>
      <c r="N57" s="539">
        <v>1496819</v>
      </c>
      <c r="O57" s="539">
        <v>10612896</v>
      </c>
      <c r="P57" s="539">
        <v>0</v>
      </c>
      <c r="Q57" s="538">
        <v>473358</v>
      </c>
      <c r="R57" s="538"/>
      <c r="S57" s="539">
        <v>1282759</v>
      </c>
      <c r="T57" s="540">
        <v>-168556</v>
      </c>
      <c r="U57" s="540">
        <v>1114203</v>
      </c>
    </row>
    <row r="58" spans="1:21" x14ac:dyDescent="0.25">
      <c r="A58" s="535">
        <v>30000</v>
      </c>
      <c r="B58" s="536" t="s">
        <v>830</v>
      </c>
      <c r="C58" s="542">
        <v>1.0149E-3</v>
      </c>
      <c r="D58" s="542">
        <v>1.0196000000000001E-3</v>
      </c>
      <c r="E58" s="538">
        <v>1238490</v>
      </c>
      <c r="F58" s="538">
        <f t="shared" si="0"/>
        <v>1195401</v>
      </c>
      <c r="G58" s="538">
        <v>3740107</v>
      </c>
      <c r="H58" s="538"/>
      <c r="I58" s="539">
        <v>0</v>
      </c>
      <c r="J58" s="539">
        <v>2609943</v>
      </c>
      <c r="K58" s="539">
        <v>0</v>
      </c>
      <c r="L58" s="538">
        <v>0</v>
      </c>
      <c r="M58" s="538"/>
      <c r="N58" s="539">
        <v>425250</v>
      </c>
      <c r="O58" s="539">
        <v>3015152</v>
      </c>
      <c r="P58" s="539">
        <v>0</v>
      </c>
      <c r="Q58" s="538">
        <v>195195</v>
      </c>
      <c r="R58" s="538"/>
      <c r="S58" s="539">
        <v>364435</v>
      </c>
      <c r="T58" s="540">
        <v>-65612</v>
      </c>
      <c r="U58" s="540">
        <v>298824</v>
      </c>
    </row>
    <row r="59" spans="1:21" x14ac:dyDescent="0.25">
      <c r="A59" s="535">
        <v>30100</v>
      </c>
      <c r="B59" s="536" t="s">
        <v>831</v>
      </c>
      <c r="C59" s="542">
        <v>8.5774000000000006E-3</v>
      </c>
      <c r="D59" s="542">
        <v>8.4168999999999997E-3</v>
      </c>
      <c r="E59" s="538">
        <v>10188394</v>
      </c>
      <c r="F59" s="538">
        <f t="shared" si="0"/>
        <v>9868151</v>
      </c>
      <c r="G59" s="538">
        <v>31609417</v>
      </c>
      <c r="H59" s="538"/>
      <c r="I59" s="539">
        <v>0</v>
      </c>
      <c r="J59" s="539">
        <v>22057865</v>
      </c>
      <c r="K59" s="539">
        <v>0</v>
      </c>
      <c r="L59" s="538">
        <v>177887</v>
      </c>
      <c r="M59" s="538"/>
      <c r="N59" s="539">
        <v>3593991</v>
      </c>
      <c r="O59" s="539">
        <v>25482478</v>
      </c>
      <c r="P59" s="539">
        <v>0</v>
      </c>
      <c r="Q59" s="538">
        <v>1025382</v>
      </c>
      <c r="R59" s="538"/>
      <c r="S59" s="539">
        <v>3080016</v>
      </c>
      <c r="T59" s="540">
        <v>-318244</v>
      </c>
      <c r="U59" s="540">
        <v>2761772</v>
      </c>
    </row>
    <row r="60" spans="1:21" x14ac:dyDescent="0.25">
      <c r="A60" s="535">
        <v>30102</v>
      </c>
      <c r="B60" s="536" t="s">
        <v>832</v>
      </c>
      <c r="C60" s="542">
        <v>1.407E-4</v>
      </c>
      <c r="D60" s="542">
        <v>1.2229999999999999E-4</v>
      </c>
      <c r="E60" s="538">
        <v>152484</v>
      </c>
      <c r="F60" s="538">
        <f t="shared" si="0"/>
        <v>143387</v>
      </c>
      <c r="G60" s="538">
        <v>518507</v>
      </c>
      <c r="H60" s="538"/>
      <c r="I60" s="539">
        <v>0</v>
      </c>
      <c r="J60" s="539">
        <v>361828</v>
      </c>
      <c r="K60" s="539">
        <v>0</v>
      </c>
      <c r="L60" s="538">
        <v>75442</v>
      </c>
      <c r="M60" s="538"/>
      <c r="N60" s="539">
        <v>58954</v>
      </c>
      <c r="O60" s="539">
        <v>418004</v>
      </c>
      <c r="P60" s="539">
        <v>0</v>
      </c>
      <c r="Q60" s="538">
        <v>0</v>
      </c>
      <c r="R60" s="538"/>
      <c r="S60" s="539">
        <v>50523</v>
      </c>
      <c r="T60" s="540">
        <v>22301</v>
      </c>
      <c r="U60" s="540">
        <v>72824</v>
      </c>
    </row>
    <row r="61" spans="1:21" x14ac:dyDescent="0.25">
      <c r="A61" s="535">
        <v>30103</v>
      </c>
      <c r="B61" s="536" t="s">
        <v>833</v>
      </c>
      <c r="C61" s="542">
        <v>1.8760000000000001E-4</v>
      </c>
      <c r="D61" s="542">
        <v>1.7200000000000001E-4</v>
      </c>
      <c r="E61" s="538">
        <v>202642.75</v>
      </c>
      <c r="F61" s="538">
        <f t="shared" si="0"/>
        <v>201656</v>
      </c>
      <c r="G61" s="538">
        <v>691343</v>
      </c>
      <c r="H61" s="538"/>
      <c r="I61" s="539">
        <v>0</v>
      </c>
      <c r="J61" s="539">
        <v>482437</v>
      </c>
      <c r="K61" s="539">
        <v>0</v>
      </c>
      <c r="L61" s="538">
        <v>88130</v>
      </c>
      <c r="M61" s="538"/>
      <c r="N61" s="539">
        <v>78606</v>
      </c>
      <c r="O61" s="539">
        <v>557338</v>
      </c>
      <c r="P61" s="539">
        <v>0</v>
      </c>
      <c r="Q61" s="538">
        <v>0</v>
      </c>
      <c r="R61" s="538"/>
      <c r="S61" s="539">
        <v>67364</v>
      </c>
      <c r="T61" s="540">
        <v>28391</v>
      </c>
      <c r="U61" s="540">
        <v>95755</v>
      </c>
    </row>
    <row r="62" spans="1:21" x14ac:dyDescent="0.25">
      <c r="A62" s="535">
        <v>30104</v>
      </c>
      <c r="B62" s="536" t="s">
        <v>834</v>
      </c>
      <c r="C62" s="542">
        <v>8.6700000000000007E-5</v>
      </c>
      <c r="D62" s="542">
        <v>6.97E-5</v>
      </c>
      <c r="E62" s="538">
        <v>94980.85</v>
      </c>
      <c r="F62" s="538">
        <f t="shared" si="0"/>
        <v>81718</v>
      </c>
      <c r="G62" s="538">
        <v>319507</v>
      </c>
      <c r="H62" s="538"/>
      <c r="I62" s="539">
        <v>0</v>
      </c>
      <c r="J62" s="539">
        <v>222960</v>
      </c>
      <c r="K62" s="539">
        <v>0</v>
      </c>
      <c r="L62" s="538">
        <v>113119</v>
      </c>
      <c r="M62" s="538"/>
      <c r="N62" s="539">
        <v>36328</v>
      </c>
      <c r="O62" s="539">
        <v>257576</v>
      </c>
      <c r="P62" s="539">
        <v>0</v>
      </c>
      <c r="Q62" s="538">
        <v>0</v>
      </c>
      <c r="R62" s="538"/>
      <c r="S62" s="539">
        <v>31133</v>
      </c>
      <c r="T62" s="540">
        <v>35607</v>
      </c>
      <c r="U62" s="540">
        <v>66740</v>
      </c>
    </row>
    <row r="63" spans="1:21" x14ac:dyDescent="0.25">
      <c r="A63" s="535">
        <v>30105</v>
      </c>
      <c r="B63" s="536" t="s">
        <v>835</v>
      </c>
      <c r="C63" s="542">
        <v>8.1840000000000005E-4</v>
      </c>
      <c r="D63" s="542">
        <v>8.2989999999999995E-4</v>
      </c>
      <c r="E63" s="538">
        <v>1134421</v>
      </c>
      <c r="F63" s="538">
        <f t="shared" si="0"/>
        <v>972992</v>
      </c>
      <c r="G63" s="538">
        <v>3015966</v>
      </c>
      <c r="H63" s="538"/>
      <c r="I63" s="539">
        <v>0</v>
      </c>
      <c r="J63" s="539">
        <v>2104619</v>
      </c>
      <c r="K63" s="539">
        <v>0</v>
      </c>
      <c r="L63" s="538">
        <v>148140</v>
      </c>
      <c r="M63" s="538"/>
      <c r="N63" s="539">
        <v>342915</v>
      </c>
      <c r="O63" s="539">
        <v>2431373</v>
      </c>
      <c r="P63" s="539">
        <v>0</v>
      </c>
      <c r="Q63" s="538">
        <v>0</v>
      </c>
      <c r="R63" s="538"/>
      <c r="S63" s="539">
        <v>293875</v>
      </c>
      <c r="T63" s="540">
        <v>50610</v>
      </c>
      <c r="U63" s="540">
        <v>344485</v>
      </c>
    </row>
    <row r="64" spans="1:21" x14ac:dyDescent="0.25">
      <c r="A64" s="535">
        <v>30200</v>
      </c>
      <c r="B64" s="536" t="s">
        <v>836</v>
      </c>
      <c r="C64" s="542">
        <v>2.0178000000000001E-3</v>
      </c>
      <c r="D64" s="542">
        <v>2.0265999999999999E-3</v>
      </c>
      <c r="E64" s="538">
        <v>2461217</v>
      </c>
      <c r="F64" s="538">
        <f t="shared" si="0"/>
        <v>2376029</v>
      </c>
      <c r="G64" s="538">
        <v>7435993</v>
      </c>
      <c r="H64" s="538"/>
      <c r="I64" s="539">
        <v>0</v>
      </c>
      <c r="J64" s="539">
        <v>5189027</v>
      </c>
      <c r="K64" s="539">
        <v>0</v>
      </c>
      <c r="L64" s="538">
        <v>0</v>
      </c>
      <c r="M64" s="538"/>
      <c r="N64" s="539">
        <v>845472</v>
      </c>
      <c r="O64" s="539">
        <v>5994654</v>
      </c>
      <c r="P64" s="539">
        <v>0</v>
      </c>
      <c r="Q64" s="538">
        <v>346247</v>
      </c>
      <c r="R64" s="538"/>
      <c r="S64" s="539">
        <v>724562</v>
      </c>
      <c r="T64" s="540">
        <v>-115569</v>
      </c>
      <c r="U64" s="540">
        <v>608993</v>
      </c>
    </row>
    <row r="65" spans="1:21" x14ac:dyDescent="0.25">
      <c r="A65" s="535">
        <v>30300</v>
      </c>
      <c r="B65" s="536" t="s">
        <v>837</v>
      </c>
      <c r="C65" s="542">
        <v>6.734E-4</v>
      </c>
      <c r="D65" s="542">
        <v>6.7290000000000004E-4</v>
      </c>
      <c r="E65" s="538">
        <v>842996.33</v>
      </c>
      <c r="F65" s="538">
        <f t="shared" si="0"/>
        <v>788922</v>
      </c>
      <c r="G65" s="538">
        <v>2481612</v>
      </c>
      <c r="H65" s="538"/>
      <c r="I65" s="539">
        <v>0</v>
      </c>
      <c r="J65" s="539">
        <v>1731733</v>
      </c>
      <c r="K65" s="539">
        <v>0</v>
      </c>
      <c r="L65" s="538">
        <v>0</v>
      </c>
      <c r="M65" s="538"/>
      <c r="N65" s="539">
        <v>282159</v>
      </c>
      <c r="O65" s="539">
        <v>2000595</v>
      </c>
      <c r="P65" s="539">
        <v>0</v>
      </c>
      <c r="Q65" s="538">
        <v>27771</v>
      </c>
      <c r="R65" s="538"/>
      <c r="S65" s="539">
        <v>241808</v>
      </c>
      <c r="T65" s="540">
        <v>-9669</v>
      </c>
      <c r="U65" s="540">
        <v>232139</v>
      </c>
    </row>
    <row r="66" spans="1:21" x14ac:dyDescent="0.25">
      <c r="A66" s="535">
        <v>30400</v>
      </c>
      <c r="B66" s="536" t="s">
        <v>838</v>
      </c>
      <c r="C66" s="542">
        <v>1.3213000000000001E-3</v>
      </c>
      <c r="D66" s="542">
        <v>1.2754999999999999E-3</v>
      </c>
      <c r="E66" s="538">
        <v>1751333.75</v>
      </c>
      <c r="F66" s="538">
        <f t="shared" si="0"/>
        <v>1495423</v>
      </c>
      <c r="G66" s="538">
        <v>4869252</v>
      </c>
      <c r="H66" s="538"/>
      <c r="I66" s="539">
        <v>0</v>
      </c>
      <c r="J66" s="539">
        <v>3397889</v>
      </c>
      <c r="K66" s="539">
        <v>0</v>
      </c>
      <c r="L66" s="538">
        <v>259057</v>
      </c>
      <c r="M66" s="538"/>
      <c r="N66" s="539">
        <v>553634</v>
      </c>
      <c r="O66" s="539">
        <v>3925432</v>
      </c>
      <c r="P66" s="539">
        <v>0</v>
      </c>
      <c r="Q66" s="538">
        <v>217721</v>
      </c>
      <c r="R66" s="538"/>
      <c r="S66" s="539">
        <v>474459</v>
      </c>
      <c r="T66" s="540">
        <v>-6275</v>
      </c>
      <c r="U66" s="540">
        <v>468184</v>
      </c>
    </row>
    <row r="67" spans="1:21" x14ac:dyDescent="0.25">
      <c r="A67" s="535">
        <v>30405</v>
      </c>
      <c r="B67" s="536" t="s">
        <v>839</v>
      </c>
      <c r="C67" s="542">
        <v>8.0889999999999998E-4</v>
      </c>
      <c r="D67" s="542">
        <v>7.5199999999999996E-4</v>
      </c>
      <c r="E67" s="538">
        <v>1017109.97</v>
      </c>
      <c r="F67" s="538">
        <f t="shared" ref="F67:F130" si="1">D67*$F$298</f>
        <v>881661</v>
      </c>
      <c r="G67" s="538">
        <v>2980957</v>
      </c>
      <c r="H67" s="538"/>
      <c r="I67" s="539">
        <v>0</v>
      </c>
      <c r="J67" s="539">
        <v>2080188</v>
      </c>
      <c r="K67" s="539">
        <v>0</v>
      </c>
      <c r="L67" s="538">
        <v>449397</v>
      </c>
      <c r="M67" s="538"/>
      <c r="N67" s="539">
        <v>338935</v>
      </c>
      <c r="O67" s="539">
        <v>2403150</v>
      </c>
      <c r="P67" s="539">
        <v>0</v>
      </c>
      <c r="Q67" s="538">
        <v>0</v>
      </c>
      <c r="R67" s="538"/>
      <c r="S67" s="539">
        <v>290464</v>
      </c>
      <c r="T67" s="540">
        <v>141724</v>
      </c>
      <c r="U67" s="540">
        <v>432187</v>
      </c>
    </row>
    <row r="68" spans="1:21" x14ac:dyDescent="0.25">
      <c r="A68" s="535">
        <v>30500</v>
      </c>
      <c r="B68" s="536" t="s">
        <v>840</v>
      </c>
      <c r="C68" s="542">
        <v>1.3231E-3</v>
      </c>
      <c r="D68" s="542">
        <v>1.3033999999999999E-3</v>
      </c>
      <c r="E68" s="538">
        <v>1632776.5</v>
      </c>
      <c r="F68" s="538">
        <f t="shared" si="1"/>
        <v>1528134</v>
      </c>
      <c r="G68" s="538">
        <v>4875885</v>
      </c>
      <c r="H68" s="538"/>
      <c r="I68" s="539">
        <v>0</v>
      </c>
      <c r="J68" s="539">
        <v>3402518</v>
      </c>
      <c r="K68" s="539">
        <v>0</v>
      </c>
      <c r="L68" s="538">
        <v>53929</v>
      </c>
      <c r="M68" s="538"/>
      <c r="N68" s="539">
        <v>554388</v>
      </c>
      <c r="O68" s="539">
        <v>3930779</v>
      </c>
      <c r="P68" s="539">
        <v>0</v>
      </c>
      <c r="Q68" s="538">
        <v>138706</v>
      </c>
      <c r="R68" s="538"/>
      <c r="S68" s="539">
        <v>475105</v>
      </c>
      <c r="T68" s="540">
        <v>-34777</v>
      </c>
      <c r="U68" s="540">
        <v>440329</v>
      </c>
    </row>
    <row r="69" spans="1:21" x14ac:dyDescent="0.25">
      <c r="A69" s="535">
        <v>30600</v>
      </c>
      <c r="B69" s="536" t="s">
        <v>841</v>
      </c>
      <c r="C69" s="542">
        <v>1.0248E-3</v>
      </c>
      <c r="D69" s="542">
        <v>1.0137E-3</v>
      </c>
      <c r="E69" s="538">
        <v>1296660</v>
      </c>
      <c r="F69" s="538">
        <f t="shared" si="1"/>
        <v>1188483</v>
      </c>
      <c r="G69" s="538">
        <v>3776591</v>
      </c>
      <c r="H69" s="538"/>
      <c r="I69" s="539">
        <v>0</v>
      </c>
      <c r="J69" s="539">
        <v>2635402</v>
      </c>
      <c r="K69" s="539">
        <v>0</v>
      </c>
      <c r="L69" s="538">
        <v>60902</v>
      </c>
      <c r="M69" s="538"/>
      <c r="N69" s="539">
        <v>429398</v>
      </c>
      <c r="O69" s="539">
        <v>3044564</v>
      </c>
      <c r="P69" s="539">
        <v>0</v>
      </c>
      <c r="Q69" s="538">
        <v>0</v>
      </c>
      <c r="R69" s="538"/>
      <c r="S69" s="539">
        <v>367990</v>
      </c>
      <c r="T69" s="540">
        <v>17821</v>
      </c>
      <c r="U69" s="540">
        <v>385812</v>
      </c>
    </row>
    <row r="70" spans="1:21" x14ac:dyDescent="0.25">
      <c r="A70" s="535">
        <v>30601</v>
      </c>
      <c r="B70" s="536" t="s">
        <v>842</v>
      </c>
      <c r="C70" s="542">
        <v>2.51E-5</v>
      </c>
      <c r="D70" s="542">
        <v>2.1100000000000001E-5</v>
      </c>
      <c r="E70" s="538">
        <v>27323.35</v>
      </c>
      <c r="F70" s="538">
        <f t="shared" si="1"/>
        <v>24738</v>
      </c>
      <c r="G70" s="538">
        <v>92498</v>
      </c>
      <c r="H70" s="538"/>
      <c r="I70" s="539">
        <v>0</v>
      </c>
      <c r="J70" s="539">
        <v>64548</v>
      </c>
      <c r="K70" s="539">
        <v>0</v>
      </c>
      <c r="L70" s="538">
        <v>13517</v>
      </c>
      <c r="M70" s="538"/>
      <c r="N70" s="539">
        <v>10517</v>
      </c>
      <c r="O70" s="539">
        <v>74569</v>
      </c>
      <c r="P70" s="539">
        <v>0</v>
      </c>
      <c r="Q70" s="538">
        <v>925</v>
      </c>
      <c r="R70" s="538"/>
      <c r="S70" s="539">
        <v>9013</v>
      </c>
      <c r="T70" s="540">
        <v>3413</v>
      </c>
      <c r="U70" s="540">
        <v>12426</v>
      </c>
    </row>
    <row r="71" spans="1:21" x14ac:dyDescent="0.25">
      <c r="A71" s="535">
        <v>30700</v>
      </c>
      <c r="B71" s="536" t="s">
        <v>843</v>
      </c>
      <c r="C71" s="542">
        <v>2.6264000000000001E-3</v>
      </c>
      <c r="D71" s="542">
        <v>2.6034000000000001E-3</v>
      </c>
      <c r="E71" s="538">
        <v>3442087.65</v>
      </c>
      <c r="F71" s="538">
        <f t="shared" si="1"/>
        <v>3052281</v>
      </c>
      <c r="G71" s="538">
        <v>9678804</v>
      </c>
      <c r="H71" s="538"/>
      <c r="I71" s="539">
        <v>0</v>
      </c>
      <c r="J71" s="539">
        <v>6754119</v>
      </c>
      <c r="K71" s="539">
        <v>0</v>
      </c>
      <c r="L71" s="538">
        <v>241653</v>
      </c>
      <c r="M71" s="538"/>
      <c r="N71" s="539">
        <v>1100480</v>
      </c>
      <c r="O71" s="539">
        <v>7802735</v>
      </c>
      <c r="P71" s="539">
        <v>0</v>
      </c>
      <c r="Q71" s="538">
        <v>0</v>
      </c>
      <c r="R71" s="538"/>
      <c r="S71" s="539">
        <v>943101</v>
      </c>
      <c r="T71" s="540">
        <v>70638</v>
      </c>
      <c r="U71" s="540">
        <v>1013739</v>
      </c>
    </row>
    <row r="72" spans="1:21" x14ac:dyDescent="0.25">
      <c r="A72" s="535">
        <v>30705</v>
      </c>
      <c r="B72" s="536" t="s">
        <v>844</v>
      </c>
      <c r="C72" s="542">
        <v>4.9689999999999999E-4</v>
      </c>
      <c r="D72" s="542">
        <v>5.1190000000000003E-4</v>
      </c>
      <c r="E72" s="538">
        <v>699103.73</v>
      </c>
      <c r="F72" s="538">
        <f t="shared" si="1"/>
        <v>600162</v>
      </c>
      <c r="G72" s="538">
        <v>1831175</v>
      </c>
      <c r="H72" s="538"/>
      <c r="I72" s="539">
        <v>0</v>
      </c>
      <c r="J72" s="539">
        <v>1277841</v>
      </c>
      <c r="K72" s="539">
        <v>0</v>
      </c>
      <c r="L72" s="538">
        <v>108008</v>
      </c>
      <c r="M72" s="538"/>
      <c r="N72" s="539">
        <v>208205</v>
      </c>
      <c r="O72" s="539">
        <v>1476233</v>
      </c>
      <c r="P72" s="539">
        <v>0</v>
      </c>
      <c r="Q72" s="538">
        <v>7314</v>
      </c>
      <c r="R72" s="538"/>
      <c r="S72" s="539">
        <v>178429</v>
      </c>
      <c r="T72" s="540">
        <v>36686</v>
      </c>
      <c r="U72" s="540">
        <v>215116</v>
      </c>
    </row>
    <row r="73" spans="1:21" x14ac:dyDescent="0.25">
      <c r="A73" s="535">
        <v>30800</v>
      </c>
      <c r="B73" s="536" t="s">
        <v>845</v>
      </c>
      <c r="C73" s="542">
        <v>1.1248E-3</v>
      </c>
      <c r="D73" s="542">
        <v>1.145E-3</v>
      </c>
      <c r="E73" s="538">
        <v>1430857.84</v>
      </c>
      <c r="F73" s="538">
        <f t="shared" si="1"/>
        <v>1342422</v>
      </c>
      <c r="G73" s="538">
        <v>4145111</v>
      </c>
      <c r="H73" s="538"/>
      <c r="I73" s="539">
        <v>0</v>
      </c>
      <c r="J73" s="539">
        <v>2892565</v>
      </c>
      <c r="K73" s="539">
        <v>0</v>
      </c>
      <c r="L73" s="538">
        <v>201640</v>
      </c>
      <c r="M73" s="538"/>
      <c r="N73" s="539">
        <v>471299</v>
      </c>
      <c r="O73" s="539">
        <v>3341653</v>
      </c>
      <c r="P73" s="539">
        <v>0</v>
      </c>
      <c r="Q73" s="538">
        <v>77079</v>
      </c>
      <c r="R73" s="538"/>
      <c r="S73" s="539">
        <v>403899</v>
      </c>
      <c r="T73" s="540">
        <v>50921</v>
      </c>
      <c r="U73" s="540">
        <v>454820</v>
      </c>
    </row>
    <row r="74" spans="1:21" x14ac:dyDescent="0.25">
      <c r="A74" s="535">
        <v>30900</v>
      </c>
      <c r="B74" s="536" t="s">
        <v>846</v>
      </c>
      <c r="C74" s="542">
        <v>1.7661E-3</v>
      </c>
      <c r="D74" s="542">
        <v>1.8423999999999999E-3</v>
      </c>
      <c r="E74" s="538">
        <v>2356426.09</v>
      </c>
      <c r="F74" s="538">
        <f t="shared" si="1"/>
        <v>2160069</v>
      </c>
      <c r="G74" s="538">
        <v>6508428</v>
      </c>
      <c r="H74" s="538"/>
      <c r="I74" s="539">
        <v>0</v>
      </c>
      <c r="J74" s="539">
        <v>4541749</v>
      </c>
      <c r="K74" s="539">
        <v>0</v>
      </c>
      <c r="L74" s="538">
        <v>0</v>
      </c>
      <c r="M74" s="538"/>
      <c r="N74" s="539">
        <v>740008</v>
      </c>
      <c r="O74" s="539">
        <v>5246882</v>
      </c>
      <c r="P74" s="539">
        <v>0</v>
      </c>
      <c r="Q74" s="538">
        <v>323295</v>
      </c>
      <c r="R74" s="538"/>
      <c r="S74" s="539">
        <v>634180</v>
      </c>
      <c r="T74" s="540">
        <v>-97653</v>
      </c>
      <c r="U74" s="540">
        <v>536527</v>
      </c>
    </row>
    <row r="75" spans="1:21" x14ac:dyDescent="0.25">
      <c r="A75" s="535">
        <v>30905</v>
      </c>
      <c r="B75" s="536" t="s">
        <v>847</v>
      </c>
      <c r="C75" s="542">
        <v>3.7520000000000001E-4</v>
      </c>
      <c r="D75" s="542">
        <v>4.0640000000000001E-4</v>
      </c>
      <c r="E75" s="538">
        <v>534750</v>
      </c>
      <c r="F75" s="538">
        <f t="shared" si="1"/>
        <v>476472</v>
      </c>
      <c r="G75" s="538">
        <v>1382686</v>
      </c>
      <c r="H75" s="538"/>
      <c r="I75" s="539">
        <v>0</v>
      </c>
      <c r="J75" s="539">
        <v>964874</v>
      </c>
      <c r="K75" s="539">
        <v>0</v>
      </c>
      <c r="L75" s="538">
        <v>1358</v>
      </c>
      <c r="M75" s="538"/>
      <c r="N75" s="539">
        <v>157211</v>
      </c>
      <c r="O75" s="539">
        <v>1114676</v>
      </c>
      <c r="P75" s="539">
        <v>0</v>
      </c>
      <c r="Q75" s="538">
        <v>84289</v>
      </c>
      <c r="R75" s="538"/>
      <c r="S75" s="539">
        <v>134729</v>
      </c>
      <c r="T75" s="540">
        <v>-22862</v>
      </c>
      <c r="U75" s="540">
        <v>111867</v>
      </c>
    </row>
    <row r="76" spans="1:21" x14ac:dyDescent="0.25">
      <c r="A76" s="535">
        <v>31000</v>
      </c>
      <c r="B76" s="536" t="s">
        <v>848</v>
      </c>
      <c r="C76" s="542">
        <v>4.8412000000000004E-3</v>
      </c>
      <c r="D76" s="542">
        <v>4.7923000000000002E-3</v>
      </c>
      <c r="E76" s="538">
        <v>6182736</v>
      </c>
      <c r="F76" s="538">
        <f t="shared" si="1"/>
        <v>5618594</v>
      </c>
      <c r="G76" s="538">
        <v>17840781</v>
      </c>
      <c r="H76" s="538"/>
      <c r="I76" s="539">
        <v>0</v>
      </c>
      <c r="J76" s="539">
        <v>12449756</v>
      </c>
      <c r="K76" s="539">
        <v>0</v>
      </c>
      <c r="L76" s="538">
        <v>771831</v>
      </c>
      <c r="M76" s="538"/>
      <c r="N76" s="539">
        <v>2028497</v>
      </c>
      <c r="O76" s="539">
        <v>14382653</v>
      </c>
      <c r="P76" s="539">
        <v>0</v>
      </c>
      <c r="Q76" s="538">
        <v>0</v>
      </c>
      <c r="R76" s="538"/>
      <c r="S76" s="539">
        <v>1738402</v>
      </c>
      <c r="T76" s="540">
        <v>255279</v>
      </c>
      <c r="U76" s="540">
        <v>1993681</v>
      </c>
    </row>
    <row r="77" spans="1:21" x14ac:dyDescent="0.25">
      <c r="A77" s="535">
        <v>31005</v>
      </c>
      <c r="B77" s="536" t="s">
        <v>849</v>
      </c>
      <c r="C77" s="542">
        <v>4.6559999999999999E-4</v>
      </c>
      <c r="D77" s="542">
        <v>4.7909999999999999E-4</v>
      </c>
      <c r="E77" s="538">
        <v>684195.32</v>
      </c>
      <c r="F77" s="538">
        <f t="shared" si="1"/>
        <v>561707</v>
      </c>
      <c r="G77" s="538">
        <v>1715828</v>
      </c>
      <c r="H77" s="538"/>
      <c r="I77" s="539">
        <v>0</v>
      </c>
      <c r="J77" s="539">
        <v>1197349</v>
      </c>
      <c r="K77" s="539">
        <v>0</v>
      </c>
      <c r="L77" s="538">
        <v>18307</v>
      </c>
      <c r="M77" s="538"/>
      <c r="N77" s="539">
        <v>195090</v>
      </c>
      <c r="O77" s="539">
        <v>1383245</v>
      </c>
      <c r="P77" s="539">
        <v>0</v>
      </c>
      <c r="Q77" s="538">
        <v>27359</v>
      </c>
      <c r="R77" s="538"/>
      <c r="S77" s="539">
        <v>167190</v>
      </c>
      <c r="T77" s="540">
        <v>-4735</v>
      </c>
      <c r="U77" s="540">
        <v>162455</v>
      </c>
    </row>
    <row r="78" spans="1:21" x14ac:dyDescent="0.25">
      <c r="A78" s="535">
        <v>31100</v>
      </c>
      <c r="B78" s="536" t="s">
        <v>850</v>
      </c>
      <c r="C78" s="542">
        <v>9.9407000000000002E-3</v>
      </c>
      <c r="D78" s="542">
        <v>9.9406000000000008E-3</v>
      </c>
      <c r="E78" s="538">
        <v>12202678</v>
      </c>
      <c r="F78" s="538">
        <f t="shared" si="1"/>
        <v>11654569</v>
      </c>
      <c r="G78" s="538">
        <v>36633448</v>
      </c>
      <c r="H78" s="538"/>
      <c r="I78" s="539">
        <v>0</v>
      </c>
      <c r="J78" s="539">
        <v>25563763</v>
      </c>
      <c r="K78" s="539">
        <v>0</v>
      </c>
      <c r="L78" s="538">
        <v>0</v>
      </c>
      <c r="M78" s="538"/>
      <c r="N78" s="539">
        <v>4165223</v>
      </c>
      <c r="O78" s="539">
        <v>29532686</v>
      </c>
      <c r="P78" s="539">
        <v>0</v>
      </c>
      <c r="Q78" s="538">
        <v>594150</v>
      </c>
      <c r="R78" s="538"/>
      <c r="S78" s="539">
        <v>3569556</v>
      </c>
      <c r="T78" s="540">
        <v>-190835</v>
      </c>
      <c r="U78" s="540">
        <v>3378722</v>
      </c>
    </row>
    <row r="79" spans="1:21" x14ac:dyDescent="0.25">
      <c r="A79" s="535">
        <v>31101</v>
      </c>
      <c r="B79" s="536" t="s">
        <v>851</v>
      </c>
      <c r="C79" s="542">
        <v>6.86E-5</v>
      </c>
      <c r="D79" s="542">
        <v>7.64E-5</v>
      </c>
      <c r="E79" s="538">
        <v>67918.63</v>
      </c>
      <c r="F79" s="538">
        <f t="shared" si="1"/>
        <v>89573</v>
      </c>
      <c r="G79" s="538">
        <v>252805</v>
      </c>
      <c r="H79" s="538"/>
      <c r="I79" s="539">
        <v>0</v>
      </c>
      <c r="J79" s="539">
        <v>176414</v>
      </c>
      <c r="K79" s="539">
        <v>0</v>
      </c>
      <c r="L79" s="538">
        <v>0</v>
      </c>
      <c r="M79" s="538"/>
      <c r="N79" s="539">
        <v>28744</v>
      </c>
      <c r="O79" s="539">
        <v>203803</v>
      </c>
      <c r="P79" s="539">
        <v>0</v>
      </c>
      <c r="Q79" s="538">
        <v>53133</v>
      </c>
      <c r="R79" s="538"/>
      <c r="S79" s="539">
        <v>24633</v>
      </c>
      <c r="T79" s="540">
        <v>-15164</v>
      </c>
      <c r="U79" s="540">
        <v>9469</v>
      </c>
    </row>
    <row r="80" spans="1:21" x14ac:dyDescent="0.25">
      <c r="A80" s="535">
        <v>31102</v>
      </c>
      <c r="B80" s="536" t="s">
        <v>852</v>
      </c>
      <c r="C80" s="542">
        <v>1.5589999999999999E-4</v>
      </c>
      <c r="D80" s="542">
        <v>1.5669999999999999E-4</v>
      </c>
      <c r="E80" s="538">
        <v>166569.43</v>
      </c>
      <c r="F80" s="538">
        <f t="shared" si="1"/>
        <v>183718</v>
      </c>
      <c r="G80" s="538">
        <v>574522</v>
      </c>
      <c r="H80" s="538"/>
      <c r="I80" s="539">
        <v>0</v>
      </c>
      <c r="J80" s="539">
        <v>400916</v>
      </c>
      <c r="K80" s="539">
        <v>0</v>
      </c>
      <c r="L80" s="538">
        <v>0</v>
      </c>
      <c r="M80" s="538"/>
      <c r="N80" s="539">
        <v>65323</v>
      </c>
      <c r="O80" s="539">
        <v>463161</v>
      </c>
      <c r="P80" s="539">
        <v>0</v>
      </c>
      <c r="Q80" s="538">
        <v>123237</v>
      </c>
      <c r="R80" s="538"/>
      <c r="S80" s="539">
        <v>55981</v>
      </c>
      <c r="T80" s="540">
        <v>-41966</v>
      </c>
      <c r="U80" s="540">
        <v>14015</v>
      </c>
    </row>
    <row r="81" spans="1:21" x14ac:dyDescent="0.25">
      <c r="A81" s="535">
        <v>31105</v>
      </c>
      <c r="B81" s="536" t="s">
        <v>853</v>
      </c>
      <c r="C81" s="542">
        <v>1.6336E-3</v>
      </c>
      <c r="D81" s="542">
        <v>1.5651E-3</v>
      </c>
      <c r="E81" s="538">
        <v>2134413.73</v>
      </c>
      <c r="F81" s="538">
        <f t="shared" si="1"/>
        <v>1834956</v>
      </c>
      <c r="G81" s="538">
        <v>6020139</v>
      </c>
      <c r="H81" s="538"/>
      <c r="I81" s="539">
        <v>0</v>
      </c>
      <c r="J81" s="539">
        <v>4201008</v>
      </c>
      <c r="K81" s="539">
        <v>0</v>
      </c>
      <c r="L81" s="538">
        <v>421351</v>
      </c>
      <c r="M81" s="538"/>
      <c r="N81" s="539">
        <v>684490</v>
      </c>
      <c r="O81" s="539">
        <v>4853239</v>
      </c>
      <c r="P81" s="539">
        <v>0</v>
      </c>
      <c r="Q81" s="538">
        <v>0</v>
      </c>
      <c r="R81" s="538"/>
      <c r="S81" s="539">
        <v>586601</v>
      </c>
      <c r="T81" s="540">
        <v>122820</v>
      </c>
      <c r="U81" s="540">
        <v>709421</v>
      </c>
    </row>
    <row r="82" spans="1:21" x14ac:dyDescent="0.25">
      <c r="A82" s="535">
        <v>31110</v>
      </c>
      <c r="B82" s="536" t="s">
        <v>854</v>
      </c>
      <c r="C82" s="542">
        <v>2.3462000000000001E-3</v>
      </c>
      <c r="D82" s="542">
        <v>2.2455999999999999E-3</v>
      </c>
      <c r="E82" s="538">
        <v>2730341.04</v>
      </c>
      <c r="F82" s="538">
        <f t="shared" si="1"/>
        <v>2632789</v>
      </c>
      <c r="G82" s="538">
        <v>8646212</v>
      </c>
      <c r="H82" s="538"/>
      <c r="I82" s="539">
        <v>0</v>
      </c>
      <c r="J82" s="539">
        <v>6033549</v>
      </c>
      <c r="K82" s="539">
        <v>0</v>
      </c>
      <c r="L82" s="538">
        <v>282407</v>
      </c>
      <c r="M82" s="538"/>
      <c r="N82" s="539">
        <v>983074</v>
      </c>
      <c r="O82" s="539">
        <v>6970293</v>
      </c>
      <c r="P82" s="539">
        <v>0</v>
      </c>
      <c r="Q82" s="538">
        <v>0</v>
      </c>
      <c r="R82" s="538"/>
      <c r="S82" s="539">
        <v>842485</v>
      </c>
      <c r="T82" s="540">
        <v>81318</v>
      </c>
      <c r="U82" s="540">
        <v>923804</v>
      </c>
    </row>
    <row r="83" spans="1:21" x14ac:dyDescent="0.25">
      <c r="A83" s="535">
        <v>31200</v>
      </c>
      <c r="B83" s="536" t="s">
        <v>855</v>
      </c>
      <c r="C83" s="542">
        <v>4.8599000000000003E-3</v>
      </c>
      <c r="D83" s="542">
        <v>5.0726E-3</v>
      </c>
      <c r="E83" s="538">
        <v>5956488</v>
      </c>
      <c r="F83" s="538">
        <f t="shared" si="1"/>
        <v>5947223</v>
      </c>
      <c r="G83" s="538">
        <v>17909694</v>
      </c>
      <c r="H83" s="538"/>
      <c r="I83" s="539">
        <v>0</v>
      </c>
      <c r="J83" s="539">
        <v>12497845</v>
      </c>
      <c r="K83" s="539">
        <v>0</v>
      </c>
      <c r="L83" s="538">
        <v>0</v>
      </c>
      <c r="M83" s="538"/>
      <c r="N83" s="539">
        <v>2036332</v>
      </c>
      <c r="O83" s="539">
        <v>14438209</v>
      </c>
      <c r="P83" s="539">
        <v>0</v>
      </c>
      <c r="Q83" s="538">
        <v>1452030</v>
      </c>
      <c r="R83" s="538"/>
      <c r="S83" s="539">
        <v>1745117</v>
      </c>
      <c r="T83" s="540">
        <v>-435697</v>
      </c>
      <c r="U83" s="540">
        <v>1309420</v>
      </c>
    </row>
    <row r="84" spans="1:21" x14ac:dyDescent="0.25">
      <c r="A84" s="535">
        <v>31205</v>
      </c>
      <c r="B84" s="536" t="s">
        <v>856</v>
      </c>
      <c r="C84" s="542">
        <v>6.2350000000000003E-4</v>
      </c>
      <c r="D84" s="542">
        <v>6.8550000000000002E-4</v>
      </c>
      <c r="E84" s="538">
        <v>841577.79</v>
      </c>
      <c r="F84" s="538">
        <f t="shared" si="1"/>
        <v>803695</v>
      </c>
      <c r="G84" s="538">
        <v>2297721</v>
      </c>
      <c r="H84" s="538"/>
      <c r="I84" s="539">
        <v>0</v>
      </c>
      <c r="J84" s="539">
        <v>1603409</v>
      </c>
      <c r="K84" s="539">
        <v>0</v>
      </c>
      <c r="L84" s="538">
        <v>0</v>
      </c>
      <c r="M84" s="538"/>
      <c r="N84" s="539">
        <v>261251</v>
      </c>
      <c r="O84" s="539">
        <v>1852347</v>
      </c>
      <c r="P84" s="539">
        <v>0</v>
      </c>
      <c r="Q84" s="538">
        <v>351397</v>
      </c>
      <c r="R84" s="538"/>
      <c r="S84" s="539">
        <v>223889</v>
      </c>
      <c r="T84" s="540">
        <v>-108045</v>
      </c>
      <c r="U84" s="540">
        <v>115845</v>
      </c>
    </row>
    <row r="85" spans="1:21" x14ac:dyDescent="0.25">
      <c r="A85" s="535">
        <v>31300</v>
      </c>
      <c r="B85" s="536" t="s">
        <v>857</v>
      </c>
      <c r="C85" s="542">
        <v>1.12263E-2</v>
      </c>
      <c r="D85" s="542">
        <v>1.06528E-2</v>
      </c>
      <c r="E85" s="538">
        <v>13084029</v>
      </c>
      <c r="F85" s="538">
        <f t="shared" si="1"/>
        <v>12489568</v>
      </c>
      <c r="G85" s="538">
        <v>41371138</v>
      </c>
      <c r="H85" s="538"/>
      <c r="I85" s="539">
        <v>0</v>
      </c>
      <c r="J85" s="539">
        <v>28869845</v>
      </c>
      <c r="K85" s="539">
        <v>0</v>
      </c>
      <c r="L85" s="538">
        <v>1575233</v>
      </c>
      <c r="M85" s="538"/>
      <c r="N85" s="539">
        <v>4703898</v>
      </c>
      <c r="O85" s="539">
        <v>33352058</v>
      </c>
      <c r="P85" s="539">
        <v>0</v>
      </c>
      <c r="Q85" s="538">
        <v>1307231</v>
      </c>
      <c r="R85" s="538"/>
      <c r="S85" s="539">
        <v>4031196</v>
      </c>
      <c r="T85" s="540">
        <v>-32189</v>
      </c>
      <c r="U85" s="540">
        <v>3999007</v>
      </c>
    </row>
    <row r="86" spans="1:21" x14ac:dyDescent="0.25">
      <c r="A86" s="535">
        <v>31301</v>
      </c>
      <c r="B86" s="536" t="s">
        <v>858</v>
      </c>
      <c r="C86" s="542">
        <v>1.9369999999999999E-4</v>
      </c>
      <c r="D86" s="542">
        <v>1.795E-4</v>
      </c>
      <c r="E86" s="538">
        <v>206906.9</v>
      </c>
      <c r="F86" s="538">
        <f t="shared" si="1"/>
        <v>210450</v>
      </c>
      <c r="G86" s="538">
        <v>713823</v>
      </c>
      <c r="H86" s="538"/>
      <c r="I86" s="539">
        <v>0</v>
      </c>
      <c r="J86" s="539">
        <v>498124</v>
      </c>
      <c r="K86" s="539">
        <v>0</v>
      </c>
      <c r="L86" s="538">
        <v>66701</v>
      </c>
      <c r="M86" s="538"/>
      <c r="N86" s="539">
        <v>81162</v>
      </c>
      <c r="O86" s="539">
        <v>575461</v>
      </c>
      <c r="P86" s="539">
        <v>0</v>
      </c>
      <c r="Q86" s="538">
        <v>0</v>
      </c>
      <c r="R86" s="538"/>
      <c r="S86" s="539">
        <v>69555</v>
      </c>
      <c r="T86" s="540">
        <v>21412</v>
      </c>
      <c r="U86" s="540">
        <v>90967</v>
      </c>
    </row>
    <row r="87" spans="1:21" x14ac:dyDescent="0.25">
      <c r="A87" s="535">
        <v>31320</v>
      </c>
      <c r="B87" s="536" t="s">
        <v>859</v>
      </c>
      <c r="C87" s="542">
        <v>2.2095000000000001E-3</v>
      </c>
      <c r="D87" s="542">
        <v>2.2027000000000001E-3</v>
      </c>
      <c r="E87" s="538">
        <v>2559454</v>
      </c>
      <c r="F87" s="538">
        <f t="shared" si="1"/>
        <v>2582492</v>
      </c>
      <c r="G87" s="538">
        <v>8142445</v>
      </c>
      <c r="H87" s="538"/>
      <c r="I87" s="539">
        <v>0</v>
      </c>
      <c r="J87" s="539">
        <v>5682008</v>
      </c>
      <c r="K87" s="539">
        <v>0</v>
      </c>
      <c r="L87" s="538">
        <v>0</v>
      </c>
      <c r="M87" s="538"/>
      <c r="N87" s="539">
        <v>925796</v>
      </c>
      <c r="O87" s="539">
        <v>6564173</v>
      </c>
      <c r="P87" s="539">
        <v>0</v>
      </c>
      <c r="Q87" s="538">
        <v>532819</v>
      </c>
      <c r="R87" s="538"/>
      <c r="S87" s="539">
        <v>793398</v>
      </c>
      <c r="T87" s="540">
        <v>-178651</v>
      </c>
      <c r="U87" s="540">
        <v>614747</v>
      </c>
    </row>
    <row r="88" spans="1:21" x14ac:dyDescent="0.25">
      <c r="A88" s="535">
        <v>31400</v>
      </c>
      <c r="B88" s="536" t="s">
        <v>860</v>
      </c>
      <c r="C88" s="542">
        <v>4.7343000000000003E-3</v>
      </c>
      <c r="D88" s="542">
        <v>4.7391000000000004E-3</v>
      </c>
      <c r="E88" s="538">
        <v>5891291</v>
      </c>
      <c r="F88" s="538">
        <f t="shared" si="1"/>
        <v>5556221</v>
      </c>
      <c r="G88" s="538">
        <v>17446833</v>
      </c>
      <c r="H88" s="538"/>
      <c r="I88" s="539">
        <v>0</v>
      </c>
      <c r="J88" s="539">
        <v>12174849</v>
      </c>
      <c r="K88" s="539">
        <v>0</v>
      </c>
      <c r="L88" s="538">
        <v>0</v>
      </c>
      <c r="M88" s="538"/>
      <c r="N88" s="539">
        <v>1983705</v>
      </c>
      <c r="O88" s="539">
        <v>14065066</v>
      </c>
      <c r="P88" s="539">
        <v>0</v>
      </c>
      <c r="Q88" s="538">
        <v>459137</v>
      </c>
      <c r="R88" s="538"/>
      <c r="S88" s="539">
        <v>1700016</v>
      </c>
      <c r="T88" s="540">
        <v>-157441</v>
      </c>
      <c r="U88" s="540">
        <v>1542576</v>
      </c>
    </row>
    <row r="89" spans="1:21" x14ac:dyDescent="0.25">
      <c r="A89" s="535">
        <v>31405</v>
      </c>
      <c r="B89" s="536" t="s">
        <v>861</v>
      </c>
      <c r="C89" s="542">
        <v>9.8060000000000009E-4</v>
      </c>
      <c r="D89" s="542">
        <v>1.0556999999999999E-3</v>
      </c>
      <c r="E89" s="538">
        <v>1365585.45</v>
      </c>
      <c r="F89" s="538">
        <f t="shared" si="1"/>
        <v>1237725</v>
      </c>
      <c r="G89" s="538">
        <v>3613705</v>
      </c>
      <c r="H89" s="538"/>
      <c r="I89" s="539">
        <v>0</v>
      </c>
      <c r="J89" s="539">
        <v>2521736</v>
      </c>
      <c r="K89" s="539">
        <v>0</v>
      </c>
      <c r="L89" s="538">
        <v>0</v>
      </c>
      <c r="M89" s="538"/>
      <c r="N89" s="539">
        <v>410878</v>
      </c>
      <c r="O89" s="539">
        <v>2913251</v>
      </c>
      <c r="P89" s="539">
        <v>0</v>
      </c>
      <c r="Q89" s="538">
        <v>305959</v>
      </c>
      <c r="R89" s="538"/>
      <c r="S89" s="539">
        <v>352119</v>
      </c>
      <c r="T89" s="540">
        <v>-91908</v>
      </c>
      <c r="U89" s="540">
        <v>260211</v>
      </c>
    </row>
    <row r="90" spans="1:21" x14ac:dyDescent="0.25">
      <c r="A90" s="535">
        <v>31500</v>
      </c>
      <c r="B90" s="536" t="s">
        <v>862</v>
      </c>
      <c r="C90" s="542">
        <v>7.4350000000000002E-4</v>
      </c>
      <c r="D90" s="542">
        <v>7.6009999999999999E-4</v>
      </c>
      <c r="E90" s="538">
        <v>878230.13</v>
      </c>
      <c r="F90" s="538">
        <f t="shared" si="1"/>
        <v>891157</v>
      </c>
      <c r="G90" s="538">
        <v>2739945</v>
      </c>
      <c r="H90" s="538"/>
      <c r="I90" s="539">
        <v>0</v>
      </c>
      <c r="J90" s="539">
        <v>1912004</v>
      </c>
      <c r="K90" s="539">
        <v>0</v>
      </c>
      <c r="L90" s="538">
        <v>0</v>
      </c>
      <c r="M90" s="538"/>
      <c r="N90" s="539">
        <v>311532</v>
      </c>
      <c r="O90" s="539">
        <v>2208854</v>
      </c>
      <c r="P90" s="539">
        <v>0</v>
      </c>
      <c r="Q90" s="538">
        <v>135200</v>
      </c>
      <c r="R90" s="538"/>
      <c r="S90" s="539">
        <v>266980</v>
      </c>
      <c r="T90" s="540">
        <v>-38883</v>
      </c>
      <c r="U90" s="540">
        <v>228097</v>
      </c>
    </row>
    <row r="91" spans="1:21" x14ac:dyDescent="0.25">
      <c r="A91" s="535">
        <v>31600</v>
      </c>
      <c r="B91" s="536" t="s">
        <v>863</v>
      </c>
      <c r="C91" s="542">
        <v>3.2607000000000001E-3</v>
      </c>
      <c r="D91" s="542">
        <v>3.2526E-3</v>
      </c>
      <c r="E91" s="538">
        <v>4265657.17</v>
      </c>
      <c r="F91" s="538">
        <f t="shared" si="1"/>
        <v>3813417</v>
      </c>
      <c r="G91" s="538">
        <v>12016325</v>
      </c>
      <c r="H91" s="538"/>
      <c r="I91" s="539">
        <v>0</v>
      </c>
      <c r="J91" s="539">
        <v>8385301</v>
      </c>
      <c r="K91" s="539">
        <v>0</v>
      </c>
      <c r="L91" s="538">
        <v>466453</v>
      </c>
      <c r="M91" s="538"/>
      <c r="N91" s="539">
        <v>1366256</v>
      </c>
      <c r="O91" s="539">
        <v>9687168</v>
      </c>
      <c r="P91" s="539">
        <v>0</v>
      </c>
      <c r="Q91" s="538">
        <v>0</v>
      </c>
      <c r="R91" s="538"/>
      <c r="S91" s="539">
        <v>1170868</v>
      </c>
      <c r="T91" s="540">
        <v>154896</v>
      </c>
      <c r="U91" s="540">
        <v>1325765</v>
      </c>
    </row>
    <row r="92" spans="1:21" x14ac:dyDescent="0.25">
      <c r="A92" s="535">
        <v>31601</v>
      </c>
      <c r="B92" s="536" t="s">
        <v>864</v>
      </c>
      <c r="C92" s="542">
        <v>0</v>
      </c>
      <c r="D92" s="542">
        <v>9.0000000000000002E-6</v>
      </c>
      <c r="E92" s="538"/>
      <c r="F92" s="538">
        <f t="shared" si="1"/>
        <v>10552</v>
      </c>
      <c r="G92" s="538">
        <v>0</v>
      </c>
      <c r="H92" s="538"/>
      <c r="I92" s="539">
        <v>0</v>
      </c>
      <c r="J92" s="539">
        <v>0</v>
      </c>
      <c r="K92" s="539">
        <v>0</v>
      </c>
      <c r="L92" s="538">
        <v>0</v>
      </c>
      <c r="M92" s="538"/>
      <c r="N92" s="539">
        <v>0</v>
      </c>
      <c r="O92" s="539">
        <v>0</v>
      </c>
      <c r="P92" s="539">
        <v>0</v>
      </c>
      <c r="Q92" s="538">
        <v>44219</v>
      </c>
      <c r="R92" s="538"/>
      <c r="S92" s="539">
        <v>0</v>
      </c>
      <c r="T92" s="540">
        <v>-12747</v>
      </c>
      <c r="U92" s="540">
        <v>-12747</v>
      </c>
    </row>
    <row r="93" spans="1:21" x14ac:dyDescent="0.25">
      <c r="A93" s="535">
        <v>31605</v>
      </c>
      <c r="B93" s="536" t="s">
        <v>865</v>
      </c>
      <c r="C93" s="542">
        <v>4.7429999999999998E-4</v>
      </c>
      <c r="D93" s="542">
        <v>4.7750000000000001E-4</v>
      </c>
      <c r="E93" s="538">
        <v>657660.51</v>
      </c>
      <c r="F93" s="538">
        <f t="shared" si="1"/>
        <v>559831</v>
      </c>
      <c r="G93" s="538">
        <v>1747889</v>
      </c>
      <c r="H93" s="538"/>
      <c r="I93" s="539">
        <v>0</v>
      </c>
      <c r="J93" s="539">
        <v>1219722</v>
      </c>
      <c r="K93" s="539">
        <v>0</v>
      </c>
      <c r="L93" s="538">
        <v>32538</v>
      </c>
      <c r="M93" s="538"/>
      <c r="N93" s="539">
        <v>198735</v>
      </c>
      <c r="O93" s="539">
        <v>1409091</v>
      </c>
      <c r="P93" s="539">
        <v>0</v>
      </c>
      <c r="Q93" s="538">
        <v>14054</v>
      </c>
      <c r="R93" s="538"/>
      <c r="S93" s="539">
        <v>170314</v>
      </c>
      <c r="T93" s="540">
        <v>3976</v>
      </c>
      <c r="U93" s="540">
        <v>174290</v>
      </c>
    </row>
    <row r="94" spans="1:21" x14ac:dyDescent="0.25">
      <c r="A94" s="535">
        <v>31700</v>
      </c>
      <c r="B94" s="536" t="s">
        <v>866</v>
      </c>
      <c r="C94" s="542">
        <v>9.8630000000000007E-4</v>
      </c>
      <c r="D94" s="542">
        <v>9.5640000000000005E-4</v>
      </c>
      <c r="E94" s="538">
        <v>1348968.35</v>
      </c>
      <c r="F94" s="538">
        <f t="shared" si="1"/>
        <v>1121304</v>
      </c>
      <c r="G94" s="538">
        <v>3634711</v>
      </c>
      <c r="H94" s="538"/>
      <c r="I94" s="539">
        <v>0</v>
      </c>
      <c r="J94" s="539">
        <v>2536395</v>
      </c>
      <c r="K94" s="539">
        <v>0</v>
      </c>
      <c r="L94" s="538">
        <v>207847</v>
      </c>
      <c r="M94" s="538"/>
      <c r="N94" s="539">
        <v>413267</v>
      </c>
      <c r="O94" s="539">
        <v>2930185</v>
      </c>
      <c r="P94" s="539">
        <v>0</v>
      </c>
      <c r="Q94" s="538">
        <v>67062</v>
      </c>
      <c r="R94" s="538"/>
      <c r="S94" s="539">
        <v>354166</v>
      </c>
      <c r="T94" s="540">
        <v>33539</v>
      </c>
      <c r="U94" s="540">
        <v>387704</v>
      </c>
    </row>
    <row r="95" spans="1:21" x14ac:dyDescent="0.25">
      <c r="A95" s="535">
        <v>31800</v>
      </c>
      <c r="B95" s="536" t="s">
        <v>867</v>
      </c>
      <c r="C95" s="542">
        <v>6.2585999999999996E-3</v>
      </c>
      <c r="D95" s="542">
        <v>6.2275000000000004E-3</v>
      </c>
      <c r="E95" s="538">
        <v>7806407</v>
      </c>
      <c r="F95" s="538">
        <f t="shared" si="1"/>
        <v>7301252</v>
      </c>
      <c r="G95" s="538">
        <v>23064180</v>
      </c>
      <c r="H95" s="538"/>
      <c r="I95" s="539">
        <v>0</v>
      </c>
      <c r="J95" s="539">
        <v>16094778</v>
      </c>
      <c r="K95" s="539">
        <v>0</v>
      </c>
      <c r="L95" s="538">
        <v>57187</v>
      </c>
      <c r="M95" s="538"/>
      <c r="N95" s="539">
        <v>2622397</v>
      </c>
      <c r="O95" s="539">
        <v>18593587</v>
      </c>
      <c r="P95" s="539">
        <v>0</v>
      </c>
      <c r="Q95" s="538">
        <v>121303</v>
      </c>
      <c r="R95" s="538"/>
      <c r="S95" s="539">
        <v>2247369</v>
      </c>
      <c r="T95" s="540">
        <v>-27636</v>
      </c>
      <c r="U95" s="540">
        <v>2219733</v>
      </c>
    </row>
    <row r="96" spans="1:21" x14ac:dyDescent="0.25">
      <c r="A96" s="535">
        <v>31805</v>
      </c>
      <c r="B96" s="536" t="s">
        <v>868</v>
      </c>
      <c r="C96" s="542">
        <v>1.1642E-3</v>
      </c>
      <c r="D96" s="542">
        <v>1.2336999999999999E-3</v>
      </c>
      <c r="E96" s="538">
        <v>1616334.57</v>
      </c>
      <c r="F96" s="538">
        <f t="shared" si="1"/>
        <v>1446416</v>
      </c>
      <c r="G96" s="538">
        <v>4290308</v>
      </c>
      <c r="H96" s="538"/>
      <c r="I96" s="539">
        <v>0</v>
      </c>
      <c r="J96" s="539">
        <v>2993887</v>
      </c>
      <c r="K96" s="539">
        <v>0</v>
      </c>
      <c r="L96" s="538">
        <v>36992</v>
      </c>
      <c r="M96" s="538"/>
      <c r="N96" s="539">
        <v>487808</v>
      </c>
      <c r="O96" s="539">
        <v>3458705</v>
      </c>
      <c r="P96" s="539">
        <v>0</v>
      </c>
      <c r="Q96" s="538">
        <v>179526</v>
      </c>
      <c r="R96" s="538"/>
      <c r="S96" s="539">
        <v>418047</v>
      </c>
      <c r="T96" s="540">
        <v>-36471</v>
      </c>
      <c r="U96" s="540">
        <v>381575</v>
      </c>
    </row>
    <row r="97" spans="1:21" x14ac:dyDescent="0.25">
      <c r="A97" s="535">
        <v>31810</v>
      </c>
      <c r="B97" s="536" t="s">
        <v>869</v>
      </c>
      <c r="C97" s="542">
        <v>1.4873E-3</v>
      </c>
      <c r="D97" s="542">
        <v>1.5008000000000001E-3</v>
      </c>
      <c r="E97" s="538">
        <v>1891630.35</v>
      </c>
      <c r="F97" s="538">
        <f t="shared" si="1"/>
        <v>1759570</v>
      </c>
      <c r="G97" s="538">
        <v>5480995</v>
      </c>
      <c r="H97" s="538"/>
      <c r="I97" s="539">
        <v>0</v>
      </c>
      <c r="J97" s="539">
        <v>3824779</v>
      </c>
      <c r="K97" s="539">
        <v>0</v>
      </c>
      <c r="L97" s="538">
        <v>0</v>
      </c>
      <c r="M97" s="538"/>
      <c r="N97" s="539">
        <v>623189</v>
      </c>
      <c r="O97" s="539">
        <v>4418599</v>
      </c>
      <c r="P97" s="539">
        <v>0</v>
      </c>
      <c r="Q97" s="538">
        <v>382950</v>
      </c>
      <c r="R97" s="538"/>
      <c r="S97" s="539">
        <v>534067</v>
      </c>
      <c r="T97" s="540">
        <v>-133491</v>
      </c>
      <c r="U97" s="540">
        <v>400576</v>
      </c>
    </row>
    <row r="98" spans="1:21" x14ac:dyDescent="0.25">
      <c r="A98" s="535">
        <v>31820</v>
      </c>
      <c r="B98" s="536" t="s">
        <v>870</v>
      </c>
      <c r="C98" s="542">
        <v>1.2941999999999999E-3</v>
      </c>
      <c r="D98" s="542">
        <v>1.2648E-3</v>
      </c>
      <c r="E98" s="538">
        <v>1572198.75</v>
      </c>
      <c r="F98" s="538">
        <f t="shared" si="1"/>
        <v>1482878</v>
      </c>
      <c r="G98" s="538">
        <v>4769383</v>
      </c>
      <c r="H98" s="538"/>
      <c r="I98" s="539">
        <v>0</v>
      </c>
      <c r="J98" s="539">
        <v>3328198</v>
      </c>
      <c r="K98" s="539">
        <v>0</v>
      </c>
      <c r="L98" s="538">
        <v>76134</v>
      </c>
      <c r="M98" s="538"/>
      <c r="N98" s="539">
        <v>542279</v>
      </c>
      <c r="O98" s="539">
        <v>3844921</v>
      </c>
      <c r="P98" s="539">
        <v>0</v>
      </c>
      <c r="Q98" s="538">
        <v>34916</v>
      </c>
      <c r="R98" s="538"/>
      <c r="S98" s="539">
        <v>464728</v>
      </c>
      <c r="T98" s="540">
        <v>8575</v>
      </c>
      <c r="U98" s="540">
        <v>473303</v>
      </c>
    </row>
    <row r="99" spans="1:21" x14ac:dyDescent="0.25">
      <c r="A99" s="535">
        <v>31900</v>
      </c>
      <c r="B99" s="536" t="s">
        <v>871</v>
      </c>
      <c r="C99" s="542">
        <v>3.5747999999999999E-3</v>
      </c>
      <c r="D99" s="542">
        <v>3.4716999999999999E-3</v>
      </c>
      <c r="E99" s="538">
        <v>4322903.46</v>
      </c>
      <c r="F99" s="538">
        <f t="shared" si="1"/>
        <v>4070294</v>
      </c>
      <c r="G99" s="538">
        <v>13173846</v>
      </c>
      <c r="H99" s="538"/>
      <c r="I99" s="539">
        <v>0</v>
      </c>
      <c r="J99" s="539">
        <v>9193049</v>
      </c>
      <c r="K99" s="539">
        <v>0</v>
      </c>
      <c r="L99" s="538">
        <v>287500</v>
      </c>
      <c r="M99" s="538"/>
      <c r="N99" s="539">
        <v>1497866</v>
      </c>
      <c r="O99" s="539">
        <v>10620323</v>
      </c>
      <c r="P99" s="539">
        <v>0</v>
      </c>
      <c r="Q99" s="538">
        <v>81811</v>
      </c>
      <c r="R99" s="538"/>
      <c r="S99" s="539">
        <v>1283657</v>
      </c>
      <c r="T99" s="540">
        <v>50317</v>
      </c>
      <c r="U99" s="540">
        <v>1333974</v>
      </c>
    </row>
    <row r="100" spans="1:21" x14ac:dyDescent="0.25">
      <c r="A100" s="535">
        <v>32000</v>
      </c>
      <c r="B100" s="536" t="s">
        <v>872</v>
      </c>
      <c r="C100" s="542">
        <v>1.3655E-3</v>
      </c>
      <c r="D100" s="542">
        <v>1.3477999999999999E-3</v>
      </c>
      <c r="E100" s="538">
        <v>1736635.47</v>
      </c>
      <c r="F100" s="538">
        <f t="shared" si="1"/>
        <v>1580189</v>
      </c>
      <c r="G100" s="538">
        <v>5032138</v>
      </c>
      <c r="H100" s="538"/>
      <c r="I100" s="539">
        <v>0</v>
      </c>
      <c r="J100" s="539">
        <v>3511555</v>
      </c>
      <c r="K100" s="539">
        <v>0</v>
      </c>
      <c r="L100" s="538">
        <v>84872</v>
      </c>
      <c r="M100" s="538"/>
      <c r="N100" s="539">
        <v>572154</v>
      </c>
      <c r="O100" s="539">
        <v>4056745</v>
      </c>
      <c r="P100" s="539">
        <v>0</v>
      </c>
      <c r="Q100" s="538">
        <v>54573</v>
      </c>
      <c r="R100" s="538"/>
      <c r="S100" s="539">
        <v>490331</v>
      </c>
      <c r="T100" s="540">
        <v>3950</v>
      </c>
      <c r="U100" s="540">
        <v>494281</v>
      </c>
    </row>
    <row r="101" spans="1:21" x14ac:dyDescent="0.25">
      <c r="A101" s="535">
        <v>32005</v>
      </c>
      <c r="B101" s="536" t="s">
        <v>873</v>
      </c>
      <c r="C101" s="542">
        <v>3.4200000000000002E-4</v>
      </c>
      <c r="D101" s="542">
        <v>3.2000000000000003E-4</v>
      </c>
      <c r="E101" s="538">
        <v>438706.42</v>
      </c>
      <c r="F101" s="538">
        <f t="shared" si="1"/>
        <v>375175</v>
      </c>
      <c r="G101" s="538">
        <v>1260338</v>
      </c>
      <c r="H101" s="538"/>
      <c r="I101" s="539">
        <v>0</v>
      </c>
      <c r="J101" s="539">
        <v>879496</v>
      </c>
      <c r="K101" s="539">
        <v>0</v>
      </c>
      <c r="L101" s="538">
        <v>168963</v>
      </c>
      <c r="M101" s="538"/>
      <c r="N101" s="539">
        <v>143300</v>
      </c>
      <c r="O101" s="539">
        <v>1016043</v>
      </c>
      <c r="P101" s="539">
        <v>0</v>
      </c>
      <c r="Q101" s="538">
        <v>0</v>
      </c>
      <c r="R101" s="538"/>
      <c r="S101" s="539">
        <v>122807.07</v>
      </c>
      <c r="T101" s="540">
        <v>52535</v>
      </c>
      <c r="U101" s="540">
        <v>175342</v>
      </c>
    </row>
    <row r="102" spans="1:21" x14ac:dyDescent="0.25">
      <c r="A102" s="535">
        <v>32100</v>
      </c>
      <c r="B102" s="536" t="s">
        <v>874</v>
      </c>
      <c r="C102" s="542">
        <v>9.3099999999999997E-4</v>
      </c>
      <c r="D102" s="542">
        <v>9.6069999999999999E-4</v>
      </c>
      <c r="E102" s="538">
        <v>1165841.2</v>
      </c>
      <c r="F102" s="538">
        <f t="shared" si="1"/>
        <v>1126345</v>
      </c>
      <c r="G102" s="538">
        <v>3430919</v>
      </c>
      <c r="H102" s="538"/>
      <c r="I102" s="539">
        <v>0</v>
      </c>
      <c r="J102" s="539">
        <v>2394184</v>
      </c>
      <c r="K102" s="539">
        <v>0</v>
      </c>
      <c r="L102" s="538">
        <v>0</v>
      </c>
      <c r="M102" s="538"/>
      <c r="N102" s="539">
        <v>390096</v>
      </c>
      <c r="O102" s="539">
        <v>2765895</v>
      </c>
      <c r="P102" s="539">
        <v>0</v>
      </c>
      <c r="Q102" s="538">
        <v>177870</v>
      </c>
      <c r="R102" s="538"/>
      <c r="S102" s="539">
        <v>334308</v>
      </c>
      <c r="T102" s="540">
        <v>-52905</v>
      </c>
      <c r="U102" s="540">
        <v>281403</v>
      </c>
    </row>
    <row r="103" spans="1:21" x14ac:dyDescent="0.25">
      <c r="A103" s="535">
        <v>32200</v>
      </c>
      <c r="B103" s="536" t="s">
        <v>875</v>
      </c>
      <c r="C103" s="542">
        <v>5.4440000000000001E-4</v>
      </c>
      <c r="D103" s="542">
        <v>5.3689999999999999E-4</v>
      </c>
      <c r="E103" s="538">
        <v>701510.23</v>
      </c>
      <c r="F103" s="538">
        <f t="shared" si="1"/>
        <v>629473</v>
      </c>
      <c r="G103" s="538">
        <v>2006222</v>
      </c>
      <c r="H103" s="538"/>
      <c r="I103" s="539">
        <v>0</v>
      </c>
      <c r="J103" s="539">
        <v>1399993</v>
      </c>
      <c r="K103" s="539">
        <v>0</v>
      </c>
      <c r="L103" s="538">
        <v>98537</v>
      </c>
      <c r="M103" s="538"/>
      <c r="N103" s="539">
        <v>228107</v>
      </c>
      <c r="O103" s="539">
        <v>1617350</v>
      </c>
      <c r="P103" s="539">
        <v>0</v>
      </c>
      <c r="Q103" s="538">
        <v>0</v>
      </c>
      <c r="R103" s="538"/>
      <c r="S103" s="539">
        <v>195486</v>
      </c>
      <c r="T103" s="540">
        <v>31827</v>
      </c>
      <c r="U103" s="540">
        <v>227313</v>
      </c>
    </row>
    <row r="104" spans="1:21" x14ac:dyDescent="0.25">
      <c r="A104" s="535">
        <v>32300</v>
      </c>
      <c r="B104" s="536" t="s">
        <v>876</v>
      </c>
      <c r="C104" s="542">
        <v>6.3115999999999997E-3</v>
      </c>
      <c r="D104" s="542">
        <v>6.3192999999999999E-3</v>
      </c>
      <c r="E104" s="538">
        <v>7632464</v>
      </c>
      <c r="F104" s="538">
        <f t="shared" si="1"/>
        <v>7408881</v>
      </c>
      <c r="G104" s="538">
        <v>23259496</v>
      </c>
      <c r="H104" s="538"/>
      <c r="I104" s="539">
        <v>0</v>
      </c>
      <c r="J104" s="539">
        <v>16231075</v>
      </c>
      <c r="K104" s="539">
        <v>0</v>
      </c>
      <c r="L104" s="538">
        <v>0</v>
      </c>
      <c r="M104" s="538"/>
      <c r="N104" s="539">
        <v>2644605</v>
      </c>
      <c r="O104" s="539">
        <v>18751044</v>
      </c>
      <c r="P104" s="539">
        <v>0</v>
      </c>
      <c r="Q104" s="538">
        <v>893547</v>
      </c>
      <c r="R104" s="538"/>
      <c r="S104" s="539">
        <v>2266401</v>
      </c>
      <c r="T104" s="540">
        <v>-296193</v>
      </c>
      <c r="U104" s="540">
        <v>1970208</v>
      </c>
    </row>
    <row r="105" spans="1:21" x14ac:dyDescent="0.25">
      <c r="A105" s="535">
        <v>32305</v>
      </c>
      <c r="B105" s="536" t="s">
        <v>877</v>
      </c>
      <c r="C105" s="542">
        <v>6.3920000000000003E-4</v>
      </c>
      <c r="D105" s="542">
        <v>6.0700000000000001E-4</v>
      </c>
      <c r="E105" s="538">
        <v>900555.57</v>
      </c>
      <c r="F105" s="538">
        <f t="shared" si="1"/>
        <v>711660</v>
      </c>
      <c r="G105" s="538">
        <v>2355579</v>
      </c>
      <c r="H105" s="538"/>
      <c r="I105" s="539">
        <v>0</v>
      </c>
      <c r="J105" s="539">
        <v>1643783</v>
      </c>
      <c r="K105" s="539">
        <v>0</v>
      </c>
      <c r="L105" s="538">
        <v>344274</v>
      </c>
      <c r="M105" s="538"/>
      <c r="N105" s="539">
        <v>267829</v>
      </c>
      <c r="O105" s="539">
        <v>1898990</v>
      </c>
      <c r="P105" s="539">
        <v>0</v>
      </c>
      <c r="Q105" s="538">
        <v>0</v>
      </c>
      <c r="R105" s="538"/>
      <c r="S105" s="539">
        <v>229527</v>
      </c>
      <c r="T105" s="540">
        <v>106331</v>
      </c>
      <c r="U105" s="540">
        <v>335858</v>
      </c>
    </row>
    <row r="106" spans="1:21" x14ac:dyDescent="0.25">
      <c r="A106" s="535">
        <v>32400</v>
      </c>
      <c r="B106" s="536" t="s">
        <v>878</v>
      </c>
      <c r="C106" s="542">
        <v>2.2606000000000002E-3</v>
      </c>
      <c r="D106" s="542">
        <v>2.2020999999999998E-3</v>
      </c>
      <c r="E106" s="538">
        <v>2979773.83</v>
      </c>
      <c r="F106" s="538">
        <f t="shared" si="1"/>
        <v>2581789</v>
      </c>
      <c r="G106" s="538">
        <v>8330759</v>
      </c>
      <c r="H106" s="538"/>
      <c r="I106" s="539">
        <v>0</v>
      </c>
      <c r="J106" s="539">
        <v>5813418</v>
      </c>
      <c r="K106" s="539">
        <v>0</v>
      </c>
      <c r="L106" s="538">
        <v>346162</v>
      </c>
      <c r="M106" s="538"/>
      <c r="N106" s="539">
        <v>947207</v>
      </c>
      <c r="O106" s="539">
        <v>6715985</v>
      </c>
      <c r="P106" s="539">
        <v>0</v>
      </c>
      <c r="Q106" s="538">
        <v>330729</v>
      </c>
      <c r="R106" s="538"/>
      <c r="S106" s="539">
        <v>811748</v>
      </c>
      <c r="T106" s="540">
        <v>-22651</v>
      </c>
      <c r="U106" s="540">
        <v>789096</v>
      </c>
    </row>
    <row r="107" spans="1:21" x14ac:dyDescent="0.25">
      <c r="A107" s="535">
        <v>32405</v>
      </c>
      <c r="B107" s="536" t="s">
        <v>879</v>
      </c>
      <c r="C107" s="542">
        <v>5.7660000000000003E-4</v>
      </c>
      <c r="D107" s="542">
        <v>6.2040000000000001E-4</v>
      </c>
      <c r="E107" s="538">
        <v>825953.43</v>
      </c>
      <c r="F107" s="538">
        <f t="shared" si="1"/>
        <v>727370</v>
      </c>
      <c r="G107" s="538">
        <v>2124885</v>
      </c>
      <c r="H107" s="538"/>
      <c r="I107" s="539">
        <v>0</v>
      </c>
      <c r="J107" s="539">
        <v>1482800</v>
      </c>
      <c r="K107" s="539">
        <v>0</v>
      </c>
      <c r="L107" s="538">
        <v>0</v>
      </c>
      <c r="M107" s="538"/>
      <c r="N107" s="539">
        <v>241599</v>
      </c>
      <c r="O107" s="539">
        <v>1713013</v>
      </c>
      <c r="P107" s="539">
        <v>0</v>
      </c>
      <c r="Q107" s="538">
        <v>151148</v>
      </c>
      <c r="R107" s="538"/>
      <c r="S107" s="539">
        <v>207048</v>
      </c>
      <c r="T107" s="540">
        <v>-45324</v>
      </c>
      <c r="U107" s="540">
        <v>161725</v>
      </c>
    </row>
    <row r="108" spans="1:21" x14ac:dyDescent="0.25">
      <c r="A108" s="535">
        <v>32410</v>
      </c>
      <c r="B108" s="536" t="s">
        <v>880</v>
      </c>
      <c r="C108" s="542">
        <v>8.9840000000000004E-4</v>
      </c>
      <c r="D108" s="542">
        <v>8.6209999999999998E-4</v>
      </c>
      <c r="E108" s="538">
        <v>1179739.27</v>
      </c>
      <c r="F108" s="538">
        <f t="shared" si="1"/>
        <v>1010744</v>
      </c>
      <c r="G108" s="538">
        <v>3310782</v>
      </c>
      <c r="H108" s="538"/>
      <c r="I108" s="539">
        <v>0</v>
      </c>
      <c r="J108" s="539">
        <v>2310349</v>
      </c>
      <c r="K108" s="539">
        <v>0</v>
      </c>
      <c r="L108" s="538">
        <v>295051</v>
      </c>
      <c r="M108" s="538"/>
      <c r="N108" s="539">
        <v>376436</v>
      </c>
      <c r="O108" s="539">
        <v>2669044</v>
      </c>
      <c r="P108" s="539">
        <v>0</v>
      </c>
      <c r="Q108" s="538">
        <v>0</v>
      </c>
      <c r="R108" s="538"/>
      <c r="S108" s="539">
        <v>322602</v>
      </c>
      <c r="T108" s="540">
        <v>90339</v>
      </c>
      <c r="U108" s="540">
        <v>412941</v>
      </c>
    </row>
    <row r="109" spans="1:21" x14ac:dyDescent="0.25">
      <c r="A109" s="535">
        <v>32420</v>
      </c>
      <c r="B109" s="536" t="s">
        <v>881</v>
      </c>
      <c r="C109" s="542">
        <v>2.69E-5</v>
      </c>
      <c r="D109" s="542">
        <v>2.2099999999999998E-5</v>
      </c>
      <c r="E109" s="538"/>
      <c r="F109" s="538">
        <f t="shared" si="1"/>
        <v>25911</v>
      </c>
      <c r="G109" s="538">
        <v>99132</v>
      </c>
      <c r="H109" s="538"/>
      <c r="I109" s="539">
        <v>0</v>
      </c>
      <c r="J109" s="539">
        <v>69177</v>
      </c>
      <c r="K109" s="539">
        <v>0</v>
      </c>
      <c r="L109" s="538">
        <v>71736</v>
      </c>
      <c r="M109" s="538"/>
      <c r="N109" s="539">
        <v>11271</v>
      </c>
      <c r="O109" s="539">
        <v>79917</v>
      </c>
      <c r="P109" s="539">
        <v>0</v>
      </c>
      <c r="Q109" s="538">
        <v>6271</v>
      </c>
      <c r="R109" s="538"/>
      <c r="S109" s="539">
        <v>9659</v>
      </c>
      <c r="T109" s="540">
        <v>23974</v>
      </c>
      <c r="U109" s="540">
        <v>33634</v>
      </c>
    </row>
    <row r="110" spans="1:21" x14ac:dyDescent="0.25">
      <c r="A110" s="535">
        <v>32500</v>
      </c>
      <c r="B110" s="536" t="s">
        <v>882</v>
      </c>
      <c r="C110" s="542">
        <v>5.0863999999999996E-3</v>
      </c>
      <c r="D110" s="542">
        <v>5.0993000000000002E-3</v>
      </c>
      <c r="E110" s="538">
        <v>6419291</v>
      </c>
      <c r="F110" s="538">
        <f t="shared" si="1"/>
        <v>5978527</v>
      </c>
      <c r="G110" s="538">
        <v>18744391</v>
      </c>
      <c r="H110" s="538"/>
      <c r="I110" s="539">
        <v>0</v>
      </c>
      <c r="J110" s="539">
        <v>13080318</v>
      </c>
      <c r="K110" s="539">
        <v>0</v>
      </c>
      <c r="L110" s="538">
        <v>0</v>
      </c>
      <c r="M110" s="538"/>
      <c r="N110" s="539">
        <v>2131237</v>
      </c>
      <c r="O110" s="539">
        <v>15111115</v>
      </c>
      <c r="P110" s="539">
        <v>0</v>
      </c>
      <c r="Q110" s="538">
        <v>218014</v>
      </c>
      <c r="R110" s="538"/>
      <c r="S110" s="539">
        <v>1826450</v>
      </c>
      <c r="T110" s="540">
        <v>-73546</v>
      </c>
      <c r="U110" s="540">
        <v>1752904</v>
      </c>
    </row>
    <row r="111" spans="1:21" x14ac:dyDescent="0.25">
      <c r="A111" s="535">
        <v>32505</v>
      </c>
      <c r="B111" s="536" t="s">
        <v>883</v>
      </c>
      <c r="C111" s="542">
        <v>7.4890000000000004E-4</v>
      </c>
      <c r="D111" s="542">
        <v>7.2389999999999998E-4</v>
      </c>
      <c r="E111" s="538">
        <v>973387.64</v>
      </c>
      <c r="F111" s="538">
        <f t="shared" si="1"/>
        <v>848716</v>
      </c>
      <c r="G111" s="538">
        <v>2759845</v>
      </c>
      <c r="H111" s="538"/>
      <c r="I111" s="539">
        <v>0</v>
      </c>
      <c r="J111" s="539">
        <v>1925891</v>
      </c>
      <c r="K111" s="539">
        <v>0</v>
      </c>
      <c r="L111" s="538">
        <v>127695</v>
      </c>
      <c r="M111" s="538"/>
      <c r="N111" s="539">
        <v>313794</v>
      </c>
      <c r="O111" s="539">
        <v>2224897</v>
      </c>
      <c r="P111" s="539">
        <v>0</v>
      </c>
      <c r="Q111" s="538">
        <v>86301</v>
      </c>
      <c r="R111" s="538"/>
      <c r="S111" s="539">
        <v>268919</v>
      </c>
      <c r="T111" s="540">
        <v>4440</v>
      </c>
      <c r="U111" s="540">
        <v>273359</v>
      </c>
    </row>
    <row r="112" spans="1:21" x14ac:dyDescent="0.25">
      <c r="A112" s="535">
        <v>32600</v>
      </c>
      <c r="B112" s="536" t="s">
        <v>884</v>
      </c>
      <c r="C112" s="542">
        <v>1.8608900000000001E-2</v>
      </c>
      <c r="D112" s="542">
        <v>1.8847699999999998E-2</v>
      </c>
      <c r="E112" s="538">
        <v>23076208</v>
      </c>
      <c r="F112" s="538">
        <f t="shared" si="1"/>
        <v>22097441</v>
      </c>
      <c r="G112" s="538">
        <v>68577481</v>
      </c>
      <c r="H112" s="538"/>
      <c r="I112" s="539">
        <v>0</v>
      </c>
      <c r="J112" s="539">
        <v>47855131</v>
      </c>
      <c r="K112" s="539">
        <v>0</v>
      </c>
      <c r="L112" s="538">
        <v>0</v>
      </c>
      <c r="M112" s="538"/>
      <c r="N112" s="539">
        <v>7797259</v>
      </c>
      <c r="O112" s="539">
        <v>55284920</v>
      </c>
      <c r="P112" s="539">
        <v>0</v>
      </c>
      <c r="Q112" s="538">
        <v>3711299</v>
      </c>
      <c r="R112" s="538"/>
      <c r="S112" s="539">
        <v>6682177</v>
      </c>
      <c r="T112" s="540">
        <v>-1221269</v>
      </c>
      <c r="U112" s="540">
        <v>5460908</v>
      </c>
    </row>
    <row r="113" spans="1:21" x14ac:dyDescent="0.25">
      <c r="A113" s="535">
        <v>32605</v>
      </c>
      <c r="B113" s="536" t="s">
        <v>885</v>
      </c>
      <c r="C113" s="542">
        <v>2.5182E-3</v>
      </c>
      <c r="D113" s="542">
        <v>2.5192999999999999E-3</v>
      </c>
      <c r="E113" s="538">
        <v>3493914.53</v>
      </c>
      <c r="F113" s="538">
        <f t="shared" si="1"/>
        <v>2953680</v>
      </c>
      <c r="G113" s="538">
        <v>9280066</v>
      </c>
      <c r="H113" s="538"/>
      <c r="I113" s="539">
        <v>0</v>
      </c>
      <c r="J113" s="539">
        <v>6475869</v>
      </c>
      <c r="K113" s="539">
        <v>0</v>
      </c>
      <c r="L113" s="538">
        <v>410591</v>
      </c>
      <c r="M113" s="538"/>
      <c r="N113" s="539">
        <v>1055143</v>
      </c>
      <c r="O113" s="539">
        <v>7481285</v>
      </c>
      <c r="P113" s="539">
        <v>0</v>
      </c>
      <c r="Q113" s="538">
        <v>0</v>
      </c>
      <c r="R113" s="538"/>
      <c r="S113" s="539">
        <v>904248</v>
      </c>
      <c r="T113" s="540">
        <v>127483</v>
      </c>
      <c r="U113" s="540">
        <v>1031731</v>
      </c>
    </row>
    <row r="114" spans="1:21" x14ac:dyDescent="0.25">
      <c r="A114" s="535">
        <v>32700</v>
      </c>
      <c r="B114" s="536" t="s">
        <v>886</v>
      </c>
      <c r="C114" s="542">
        <v>1.5299000000000001E-3</v>
      </c>
      <c r="D114" s="542">
        <v>1.4691000000000001E-3</v>
      </c>
      <c r="E114" s="538">
        <v>1954786.69</v>
      </c>
      <c r="F114" s="538">
        <f t="shared" si="1"/>
        <v>1722404</v>
      </c>
      <c r="G114" s="538">
        <v>5637984</v>
      </c>
      <c r="H114" s="538"/>
      <c r="I114" s="539">
        <v>0</v>
      </c>
      <c r="J114" s="539">
        <v>3934331</v>
      </c>
      <c r="K114" s="539">
        <v>0</v>
      </c>
      <c r="L114" s="538">
        <v>332483</v>
      </c>
      <c r="M114" s="538"/>
      <c r="N114" s="539">
        <v>641039</v>
      </c>
      <c r="O114" s="539">
        <v>4545158</v>
      </c>
      <c r="P114" s="539">
        <v>0</v>
      </c>
      <c r="Q114" s="538">
        <v>0</v>
      </c>
      <c r="R114" s="538"/>
      <c r="S114" s="539">
        <v>549364</v>
      </c>
      <c r="T114" s="540">
        <v>96727</v>
      </c>
      <c r="U114" s="540">
        <v>646091</v>
      </c>
    </row>
    <row r="115" spans="1:21" x14ac:dyDescent="0.25">
      <c r="A115" s="535">
        <v>32800</v>
      </c>
      <c r="B115" s="536" t="s">
        <v>887</v>
      </c>
      <c r="C115" s="542">
        <v>2.1009000000000002E-3</v>
      </c>
      <c r="D115" s="542">
        <v>2.1205999999999998E-3</v>
      </c>
      <c r="E115" s="538">
        <v>2972943.62</v>
      </c>
      <c r="F115" s="538">
        <f t="shared" si="1"/>
        <v>2486236</v>
      </c>
      <c r="G115" s="538">
        <v>7742232</v>
      </c>
      <c r="H115" s="538"/>
      <c r="I115" s="539">
        <v>0</v>
      </c>
      <c r="J115" s="539">
        <v>5402729</v>
      </c>
      <c r="K115" s="539">
        <v>0</v>
      </c>
      <c r="L115" s="538">
        <v>248783</v>
      </c>
      <c r="M115" s="538"/>
      <c r="N115" s="539">
        <v>880292</v>
      </c>
      <c r="O115" s="539">
        <v>6241534</v>
      </c>
      <c r="P115" s="539">
        <v>0</v>
      </c>
      <c r="Q115" s="538">
        <v>0</v>
      </c>
      <c r="R115" s="538"/>
      <c r="S115" s="539">
        <v>754402</v>
      </c>
      <c r="T115" s="540">
        <v>75525</v>
      </c>
      <c r="U115" s="540">
        <v>829926</v>
      </c>
    </row>
    <row r="116" spans="1:21" x14ac:dyDescent="0.25">
      <c r="A116" s="535">
        <v>32900</v>
      </c>
      <c r="B116" s="536" t="s">
        <v>888</v>
      </c>
      <c r="C116" s="542">
        <v>6.5848E-3</v>
      </c>
      <c r="D116" s="542">
        <v>6.5382000000000001E-3</v>
      </c>
      <c r="E116" s="538">
        <v>8118508</v>
      </c>
      <c r="F116" s="538">
        <f t="shared" si="1"/>
        <v>7665524</v>
      </c>
      <c r="G116" s="538">
        <v>24266292</v>
      </c>
      <c r="H116" s="538"/>
      <c r="I116" s="539">
        <v>0</v>
      </c>
      <c r="J116" s="539">
        <v>16933643</v>
      </c>
      <c r="K116" s="539">
        <v>0</v>
      </c>
      <c r="L116" s="538">
        <v>44719</v>
      </c>
      <c r="M116" s="538"/>
      <c r="N116" s="539">
        <v>2759077</v>
      </c>
      <c r="O116" s="539">
        <v>19562690</v>
      </c>
      <c r="P116" s="539">
        <v>0</v>
      </c>
      <c r="Q116" s="538">
        <v>453654</v>
      </c>
      <c r="R116" s="538"/>
      <c r="S116" s="539">
        <v>2364503</v>
      </c>
      <c r="T116" s="540">
        <v>-150212</v>
      </c>
      <c r="U116" s="540">
        <v>2214290</v>
      </c>
    </row>
    <row r="117" spans="1:21" x14ac:dyDescent="0.25">
      <c r="A117" s="535">
        <v>32901</v>
      </c>
      <c r="B117" s="536" t="s">
        <v>889</v>
      </c>
      <c r="C117" s="542">
        <v>1.707E-4</v>
      </c>
      <c r="D117" s="542">
        <v>1.8300000000000001E-5</v>
      </c>
      <c r="E117" s="538">
        <v>177902.92</v>
      </c>
      <c r="F117" s="538">
        <f t="shared" si="1"/>
        <v>21455</v>
      </c>
      <c r="G117" s="538">
        <v>629063</v>
      </c>
      <c r="H117" s="538"/>
      <c r="I117" s="539">
        <v>0</v>
      </c>
      <c r="J117" s="539">
        <v>438977</v>
      </c>
      <c r="K117" s="539">
        <v>0</v>
      </c>
      <c r="L117" s="538">
        <v>680868</v>
      </c>
      <c r="M117" s="538"/>
      <c r="N117" s="539">
        <v>71524</v>
      </c>
      <c r="O117" s="539">
        <v>507130</v>
      </c>
      <c r="P117" s="539">
        <v>0</v>
      </c>
      <c r="Q117" s="538">
        <v>0</v>
      </c>
      <c r="R117" s="538"/>
      <c r="S117" s="539">
        <v>61296</v>
      </c>
      <c r="T117" s="540">
        <v>193902</v>
      </c>
      <c r="U117" s="540">
        <v>255198</v>
      </c>
    </row>
    <row r="118" spans="1:21" x14ac:dyDescent="0.25">
      <c r="A118" s="535">
        <v>32905</v>
      </c>
      <c r="B118" s="536" t="s">
        <v>890</v>
      </c>
      <c r="C118" s="542">
        <v>9.433E-4</v>
      </c>
      <c r="D118" s="542">
        <v>1.0241E-3</v>
      </c>
      <c r="E118" s="538">
        <v>1247984.42</v>
      </c>
      <c r="F118" s="538">
        <f t="shared" si="1"/>
        <v>1200676</v>
      </c>
      <c r="G118" s="538">
        <v>3476247</v>
      </c>
      <c r="H118" s="538"/>
      <c r="I118" s="539">
        <v>0</v>
      </c>
      <c r="J118" s="539">
        <v>2425815</v>
      </c>
      <c r="K118" s="539">
        <v>0</v>
      </c>
      <c r="L118" s="538">
        <v>0</v>
      </c>
      <c r="M118" s="538"/>
      <c r="N118" s="539">
        <v>395249</v>
      </c>
      <c r="O118" s="539">
        <v>2802437</v>
      </c>
      <c r="P118" s="539">
        <v>0</v>
      </c>
      <c r="Q118" s="538">
        <v>358561</v>
      </c>
      <c r="R118" s="538"/>
      <c r="S118" s="539">
        <v>338725</v>
      </c>
      <c r="T118" s="540">
        <v>-104302</v>
      </c>
      <c r="U118" s="540">
        <v>234423</v>
      </c>
    </row>
    <row r="119" spans="1:21" x14ac:dyDescent="0.25">
      <c r="A119" s="535">
        <v>32910</v>
      </c>
      <c r="B119" s="536" t="s">
        <v>891</v>
      </c>
      <c r="C119" s="542">
        <v>1.2444999999999999E-3</v>
      </c>
      <c r="D119" s="542">
        <v>1.2997E-3</v>
      </c>
      <c r="E119" s="538">
        <v>1586545.07</v>
      </c>
      <c r="F119" s="538">
        <f t="shared" si="1"/>
        <v>1523796</v>
      </c>
      <c r="G119" s="538">
        <v>4586229</v>
      </c>
      <c r="H119" s="538"/>
      <c r="I119" s="539">
        <v>0</v>
      </c>
      <c r="J119" s="539">
        <v>3200389</v>
      </c>
      <c r="K119" s="539">
        <v>0</v>
      </c>
      <c r="L119" s="538">
        <v>0</v>
      </c>
      <c r="M119" s="538"/>
      <c r="N119" s="539">
        <v>521454</v>
      </c>
      <c r="O119" s="539">
        <v>3697268</v>
      </c>
      <c r="P119" s="539">
        <v>0</v>
      </c>
      <c r="Q119" s="538">
        <v>274723</v>
      </c>
      <c r="R119" s="538"/>
      <c r="S119" s="539">
        <v>446881</v>
      </c>
      <c r="T119" s="540">
        <v>-80418</v>
      </c>
      <c r="U119" s="540">
        <v>366464</v>
      </c>
    </row>
    <row r="120" spans="1:21" x14ac:dyDescent="0.25">
      <c r="A120" s="535">
        <v>32920</v>
      </c>
      <c r="B120" s="536" t="s">
        <v>892</v>
      </c>
      <c r="C120" s="542">
        <v>1.0342000000000001E-3</v>
      </c>
      <c r="D120" s="542">
        <v>1.0089000000000001E-3</v>
      </c>
      <c r="E120" s="538">
        <v>1268550.19</v>
      </c>
      <c r="F120" s="538">
        <f t="shared" si="1"/>
        <v>1182856</v>
      </c>
      <c r="G120" s="538">
        <v>3811232</v>
      </c>
      <c r="H120" s="538"/>
      <c r="I120" s="539">
        <v>0</v>
      </c>
      <c r="J120" s="539">
        <v>2659576</v>
      </c>
      <c r="K120" s="539">
        <v>0</v>
      </c>
      <c r="L120" s="538">
        <v>78041</v>
      </c>
      <c r="M120" s="538"/>
      <c r="N120" s="539">
        <v>433337</v>
      </c>
      <c r="O120" s="539">
        <v>3072490</v>
      </c>
      <c r="P120" s="539">
        <v>0</v>
      </c>
      <c r="Q120" s="538">
        <v>203200</v>
      </c>
      <c r="R120" s="538"/>
      <c r="S120" s="539">
        <v>371366</v>
      </c>
      <c r="T120" s="540">
        <v>-51214</v>
      </c>
      <c r="U120" s="540">
        <v>320152</v>
      </c>
    </row>
    <row r="121" spans="1:21" x14ac:dyDescent="0.25">
      <c r="A121" s="535">
        <v>33000</v>
      </c>
      <c r="B121" s="536" t="s">
        <v>893</v>
      </c>
      <c r="C121" s="542">
        <v>2.5566999999999999E-3</v>
      </c>
      <c r="D121" s="542">
        <v>2.5617000000000001E-3</v>
      </c>
      <c r="E121" s="538">
        <v>3073347.31</v>
      </c>
      <c r="F121" s="538">
        <f t="shared" si="1"/>
        <v>3003391</v>
      </c>
      <c r="G121" s="538">
        <v>9421946</v>
      </c>
      <c r="H121" s="538"/>
      <c r="I121" s="539">
        <v>0</v>
      </c>
      <c r="J121" s="539">
        <v>6574876</v>
      </c>
      <c r="K121" s="539">
        <v>0</v>
      </c>
      <c r="L121" s="538">
        <v>0</v>
      </c>
      <c r="M121" s="538"/>
      <c r="N121" s="539">
        <v>1071275</v>
      </c>
      <c r="O121" s="539">
        <v>7595664</v>
      </c>
      <c r="P121" s="539">
        <v>0</v>
      </c>
      <c r="Q121" s="538">
        <v>294449</v>
      </c>
      <c r="R121" s="538"/>
      <c r="S121" s="539">
        <v>918073</v>
      </c>
      <c r="T121" s="540">
        <v>-93963</v>
      </c>
      <c r="U121" s="540">
        <v>824110</v>
      </c>
    </row>
    <row r="122" spans="1:21" x14ac:dyDescent="0.25">
      <c r="A122" s="535">
        <v>33001</v>
      </c>
      <c r="B122" s="536" t="s">
        <v>894</v>
      </c>
      <c r="C122" s="542">
        <v>6.0399999999999998E-5</v>
      </c>
      <c r="D122" s="542">
        <v>4.32E-5</v>
      </c>
      <c r="E122" s="538">
        <v>62216.63</v>
      </c>
      <c r="F122" s="538">
        <f t="shared" si="1"/>
        <v>50649</v>
      </c>
      <c r="G122" s="538">
        <v>222586</v>
      </c>
      <c r="H122" s="538"/>
      <c r="I122" s="539">
        <v>0</v>
      </c>
      <c r="J122" s="539">
        <v>155326</v>
      </c>
      <c r="K122" s="539">
        <v>0</v>
      </c>
      <c r="L122" s="538">
        <v>141109</v>
      </c>
      <c r="M122" s="538"/>
      <c r="N122" s="539">
        <v>25308</v>
      </c>
      <c r="O122" s="539">
        <v>179442</v>
      </c>
      <c r="P122" s="539">
        <v>0</v>
      </c>
      <c r="Q122" s="538">
        <v>0</v>
      </c>
      <c r="R122" s="538"/>
      <c r="S122" s="539">
        <v>21689</v>
      </c>
      <c r="T122" s="540">
        <v>45543</v>
      </c>
      <c r="U122" s="540">
        <v>67231</v>
      </c>
    </row>
    <row r="123" spans="1:21" x14ac:dyDescent="0.25">
      <c r="A123" s="535">
        <v>33027</v>
      </c>
      <c r="B123" s="536" t="s">
        <v>895</v>
      </c>
      <c r="C123" s="542">
        <v>1.9379999999999999E-4</v>
      </c>
      <c r="D123" s="542">
        <v>1.393E-4</v>
      </c>
      <c r="E123" s="538">
        <v>194016.74</v>
      </c>
      <c r="F123" s="538">
        <f t="shared" si="1"/>
        <v>163318</v>
      </c>
      <c r="G123" s="538">
        <v>714191</v>
      </c>
      <c r="H123" s="538"/>
      <c r="I123" s="539">
        <v>0</v>
      </c>
      <c r="J123" s="539">
        <v>498381</v>
      </c>
      <c r="K123" s="539">
        <v>0</v>
      </c>
      <c r="L123" s="538">
        <v>301901</v>
      </c>
      <c r="M123" s="538"/>
      <c r="N123" s="539">
        <v>81204</v>
      </c>
      <c r="O123" s="539">
        <v>575758</v>
      </c>
      <c r="P123" s="539">
        <v>0</v>
      </c>
      <c r="Q123" s="538">
        <v>0</v>
      </c>
      <c r="R123" s="538"/>
      <c r="S123" s="539">
        <v>69591</v>
      </c>
      <c r="T123" s="540">
        <v>92651</v>
      </c>
      <c r="U123" s="540">
        <v>162242</v>
      </c>
    </row>
    <row r="124" spans="1:21" x14ac:dyDescent="0.25">
      <c r="A124" s="535">
        <v>33100</v>
      </c>
      <c r="B124" s="536" t="s">
        <v>896</v>
      </c>
      <c r="C124" s="542">
        <v>3.6050000000000001E-3</v>
      </c>
      <c r="D124" s="542">
        <v>3.4431000000000002E-3</v>
      </c>
      <c r="E124" s="538">
        <v>4501597.08</v>
      </c>
      <c r="F124" s="538">
        <f t="shared" si="1"/>
        <v>4036763</v>
      </c>
      <c r="G124" s="538">
        <v>13285139</v>
      </c>
      <c r="H124" s="538"/>
      <c r="I124" s="539">
        <v>0</v>
      </c>
      <c r="J124" s="539">
        <v>9270712</v>
      </c>
      <c r="K124" s="539">
        <v>0</v>
      </c>
      <c r="L124" s="538">
        <v>1168797</v>
      </c>
      <c r="M124" s="538"/>
      <c r="N124" s="539">
        <v>1510520</v>
      </c>
      <c r="O124" s="539">
        <v>10710044</v>
      </c>
      <c r="P124" s="539">
        <v>0</v>
      </c>
      <c r="Q124" s="538">
        <v>0</v>
      </c>
      <c r="R124" s="538"/>
      <c r="S124" s="539">
        <v>1294501</v>
      </c>
      <c r="T124" s="540">
        <v>366286</v>
      </c>
      <c r="U124" s="540">
        <v>1660788</v>
      </c>
    </row>
    <row r="125" spans="1:21" x14ac:dyDescent="0.25">
      <c r="A125" s="535">
        <v>33105</v>
      </c>
      <c r="B125" s="536" t="s">
        <v>897</v>
      </c>
      <c r="C125" s="542">
        <v>4.281E-4</v>
      </c>
      <c r="D125" s="542">
        <v>4.616E-4</v>
      </c>
      <c r="E125" s="538">
        <v>584918.04</v>
      </c>
      <c r="F125" s="538">
        <f t="shared" si="1"/>
        <v>541190</v>
      </c>
      <c r="G125" s="538">
        <v>1577633</v>
      </c>
      <c r="H125" s="538"/>
      <c r="I125" s="539">
        <v>0</v>
      </c>
      <c r="J125" s="539">
        <v>1100913</v>
      </c>
      <c r="K125" s="539">
        <v>0</v>
      </c>
      <c r="L125" s="538">
        <v>0</v>
      </c>
      <c r="M125" s="538"/>
      <c r="N125" s="539">
        <v>179377</v>
      </c>
      <c r="O125" s="539">
        <v>1271836</v>
      </c>
      <c r="P125" s="539">
        <v>0</v>
      </c>
      <c r="Q125" s="538">
        <v>131062</v>
      </c>
      <c r="R125" s="538"/>
      <c r="S125" s="539">
        <v>153724</v>
      </c>
      <c r="T125" s="540">
        <v>-38261</v>
      </c>
      <c r="U125" s="540">
        <v>115463</v>
      </c>
    </row>
    <row r="126" spans="1:21" x14ac:dyDescent="0.25">
      <c r="A126" s="535">
        <v>33200</v>
      </c>
      <c r="B126" s="536" t="s">
        <v>898</v>
      </c>
      <c r="C126" s="542">
        <v>1.54092E-2</v>
      </c>
      <c r="D126" s="542">
        <v>1.48632E-2</v>
      </c>
      <c r="E126" s="538">
        <v>18774005</v>
      </c>
      <c r="F126" s="538">
        <f t="shared" si="1"/>
        <v>17425929</v>
      </c>
      <c r="G126" s="538">
        <v>56785953</v>
      </c>
      <c r="H126" s="538"/>
      <c r="I126" s="539">
        <v>0</v>
      </c>
      <c r="J126" s="539">
        <v>39626699</v>
      </c>
      <c r="K126" s="539">
        <v>0</v>
      </c>
      <c r="L126" s="538">
        <v>1779102</v>
      </c>
      <c r="M126" s="538"/>
      <c r="N126" s="539">
        <v>6456563</v>
      </c>
      <c r="O126" s="539">
        <v>45778977</v>
      </c>
      <c r="P126" s="539">
        <v>0</v>
      </c>
      <c r="Q126" s="538">
        <v>1064956</v>
      </c>
      <c r="R126" s="538"/>
      <c r="S126" s="539">
        <v>5533213</v>
      </c>
      <c r="T126" s="540">
        <v>111121</v>
      </c>
      <c r="U126" s="540">
        <v>5644334</v>
      </c>
    </row>
    <row r="127" spans="1:21" x14ac:dyDescent="0.25">
      <c r="A127" s="535">
        <v>33202</v>
      </c>
      <c r="B127" s="536" t="s">
        <v>899</v>
      </c>
      <c r="C127" s="542">
        <v>1.5779999999999999E-4</v>
      </c>
      <c r="D127" s="542">
        <v>1.4809999999999999E-4</v>
      </c>
      <c r="E127" s="538">
        <v>173632.84</v>
      </c>
      <c r="F127" s="538">
        <f t="shared" si="1"/>
        <v>173636</v>
      </c>
      <c r="G127" s="538">
        <v>581524</v>
      </c>
      <c r="H127" s="538"/>
      <c r="I127" s="539">
        <v>0</v>
      </c>
      <c r="J127" s="539">
        <v>405803</v>
      </c>
      <c r="K127" s="539">
        <v>0</v>
      </c>
      <c r="L127" s="538">
        <v>62262</v>
      </c>
      <c r="M127" s="538"/>
      <c r="N127" s="539">
        <v>66119</v>
      </c>
      <c r="O127" s="539">
        <v>468806</v>
      </c>
      <c r="P127" s="539">
        <v>0</v>
      </c>
      <c r="Q127" s="538">
        <v>0</v>
      </c>
      <c r="R127" s="538"/>
      <c r="S127" s="539">
        <v>56664</v>
      </c>
      <c r="T127" s="540">
        <v>20604</v>
      </c>
      <c r="U127" s="540">
        <v>77268</v>
      </c>
    </row>
    <row r="128" spans="1:21" x14ac:dyDescent="0.25">
      <c r="A128" s="535">
        <v>33203</v>
      </c>
      <c r="B128" s="536" t="s">
        <v>900</v>
      </c>
      <c r="C128" s="542">
        <v>1.3689999999999999E-4</v>
      </c>
      <c r="D128" s="542">
        <v>1.203E-4</v>
      </c>
      <c r="E128" s="538">
        <v>147123.46</v>
      </c>
      <c r="F128" s="538">
        <f t="shared" si="1"/>
        <v>141042</v>
      </c>
      <c r="G128" s="538">
        <v>504504</v>
      </c>
      <c r="H128" s="538"/>
      <c r="I128" s="539">
        <v>0</v>
      </c>
      <c r="J128" s="539">
        <v>352056</v>
      </c>
      <c r="K128" s="539">
        <v>0</v>
      </c>
      <c r="L128" s="538">
        <v>54077</v>
      </c>
      <c r="M128" s="538"/>
      <c r="N128" s="539">
        <v>57362</v>
      </c>
      <c r="O128" s="539">
        <v>406714</v>
      </c>
      <c r="P128" s="539">
        <v>0</v>
      </c>
      <c r="Q128" s="538">
        <v>0</v>
      </c>
      <c r="R128" s="538"/>
      <c r="S128" s="539">
        <v>49159</v>
      </c>
      <c r="T128" s="540">
        <v>15299</v>
      </c>
      <c r="U128" s="540">
        <v>64458</v>
      </c>
    </row>
    <row r="129" spans="1:21" x14ac:dyDescent="0.25">
      <c r="A129" s="535">
        <v>33204</v>
      </c>
      <c r="B129" s="536" t="s">
        <v>901</v>
      </c>
      <c r="C129" s="542">
        <v>4.1550000000000002E-4</v>
      </c>
      <c r="D129" s="542">
        <v>4.013E-4</v>
      </c>
      <c r="E129" s="538">
        <v>438419.11</v>
      </c>
      <c r="F129" s="538">
        <f t="shared" si="1"/>
        <v>470493</v>
      </c>
      <c r="G129" s="538">
        <v>1531200</v>
      </c>
      <c r="H129" s="538"/>
      <c r="I129" s="539">
        <v>0</v>
      </c>
      <c r="J129" s="539">
        <v>1068511</v>
      </c>
      <c r="K129" s="539">
        <v>0</v>
      </c>
      <c r="L129" s="538">
        <v>0</v>
      </c>
      <c r="M129" s="538"/>
      <c r="N129" s="539">
        <v>174097</v>
      </c>
      <c r="O129" s="539">
        <v>1234403</v>
      </c>
      <c r="P129" s="539">
        <v>0</v>
      </c>
      <c r="Q129" s="538">
        <v>52982</v>
      </c>
      <c r="R129" s="538"/>
      <c r="S129" s="539">
        <v>149200</v>
      </c>
      <c r="T129" s="540">
        <v>-18392</v>
      </c>
      <c r="U129" s="540">
        <v>130808</v>
      </c>
    </row>
    <row r="130" spans="1:21" x14ac:dyDescent="0.25">
      <c r="A130" s="535">
        <v>33205</v>
      </c>
      <c r="B130" s="536" t="s">
        <v>902</v>
      </c>
      <c r="C130" s="542">
        <v>1.2324E-3</v>
      </c>
      <c r="D130" s="542">
        <v>1.2283999999999999E-3</v>
      </c>
      <c r="E130" s="538">
        <v>1619084.14</v>
      </c>
      <c r="F130" s="538">
        <f t="shared" si="1"/>
        <v>1440202</v>
      </c>
      <c r="G130" s="538">
        <v>4541638</v>
      </c>
      <c r="H130" s="538"/>
      <c r="I130" s="539">
        <v>0</v>
      </c>
      <c r="J130" s="539">
        <v>3169272</v>
      </c>
      <c r="K130" s="539">
        <v>0</v>
      </c>
      <c r="L130" s="538">
        <v>94114</v>
      </c>
      <c r="M130" s="538"/>
      <c r="N130" s="539">
        <v>516384</v>
      </c>
      <c r="O130" s="539">
        <v>3661320</v>
      </c>
      <c r="P130" s="539">
        <v>0</v>
      </c>
      <c r="Q130" s="538">
        <v>0</v>
      </c>
      <c r="R130" s="538"/>
      <c r="S130" s="539">
        <v>442536</v>
      </c>
      <c r="T130" s="540">
        <v>28326</v>
      </c>
      <c r="U130" s="540">
        <v>470863</v>
      </c>
    </row>
    <row r="131" spans="1:21" x14ac:dyDescent="0.25">
      <c r="A131" s="535">
        <v>33206</v>
      </c>
      <c r="B131" s="536" t="s">
        <v>903</v>
      </c>
      <c r="C131" s="542">
        <v>1.032E-4</v>
      </c>
      <c r="D131" s="542">
        <v>9.8800000000000003E-5</v>
      </c>
      <c r="E131" s="538">
        <v>120344.65</v>
      </c>
      <c r="F131" s="538">
        <f t="shared" ref="F131:F194" si="2">D131*$F$298</f>
        <v>115835</v>
      </c>
      <c r="G131" s="538">
        <v>380312</v>
      </c>
      <c r="H131" s="538"/>
      <c r="I131" s="539">
        <v>0</v>
      </c>
      <c r="J131" s="539">
        <v>265392</v>
      </c>
      <c r="K131" s="539">
        <v>0</v>
      </c>
      <c r="L131" s="538">
        <v>38984</v>
      </c>
      <c r="M131" s="538"/>
      <c r="N131" s="539">
        <v>43242</v>
      </c>
      <c r="O131" s="539">
        <v>306595</v>
      </c>
      <c r="P131" s="539">
        <v>0</v>
      </c>
      <c r="Q131" s="538">
        <v>0</v>
      </c>
      <c r="R131" s="538"/>
      <c r="S131" s="539">
        <v>37058</v>
      </c>
      <c r="T131" s="540">
        <v>13090</v>
      </c>
      <c r="U131" s="540">
        <v>50148</v>
      </c>
    </row>
    <row r="132" spans="1:21" x14ac:dyDescent="0.25">
      <c r="A132" s="535">
        <v>33207</v>
      </c>
      <c r="B132" s="536" t="s">
        <v>1117</v>
      </c>
      <c r="C132" s="542">
        <v>1.02E-4</v>
      </c>
      <c r="D132" s="542">
        <v>0</v>
      </c>
      <c r="E132" s="538">
        <v>97304.59</v>
      </c>
      <c r="F132" s="538">
        <f t="shared" si="2"/>
        <v>0</v>
      </c>
      <c r="G132" s="538">
        <v>375890</v>
      </c>
      <c r="H132" s="538"/>
      <c r="I132" s="539">
        <v>0</v>
      </c>
      <c r="J132" s="539">
        <v>262306</v>
      </c>
      <c r="K132" s="539">
        <v>0</v>
      </c>
      <c r="L132" s="538">
        <v>407226</v>
      </c>
      <c r="M132" s="538"/>
      <c r="N132" s="539">
        <v>42739</v>
      </c>
      <c r="O132" s="539">
        <v>303030</v>
      </c>
      <c r="P132" s="539">
        <v>0</v>
      </c>
      <c r="Q132" s="538">
        <v>0</v>
      </c>
      <c r="R132" s="538"/>
      <c r="S132" s="539">
        <v>36626.67</v>
      </c>
      <c r="T132" s="540">
        <v>112805</v>
      </c>
      <c r="U132" s="540">
        <v>149432</v>
      </c>
    </row>
    <row r="133" spans="1:21" x14ac:dyDescent="0.25">
      <c r="A133" s="535">
        <v>33208</v>
      </c>
      <c r="B133" s="536" t="s">
        <v>1118</v>
      </c>
      <c r="C133" s="542">
        <v>3.2299999999999999E-5</v>
      </c>
      <c r="D133" s="542">
        <v>0</v>
      </c>
      <c r="E133" s="538">
        <v>32349.87</v>
      </c>
      <c r="F133" s="538">
        <f t="shared" si="2"/>
        <v>0</v>
      </c>
      <c r="G133" s="538">
        <v>119032</v>
      </c>
      <c r="H133" s="538"/>
      <c r="I133" s="539">
        <v>0</v>
      </c>
      <c r="J133" s="539">
        <v>83064</v>
      </c>
      <c r="K133" s="539">
        <v>0</v>
      </c>
      <c r="L133" s="538">
        <v>130158</v>
      </c>
      <c r="M133" s="538"/>
      <c r="N133" s="539">
        <v>13534</v>
      </c>
      <c r="O133" s="539">
        <v>95960</v>
      </c>
      <c r="P133" s="539">
        <v>0</v>
      </c>
      <c r="Q133" s="538">
        <v>0</v>
      </c>
      <c r="R133" s="538"/>
      <c r="S133" s="539">
        <v>11598</v>
      </c>
      <c r="T133" s="540">
        <v>36055</v>
      </c>
      <c r="U133" s="540">
        <v>47653</v>
      </c>
    </row>
    <row r="134" spans="1:21" x14ac:dyDescent="0.25">
      <c r="A134" s="535">
        <v>33209</v>
      </c>
      <c r="B134" s="536" t="s">
        <v>1119</v>
      </c>
      <c r="C134" s="542">
        <v>5.7000000000000003E-5</v>
      </c>
      <c r="D134" s="542">
        <v>0</v>
      </c>
      <c r="E134" s="538">
        <v>55724.23</v>
      </c>
      <c r="F134" s="538">
        <f t="shared" si="2"/>
        <v>0</v>
      </c>
      <c r="G134" s="538">
        <v>210056</v>
      </c>
      <c r="H134" s="538"/>
      <c r="I134" s="539">
        <v>0</v>
      </c>
      <c r="J134" s="539">
        <v>146583</v>
      </c>
      <c r="K134" s="539">
        <v>0</v>
      </c>
      <c r="L134" s="538">
        <v>228623</v>
      </c>
      <c r="M134" s="538"/>
      <c r="N134" s="539">
        <v>23883</v>
      </c>
      <c r="O134" s="539">
        <v>169341</v>
      </c>
      <c r="P134" s="539">
        <v>0</v>
      </c>
      <c r="Q134" s="538">
        <v>0</v>
      </c>
      <c r="R134" s="538"/>
      <c r="S134" s="539">
        <v>20468</v>
      </c>
      <c r="T134" s="540">
        <v>63331</v>
      </c>
      <c r="U134" s="540">
        <v>83798</v>
      </c>
    </row>
    <row r="135" spans="1:21" x14ac:dyDescent="0.25">
      <c r="A135" s="535">
        <v>33300</v>
      </c>
      <c r="B135" s="536" t="s">
        <v>904</v>
      </c>
      <c r="C135" s="542">
        <v>2.2807000000000001E-3</v>
      </c>
      <c r="D135" s="542">
        <v>2.2918999999999999E-3</v>
      </c>
      <c r="E135" s="538">
        <v>2909781.2</v>
      </c>
      <c r="F135" s="538">
        <f t="shared" si="2"/>
        <v>2687072</v>
      </c>
      <c r="G135" s="538">
        <v>8404831</v>
      </c>
      <c r="H135" s="538"/>
      <c r="I135" s="539">
        <v>0</v>
      </c>
      <c r="J135" s="539">
        <v>5865107</v>
      </c>
      <c r="K135" s="539">
        <v>0</v>
      </c>
      <c r="L135" s="538">
        <v>0</v>
      </c>
      <c r="M135" s="538"/>
      <c r="N135" s="539">
        <v>955629</v>
      </c>
      <c r="O135" s="539">
        <v>6775700</v>
      </c>
      <c r="P135" s="539">
        <v>0</v>
      </c>
      <c r="Q135" s="538">
        <v>469350</v>
      </c>
      <c r="R135" s="538"/>
      <c r="S135" s="539">
        <v>818965</v>
      </c>
      <c r="T135" s="540">
        <v>-166302</v>
      </c>
      <c r="U135" s="540">
        <v>652663</v>
      </c>
    </row>
    <row r="136" spans="1:21" x14ac:dyDescent="0.25">
      <c r="A136" s="535">
        <v>33305</v>
      </c>
      <c r="B136" s="536" t="s">
        <v>905</v>
      </c>
      <c r="C136" s="542">
        <v>6.2299999999999996E-4</v>
      </c>
      <c r="D136" s="542">
        <v>6.4959999999999996E-4</v>
      </c>
      <c r="E136" s="538">
        <v>916180.53</v>
      </c>
      <c r="F136" s="538">
        <f t="shared" si="2"/>
        <v>761605</v>
      </c>
      <c r="G136" s="538">
        <v>2295878</v>
      </c>
      <c r="H136" s="538"/>
      <c r="I136" s="539">
        <v>0</v>
      </c>
      <c r="J136" s="539">
        <v>1602123</v>
      </c>
      <c r="K136" s="539">
        <v>0</v>
      </c>
      <c r="L136" s="538">
        <v>0</v>
      </c>
      <c r="M136" s="538"/>
      <c r="N136" s="539">
        <v>261041</v>
      </c>
      <c r="O136" s="539">
        <v>1850862</v>
      </c>
      <c r="P136" s="539">
        <v>0</v>
      </c>
      <c r="Q136" s="538">
        <v>123298</v>
      </c>
      <c r="R136" s="538"/>
      <c r="S136" s="539">
        <v>223710</v>
      </c>
      <c r="T136" s="540">
        <v>-43288</v>
      </c>
      <c r="U136" s="540">
        <v>180422</v>
      </c>
    </row>
    <row r="137" spans="1:21" x14ac:dyDescent="0.25">
      <c r="A137" s="535">
        <v>33400</v>
      </c>
      <c r="B137" s="536" t="s">
        <v>906</v>
      </c>
      <c r="C137" s="542">
        <v>2.0228599999999999E-2</v>
      </c>
      <c r="D137" s="542">
        <v>1.9956600000000001E-2</v>
      </c>
      <c r="E137" s="538">
        <v>25562094</v>
      </c>
      <c r="F137" s="538">
        <f t="shared" si="2"/>
        <v>23397539</v>
      </c>
      <c r="G137" s="538">
        <v>74546396</v>
      </c>
      <c r="H137" s="538"/>
      <c r="I137" s="539">
        <v>0</v>
      </c>
      <c r="J137" s="539">
        <v>52020394</v>
      </c>
      <c r="K137" s="539">
        <v>0</v>
      </c>
      <c r="L137" s="538">
        <v>1953153</v>
      </c>
      <c r="M137" s="538"/>
      <c r="N137" s="539">
        <v>8475925</v>
      </c>
      <c r="O137" s="539">
        <v>60096865</v>
      </c>
      <c r="P137" s="539">
        <v>0</v>
      </c>
      <c r="Q137" s="538">
        <v>0</v>
      </c>
      <c r="R137" s="538"/>
      <c r="S137" s="539">
        <v>7263787</v>
      </c>
      <c r="T137" s="540">
        <v>604806</v>
      </c>
      <c r="U137" s="540">
        <v>7868593</v>
      </c>
    </row>
    <row r="138" spans="1:21" x14ac:dyDescent="0.25">
      <c r="A138" s="535">
        <v>33402</v>
      </c>
      <c r="B138" s="536" t="s">
        <v>907</v>
      </c>
      <c r="C138" s="542">
        <v>1.459E-4</v>
      </c>
      <c r="D138" s="542">
        <v>1.3980000000000001E-4</v>
      </c>
      <c r="E138" s="538">
        <v>145679.1</v>
      </c>
      <c r="F138" s="538">
        <f t="shared" si="2"/>
        <v>163904</v>
      </c>
      <c r="G138" s="538">
        <v>537670</v>
      </c>
      <c r="H138" s="538"/>
      <c r="I138" s="539">
        <v>0</v>
      </c>
      <c r="J138" s="539">
        <v>375200</v>
      </c>
      <c r="K138" s="539">
        <v>0</v>
      </c>
      <c r="L138" s="538">
        <v>41152</v>
      </c>
      <c r="M138" s="538"/>
      <c r="N138" s="539">
        <v>61133</v>
      </c>
      <c r="O138" s="539">
        <v>433452</v>
      </c>
      <c r="P138" s="539">
        <v>0</v>
      </c>
      <c r="Q138" s="538">
        <v>4337</v>
      </c>
      <c r="R138" s="538"/>
      <c r="S138" s="539">
        <v>52391</v>
      </c>
      <c r="T138" s="540">
        <v>13548</v>
      </c>
      <c r="U138" s="540">
        <v>65939</v>
      </c>
    </row>
    <row r="139" spans="1:21" x14ac:dyDescent="0.25">
      <c r="A139" s="535">
        <v>33403</v>
      </c>
      <c r="B139" s="536" t="s">
        <v>908</v>
      </c>
      <c r="C139" s="542">
        <v>0</v>
      </c>
      <c r="D139" s="542">
        <v>0</v>
      </c>
      <c r="E139" s="538"/>
      <c r="F139" s="538">
        <f t="shared" si="2"/>
        <v>0</v>
      </c>
      <c r="G139" s="538">
        <v>0</v>
      </c>
      <c r="H139" s="538"/>
      <c r="I139" s="539">
        <v>0</v>
      </c>
      <c r="J139" s="539">
        <v>0</v>
      </c>
      <c r="K139" s="539">
        <v>0</v>
      </c>
      <c r="L139" s="538">
        <v>0</v>
      </c>
      <c r="M139" s="538"/>
      <c r="N139" s="539">
        <v>0</v>
      </c>
      <c r="O139" s="539">
        <v>0</v>
      </c>
      <c r="P139" s="539">
        <v>0</v>
      </c>
      <c r="Q139" s="538">
        <v>141446</v>
      </c>
      <c r="R139" s="538"/>
      <c r="S139" s="539">
        <v>0</v>
      </c>
      <c r="T139" s="540">
        <v>-50697</v>
      </c>
      <c r="U139" s="540">
        <v>-50697</v>
      </c>
    </row>
    <row r="140" spans="1:21" x14ac:dyDescent="0.25">
      <c r="A140" s="535">
        <v>33405</v>
      </c>
      <c r="B140" s="536" t="s">
        <v>909</v>
      </c>
      <c r="C140" s="542">
        <v>2.0105000000000001E-3</v>
      </c>
      <c r="D140" s="542">
        <v>2.0503000000000001E-3</v>
      </c>
      <c r="E140" s="538">
        <v>2702853.31</v>
      </c>
      <c r="F140" s="538">
        <f t="shared" si="2"/>
        <v>2403815</v>
      </c>
      <c r="G140" s="538">
        <v>7409091</v>
      </c>
      <c r="H140" s="538"/>
      <c r="I140" s="539">
        <v>0</v>
      </c>
      <c r="J140" s="539">
        <v>5170254</v>
      </c>
      <c r="K140" s="539">
        <v>0</v>
      </c>
      <c r="L140" s="538">
        <v>619209</v>
      </c>
      <c r="M140" s="538"/>
      <c r="N140" s="539">
        <v>842414</v>
      </c>
      <c r="O140" s="539">
        <v>5972966</v>
      </c>
      <c r="P140" s="539">
        <v>0</v>
      </c>
      <c r="Q140" s="538">
        <v>39634</v>
      </c>
      <c r="R140" s="538"/>
      <c r="S140" s="539">
        <v>721940</v>
      </c>
      <c r="T140" s="540">
        <v>210960</v>
      </c>
      <c r="U140" s="540">
        <v>932900</v>
      </c>
    </row>
    <row r="141" spans="1:21" x14ac:dyDescent="0.25">
      <c r="A141" s="543">
        <v>33500</v>
      </c>
      <c r="B141" s="536" t="s">
        <v>910</v>
      </c>
      <c r="C141" s="542">
        <v>3.3027E-3</v>
      </c>
      <c r="D141" s="542">
        <v>3.2431000000000001E-3</v>
      </c>
      <c r="E141" s="538">
        <v>4096526.61</v>
      </c>
      <c r="F141" s="538">
        <f t="shared" si="2"/>
        <v>3802279</v>
      </c>
      <c r="G141" s="538">
        <v>12171103</v>
      </c>
      <c r="H141" s="538"/>
      <c r="I141" s="539">
        <v>0</v>
      </c>
      <c r="J141" s="539">
        <v>8493309</v>
      </c>
      <c r="K141" s="539">
        <v>0</v>
      </c>
      <c r="L141" s="538">
        <v>533766</v>
      </c>
      <c r="M141" s="538"/>
      <c r="N141" s="539">
        <v>1383854</v>
      </c>
      <c r="O141" s="539">
        <v>9811945</v>
      </c>
      <c r="P141" s="539">
        <v>0</v>
      </c>
      <c r="Q141" s="538">
        <v>0</v>
      </c>
      <c r="R141" s="538"/>
      <c r="S141" s="539">
        <v>1185950</v>
      </c>
      <c r="T141" s="540">
        <v>175433</v>
      </c>
      <c r="U141" s="540">
        <v>1361383</v>
      </c>
    </row>
    <row r="142" spans="1:21" x14ac:dyDescent="0.25">
      <c r="A142" s="543">
        <v>33501</v>
      </c>
      <c r="B142" s="536" t="s">
        <v>911</v>
      </c>
      <c r="C142" s="542">
        <v>6.86E-5</v>
      </c>
      <c r="D142" s="542">
        <v>6.1099999999999994E-5</v>
      </c>
      <c r="E142" s="538">
        <v>72825.36</v>
      </c>
      <c r="F142" s="538">
        <f t="shared" si="2"/>
        <v>71635</v>
      </c>
      <c r="G142" s="538">
        <v>252805</v>
      </c>
      <c r="H142" s="538"/>
      <c r="I142" s="539">
        <v>0</v>
      </c>
      <c r="J142" s="539">
        <v>176414</v>
      </c>
      <c r="K142" s="539">
        <v>0</v>
      </c>
      <c r="L142" s="538">
        <v>20962</v>
      </c>
      <c r="M142" s="538"/>
      <c r="N142" s="539">
        <v>28744</v>
      </c>
      <c r="O142" s="539">
        <v>203803</v>
      </c>
      <c r="P142" s="539">
        <v>0</v>
      </c>
      <c r="Q142" s="538">
        <v>16475</v>
      </c>
      <c r="R142" s="538"/>
      <c r="S142" s="539">
        <v>24633</v>
      </c>
      <c r="T142" s="540">
        <v>-98</v>
      </c>
      <c r="U142" s="540">
        <v>24535</v>
      </c>
    </row>
    <row r="143" spans="1:21" x14ac:dyDescent="0.25">
      <c r="A143" s="543">
        <v>33600</v>
      </c>
      <c r="B143" s="536" t="s">
        <v>912</v>
      </c>
      <c r="C143" s="542">
        <v>1.0561299999999999E-2</v>
      </c>
      <c r="D143" s="542">
        <v>1.03304E-2</v>
      </c>
      <c r="E143" s="538">
        <v>12906117</v>
      </c>
      <c r="F143" s="538">
        <f t="shared" si="2"/>
        <v>12111579</v>
      </c>
      <c r="G143" s="538">
        <v>38920482</v>
      </c>
      <c r="H143" s="538"/>
      <c r="I143" s="539">
        <v>0</v>
      </c>
      <c r="J143" s="539">
        <v>27159714</v>
      </c>
      <c r="K143" s="539">
        <v>0</v>
      </c>
      <c r="L143" s="538">
        <v>642785</v>
      </c>
      <c r="M143" s="538"/>
      <c r="N143" s="539">
        <v>4425259</v>
      </c>
      <c r="O143" s="539">
        <v>31376418</v>
      </c>
      <c r="P143" s="539">
        <v>0</v>
      </c>
      <c r="Q143" s="538">
        <v>604712</v>
      </c>
      <c r="R143" s="538"/>
      <c r="S143" s="539">
        <v>3792404</v>
      </c>
      <c r="T143" s="540">
        <v>-38686</v>
      </c>
      <c r="U143" s="540">
        <v>3753718</v>
      </c>
    </row>
    <row r="144" spans="1:21" x14ac:dyDescent="0.25">
      <c r="A144" s="535">
        <v>33605</v>
      </c>
      <c r="B144" s="536" t="s">
        <v>913</v>
      </c>
      <c r="C144" s="542">
        <v>1.4997000000000001E-3</v>
      </c>
      <c r="D144" s="542">
        <v>1.5096E-3</v>
      </c>
      <c r="E144" s="538">
        <v>2044222.08</v>
      </c>
      <c r="F144" s="538">
        <f t="shared" si="2"/>
        <v>1769887</v>
      </c>
      <c r="G144" s="538">
        <v>5526691</v>
      </c>
      <c r="H144" s="538"/>
      <c r="I144" s="539">
        <v>0</v>
      </c>
      <c r="J144" s="539">
        <v>3856668</v>
      </c>
      <c r="K144" s="539">
        <v>0</v>
      </c>
      <c r="L144" s="538">
        <v>130303</v>
      </c>
      <c r="M144" s="538"/>
      <c r="N144" s="539">
        <v>628385</v>
      </c>
      <c r="O144" s="539">
        <v>4455438</v>
      </c>
      <c r="P144" s="539">
        <v>0</v>
      </c>
      <c r="Q144" s="538">
        <v>0</v>
      </c>
      <c r="R144" s="538"/>
      <c r="S144" s="539">
        <v>538520</v>
      </c>
      <c r="T144" s="540">
        <v>40500</v>
      </c>
      <c r="U144" s="540">
        <v>579019</v>
      </c>
    </row>
    <row r="145" spans="1:21" x14ac:dyDescent="0.25">
      <c r="A145" s="535">
        <v>33700</v>
      </c>
      <c r="B145" s="536" t="s">
        <v>914</v>
      </c>
      <c r="C145" s="542">
        <v>8.1840000000000005E-4</v>
      </c>
      <c r="D145" s="542">
        <v>8.1209999999999995E-4</v>
      </c>
      <c r="E145" s="538">
        <v>1017503.02</v>
      </c>
      <c r="F145" s="538">
        <f t="shared" si="2"/>
        <v>952123</v>
      </c>
      <c r="G145" s="538">
        <v>3015966</v>
      </c>
      <c r="H145" s="538"/>
      <c r="I145" s="539">
        <v>0</v>
      </c>
      <c r="J145" s="539">
        <v>2104619</v>
      </c>
      <c r="K145" s="539">
        <v>0</v>
      </c>
      <c r="L145" s="538">
        <v>42779</v>
      </c>
      <c r="M145" s="538"/>
      <c r="N145" s="539">
        <v>342915</v>
      </c>
      <c r="O145" s="539">
        <v>2431373</v>
      </c>
      <c r="P145" s="539">
        <v>0</v>
      </c>
      <c r="Q145" s="538">
        <v>0</v>
      </c>
      <c r="R145" s="538"/>
      <c r="S145" s="539">
        <v>293875</v>
      </c>
      <c r="T145" s="540">
        <v>14164</v>
      </c>
      <c r="U145" s="540">
        <v>308040</v>
      </c>
    </row>
    <row r="146" spans="1:21" x14ac:dyDescent="0.25">
      <c r="A146" s="535">
        <v>33800</v>
      </c>
      <c r="B146" s="536" t="s">
        <v>915</v>
      </c>
      <c r="C146" s="542">
        <v>5.754E-4</v>
      </c>
      <c r="D146" s="542">
        <v>5.5900000000000004E-4</v>
      </c>
      <c r="E146" s="538">
        <v>728512.41</v>
      </c>
      <c r="F146" s="538">
        <f t="shared" si="2"/>
        <v>655383</v>
      </c>
      <c r="G146" s="538">
        <v>2120463</v>
      </c>
      <c r="H146" s="538"/>
      <c r="I146" s="539">
        <v>0</v>
      </c>
      <c r="J146" s="539">
        <v>1479714</v>
      </c>
      <c r="K146" s="539">
        <v>0</v>
      </c>
      <c r="L146" s="538">
        <v>71055</v>
      </c>
      <c r="M146" s="538"/>
      <c r="N146" s="539">
        <v>241097</v>
      </c>
      <c r="O146" s="539">
        <v>1709448</v>
      </c>
      <c r="P146" s="539">
        <v>0</v>
      </c>
      <c r="Q146" s="538">
        <v>28755</v>
      </c>
      <c r="R146" s="538"/>
      <c r="S146" s="539">
        <v>206618</v>
      </c>
      <c r="T146" s="540">
        <v>9377</v>
      </c>
      <c r="U146" s="540">
        <v>215994</v>
      </c>
    </row>
    <row r="147" spans="1:21" x14ac:dyDescent="0.25">
      <c r="A147" s="535">
        <v>33900</v>
      </c>
      <c r="B147" s="536" t="s">
        <v>916</v>
      </c>
      <c r="C147" s="542">
        <v>2.9675999999999999E-3</v>
      </c>
      <c r="D147" s="542">
        <v>3.0404E-3</v>
      </c>
      <c r="E147" s="538">
        <v>3731731.74</v>
      </c>
      <c r="F147" s="538">
        <f t="shared" si="2"/>
        <v>3564629</v>
      </c>
      <c r="G147" s="538">
        <v>10936194</v>
      </c>
      <c r="H147" s="538"/>
      <c r="I147" s="539">
        <v>0</v>
      </c>
      <c r="J147" s="539">
        <v>7631557</v>
      </c>
      <c r="K147" s="539">
        <v>0</v>
      </c>
      <c r="L147" s="538">
        <v>0</v>
      </c>
      <c r="M147" s="538"/>
      <c r="N147" s="539">
        <v>1243445</v>
      </c>
      <c r="O147" s="539">
        <v>8816401</v>
      </c>
      <c r="P147" s="539">
        <v>0</v>
      </c>
      <c r="Q147" s="538">
        <v>487731</v>
      </c>
      <c r="R147" s="538"/>
      <c r="S147" s="539">
        <v>1065621</v>
      </c>
      <c r="T147" s="540">
        <v>-148770</v>
      </c>
      <c r="U147" s="540">
        <v>916851</v>
      </c>
    </row>
    <row r="148" spans="1:21" x14ac:dyDescent="0.25">
      <c r="A148" s="535">
        <v>34000</v>
      </c>
      <c r="B148" s="536" t="s">
        <v>917</v>
      </c>
      <c r="C148" s="542">
        <v>1.3382999999999999E-3</v>
      </c>
      <c r="D148" s="542">
        <v>1.3651E-3</v>
      </c>
      <c r="E148" s="538">
        <v>1574249.23</v>
      </c>
      <c r="F148" s="538">
        <f t="shared" si="2"/>
        <v>1600472</v>
      </c>
      <c r="G148" s="538">
        <v>4931900</v>
      </c>
      <c r="H148" s="538"/>
      <c r="I148" s="539">
        <v>0</v>
      </c>
      <c r="J148" s="539">
        <v>3441607</v>
      </c>
      <c r="K148" s="539">
        <v>0</v>
      </c>
      <c r="L148" s="538">
        <v>0</v>
      </c>
      <c r="M148" s="538"/>
      <c r="N148" s="539">
        <v>560757</v>
      </c>
      <c r="O148" s="539">
        <v>3975937</v>
      </c>
      <c r="P148" s="539">
        <v>0</v>
      </c>
      <c r="Q148" s="538">
        <v>382178</v>
      </c>
      <c r="R148" s="538"/>
      <c r="S148" s="539">
        <v>480563</v>
      </c>
      <c r="T148" s="540">
        <v>-120388</v>
      </c>
      <c r="U148" s="540">
        <v>360175</v>
      </c>
    </row>
    <row r="149" spans="1:21" x14ac:dyDescent="0.25">
      <c r="A149" s="535">
        <v>34100</v>
      </c>
      <c r="B149" s="536" t="s">
        <v>918</v>
      </c>
      <c r="C149" s="542">
        <v>3.0440399999999999E-2</v>
      </c>
      <c r="D149" s="542">
        <v>3.0515500000000001E-2</v>
      </c>
      <c r="E149" s="538">
        <v>36382921</v>
      </c>
      <c r="F149" s="538">
        <f t="shared" si="2"/>
        <v>35777016</v>
      </c>
      <c r="G149" s="538">
        <v>112178901</v>
      </c>
      <c r="H149" s="538"/>
      <c r="I149" s="539">
        <v>0</v>
      </c>
      <c r="J149" s="539">
        <v>78281324</v>
      </c>
      <c r="K149" s="539">
        <v>0</v>
      </c>
      <c r="L149" s="538">
        <v>538259</v>
      </c>
      <c r="M149" s="538"/>
      <c r="N149" s="539">
        <v>12754741</v>
      </c>
      <c r="O149" s="539">
        <v>90434958</v>
      </c>
      <c r="P149" s="539">
        <v>0</v>
      </c>
      <c r="Q149" s="538">
        <v>1921980</v>
      </c>
      <c r="R149" s="538"/>
      <c r="S149" s="539">
        <v>10930691</v>
      </c>
      <c r="T149" s="540">
        <v>-339480</v>
      </c>
      <c r="U149" s="540">
        <v>10591211</v>
      </c>
    </row>
    <row r="150" spans="1:21" x14ac:dyDescent="0.25">
      <c r="A150" s="535">
        <v>34105</v>
      </c>
      <c r="B150" s="536" t="s">
        <v>919</v>
      </c>
      <c r="C150" s="542">
        <v>2.6684E-3</v>
      </c>
      <c r="D150" s="542">
        <v>2.6936E-3</v>
      </c>
      <c r="E150" s="538">
        <v>3420790.86</v>
      </c>
      <c r="F150" s="538">
        <f t="shared" si="2"/>
        <v>3158033</v>
      </c>
      <c r="G150" s="538">
        <v>9833582</v>
      </c>
      <c r="H150" s="538"/>
      <c r="I150" s="539">
        <v>0</v>
      </c>
      <c r="J150" s="539">
        <v>6862127</v>
      </c>
      <c r="K150" s="539">
        <v>0</v>
      </c>
      <c r="L150" s="538">
        <v>0</v>
      </c>
      <c r="M150" s="538"/>
      <c r="N150" s="539">
        <v>1118078</v>
      </c>
      <c r="O150" s="539">
        <v>7927512</v>
      </c>
      <c r="P150" s="539">
        <v>0</v>
      </c>
      <c r="Q150" s="538">
        <v>134124</v>
      </c>
      <c r="R150" s="538"/>
      <c r="S150" s="539">
        <v>958182</v>
      </c>
      <c r="T150" s="540">
        <v>-42696</v>
      </c>
      <c r="U150" s="540">
        <v>915486</v>
      </c>
    </row>
    <row r="151" spans="1:21" x14ac:dyDescent="0.25">
      <c r="A151" s="535">
        <v>34200</v>
      </c>
      <c r="B151" s="536" t="s">
        <v>920</v>
      </c>
      <c r="C151" s="542">
        <v>1.3571E-3</v>
      </c>
      <c r="D151" s="542">
        <v>1.4737999999999999E-3</v>
      </c>
      <c r="E151" s="538">
        <v>1792150.78</v>
      </c>
      <c r="F151" s="538">
        <f t="shared" si="2"/>
        <v>1727914</v>
      </c>
      <c r="G151" s="538">
        <v>5001182</v>
      </c>
      <c r="H151" s="538"/>
      <c r="I151" s="539">
        <v>0</v>
      </c>
      <c r="J151" s="539">
        <v>3489954</v>
      </c>
      <c r="K151" s="539">
        <v>0</v>
      </c>
      <c r="L151" s="538">
        <v>0</v>
      </c>
      <c r="M151" s="538"/>
      <c r="N151" s="539">
        <v>568634</v>
      </c>
      <c r="O151" s="539">
        <v>4031789</v>
      </c>
      <c r="P151" s="539">
        <v>0</v>
      </c>
      <c r="Q151" s="538">
        <v>773223</v>
      </c>
      <c r="R151" s="538"/>
      <c r="S151" s="539">
        <v>487314</v>
      </c>
      <c r="T151" s="540">
        <v>-241937</v>
      </c>
      <c r="U151" s="540">
        <v>245377</v>
      </c>
    </row>
    <row r="152" spans="1:21" x14ac:dyDescent="0.25">
      <c r="A152" s="535">
        <v>34205</v>
      </c>
      <c r="B152" s="536" t="s">
        <v>921</v>
      </c>
      <c r="C152" s="542">
        <v>4.8720000000000002E-4</v>
      </c>
      <c r="D152" s="542">
        <v>5.1329999999999995E-4</v>
      </c>
      <c r="E152" s="538">
        <v>693867.12</v>
      </c>
      <c r="F152" s="538">
        <f t="shared" si="2"/>
        <v>601804</v>
      </c>
      <c r="G152" s="538">
        <v>1795428</v>
      </c>
      <c r="H152" s="538"/>
      <c r="I152" s="539">
        <v>0</v>
      </c>
      <c r="J152" s="539">
        <v>1252896</v>
      </c>
      <c r="K152" s="539">
        <v>0</v>
      </c>
      <c r="L152" s="538">
        <v>0</v>
      </c>
      <c r="M152" s="538"/>
      <c r="N152" s="539">
        <v>204140</v>
      </c>
      <c r="O152" s="539">
        <v>1447416</v>
      </c>
      <c r="P152" s="539">
        <v>0</v>
      </c>
      <c r="Q152" s="538">
        <v>58985</v>
      </c>
      <c r="R152" s="538"/>
      <c r="S152" s="539">
        <v>174946</v>
      </c>
      <c r="T152" s="540">
        <v>-17167</v>
      </c>
      <c r="U152" s="540">
        <v>157779</v>
      </c>
    </row>
    <row r="153" spans="1:21" x14ac:dyDescent="0.25">
      <c r="A153" s="535">
        <v>34220</v>
      </c>
      <c r="B153" s="536" t="s">
        <v>922</v>
      </c>
      <c r="C153" s="542">
        <v>1.0639E-3</v>
      </c>
      <c r="D153" s="542">
        <v>1.0799E-3</v>
      </c>
      <c r="E153" s="538">
        <v>1457514.37</v>
      </c>
      <c r="F153" s="538">
        <f t="shared" si="2"/>
        <v>1266098</v>
      </c>
      <c r="G153" s="538">
        <v>3920682</v>
      </c>
      <c r="H153" s="538"/>
      <c r="I153" s="539">
        <v>0</v>
      </c>
      <c r="J153" s="539">
        <v>2735953</v>
      </c>
      <c r="K153" s="539">
        <v>0</v>
      </c>
      <c r="L153" s="538">
        <v>21787</v>
      </c>
      <c r="M153" s="538"/>
      <c r="N153" s="539">
        <v>445782</v>
      </c>
      <c r="O153" s="539">
        <v>3160726</v>
      </c>
      <c r="P153" s="539">
        <v>0</v>
      </c>
      <c r="Q153" s="538">
        <v>19129</v>
      </c>
      <c r="R153" s="538"/>
      <c r="S153" s="539">
        <v>382031</v>
      </c>
      <c r="T153" s="540">
        <v>-821</v>
      </c>
      <c r="U153" s="540">
        <v>381209</v>
      </c>
    </row>
    <row r="154" spans="1:21" x14ac:dyDescent="0.25">
      <c r="A154" s="535">
        <v>34230</v>
      </c>
      <c r="B154" s="536" t="s">
        <v>923</v>
      </c>
      <c r="C154" s="542">
        <v>4.9819999999999997E-4</v>
      </c>
      <c r="D154" s="542">
        <v>5.0379999999999999E-4</v>
      </c>
      <c r="E154" s="538">
        <v>644112</v>
      </c>
      <c r="F154" s="538">
        <f t="shared" si="2"/>
        <v>590666</v>
      </c>
      <c r="G154" s="538">
        <v>1835966</v>
      </c>
      <c r="H154" s="538"/>
      <c r="I154" s="539">
        <v>0</v>
      </c>
      <c r="J154" s="539">
        <v>1281184</v>
      </c>
      <c r="K154" s="539">
        <v>0</v>
      </c>
      <c r="L154" s="538">
        <v>1854</v>
      </c>
      <c r="M154" s="538"/>
      <c r="N154" s="539">
        <v>208749</v>
      </c>
      <c r="O154" s="539">
        <v>1480095</v>
      </c>
      <c r="P154" s="539">
        <v>0</v>
      </c>
      <c r="Q154" s="538">
        <v>11862</v>
      </c>
      <c r="R154" s="538"/>
      <c r="S154" s="539">
        <v>178896</v>
      </c>
      <c r="T154" s="540">
        <v>-2621</v>
      </c>
      <c r="U154" s="540">
        <v>176275</v>
      </c>
    </row>
    <row r="155" spans="1:21" x14ac:dyDescent="0.25">
      <c r="A155" s="535">
        <v>34300</v>
      </c>
      <c r="B155" s="536" t="s">
        <v>924</v>
      </c>
      <c r="C155" s="542">
        <v>7.0587000000000002E-3</v>
      </c>
      <c r="D155" s="542">
        <v>7.3239999999999998E-3</v>
      </c>
      <c r="E155" s="538">
        <v>8337589</v>
      </c>
      <c r="F155" s="538">
        <f t="shared" si="2"/>
        <v>8586812</v>
      </c>
      <c r="G155" s="538">
        <v>26012707</v>
      </c>
      <c r="H155" s="538"/>
      <c r="I155" s="539">
        <v>0</v>
      </c>
      <c r="J155" s="539">
        <v>18152336</v>
      </c>
      <c r="K155" s="539">
        <v>0</v>
      </c>
      <c r="L155" s="538">
        <v>1199977</v>
      </c>
      <c r="M155" s="538"/>
      <c r="N155" s="539">
        <v>2957645</v>
      </c>
      <c r="O155" s="539">
        <v>20970593</v>
      </c>
      <c r="P155" s="539">
        <v>0</v>
      </c>
      <c r="Q155" s="538">
        <v>1572835</v>
      </c>
      <c r="R155" s="538"/>
      <c r="S155" s="539">
        <v>2534673</v>
      </c>
      <c r="T155" s="540">
        <v>-5589</v>
      </c>
      <c r="U155" s="540">
        <v>2529084</v>
      </c>
    </row>
    <row r="156" spans="1:21" x14ac:dyDescent="0.25">
      <c r="A156" s="535">
        <v>34400</v>
      </c>
      <c r="B156" s="536" t="s">
        <v>925</v>
      </c>
      <c r="C156" s="542">
        <v>2.9892E-3</v>
      </c>
      <c r="D156" s="542">
        <v>2.9393000000000002E-3</v>
      </c>
      <c r="E156" s="538">
        <v>3653683.44</v>
      </c>
      <c r="F156" s="538">
        <f t="shared" si="2"/>
        <v>3446097</v>
      </c>
      <c r="G156" s="538">
        <v>11015794</v>
      </c>
      <c r="H156" s="538"/>
      <c r="I156" s="539">
        <v>0</v>
      </c>
      <c r="J156" s="539">
        <v>7687104</v>
      </c>
      <c r="K156" s="539">
        <v>0</v>
      </c>
      <c r="L156" s="538">
        <v>117147</v>
      </c>
      <c r="M156" s="538"/>
      <c r="N156" s="539">
        <v>1252496</v>
      </c>
      <c r="O156" s="539">
        <v>8880572</v>
      </c>
      <c r="P156" s="539">
        <v>0</v>
      </c>
      <c r="Q156" s="538">
        <v>151027</v>
      </c>
      <c r="R156" s="538"/>
      <c r="S156" s="539">
        <v>1073377</v>
      </c>
      <c r="T156" s="540">
        <v>-21681</v>
      </c>
      <c r="U156" s="540">
        <v>1051696</v>
      </c>
    </row>
    <row r="157" spans="1:21" x14ac:dyDescent="0.25">
      <c r="A157" s="535">
        <v>34405</v>
      </c>
      <c r="B157" s="536" t="s">
        <v>926</v>
      </c>
      <c r="C157" s="542">
        <v>6.3489999999999998E-4</v>
      </c>
      <c r="D157" s="542">
        <v>6.2859999999999999E-4</v>
      </c>
      <c r="E157" s="538">
        <v>778436.5</v>
      </c>
      <c r="F157" s="538">
        <f t="shared" si="2"/>
        <v>736984</v>
      </c>
      <c r="G157" s="538">
        <v>2339732</v>
      </c>
      <c r="H157" s="538"/>
      <c r="I157" s="539">
        <v>0</v>
      </c>
      <c r="J157" s="539">
        <v>1632725</v>
      </c>
      <c r="K157" s="539">
        <v>0</v>
      </c>
      <c r="L157" s="538">
        <v>8562</v>
      </c>
      <c r="M157" s="538"/>
      <c r="N157" s="539">
        <v>266028</v>
      </c>
      <c r="O157" s="539">
        <v>1886216</v>
      </c>
      <c r="P157" s="539">
        <v>0</v>
      </c>
      <c r="Q157" s="538">
        <v>38616</v>
      </c>
      <c r="R157" s="538"/>
      <c r="S157" s="539">
        <v>227983</v>
      </c>
      <c r="T157" s="540">
        <v>-11469</v>
      </c>
      <c r="U157" s="540">
        <v>216514</v>
      </c>
    </row>
    <row r="158" spans="1:21" x14ac:dyDescent="0.25">
      <c r="A158" s="535">
        <v>34500</v>
      </c>
      <c r="B158" s="536" t="s">
        <v>927</v>
      </c>
      <c r="C158" s="542">
        <v>5.0030999999999999E-3</v>
      </c>
      <c r="D158" s="542">
        <v>4.9475999999999999E-3</v>
      </c>
      <c r="E158" s="538">
        <v>6273096</v>
      </c>
      <c r="F158" s="538">
        <f t="shared" si="2"/>
        <v>5800671</v>
      </c>
      <c r="G158" s="538">
        <v>18437414</v>
      </c>
      <c r="H158" s="538"/>
      <c r="I158" s="539">
        <v>0</v>
      </c>
      <c r="J158" s="539">
        <v>12866102</v>
      </c>
      <c r="K158" s="539">
        <v>0</v>
      </c>
      <c r="L158" s="538">
        <v>201036</v>
      </c>
      <c r="M158" s="538"/>
      <c r="N158" s="539">
        <v>2096334</v>
      </c>
      <c r="O158" s="539">
        <v>14863640</v>
      </c>
      <c r="P158" s="539">
        <v>0</v>
      </c>
      <c r="Q158" s="538">
        <v>162991</v>
      </c>
      <c r="R158" s="538"/>
      <c r="S158" s="539">
        <v>1796538</v>
      </c>
      <c r="T158" s="540">
        <v>-2731</v>
      </c>
      <c r="U158" s="540">
        <v>1793807</v>
      </c>
    </row>
    <row r="159" spans="1:21" x14ac:dyDescent="0.25">
      <c r="A159" s="535">
        <v>34501</v>
      </c>
      <c r="B159" s="536" t="s">
        <v>928</v>
      </c>
      <c r="C159" s="542">
        <v>6.2399999999999999E-5</v>
      </c>
      <c r="D159" s="542">
        <v>5.6799999999999998E-5</v>
      </c>
      <c r="E159" s="538">
        <v>70213.41</v>
      </c>
      <c r="F159" s="538">
        <f t="shared" si="2"/>
        <v>66594</v>
      </c>
      <c r="G159" s="538">
        <v>229956</v>
      </c>
      <c r="H159" s="538"/>
      <c r="I159" s="539">
        <v>0</v>
      </c>
      <c r="J159" s="539">
        <v>160469</v>
      </c>
      <c r="K159" s="539">
        <v>0</v>
      </c>
      <c r="L159" s="538">
        <v>17052</v>
      </c>
      <c r="M159" s="538"/>
      <c r="N159" s="539">
        <v>26146</v>
      </c>
      <c r="O159" s="539">
        <v>185383</v>
      </c>
      <c r="P159" s="539">
        <v>0</v>
      </c>
      <c r="Q159" s="538">
        <v>0</v>
      </c>
      <c r="R159" s="538"/>
      <c r="S159" s="539">
        <v>22407</v>
      </c>
      <c r="T159" s="540">
        <v>4728</v>
      </c>
      <c r="U159" s="540">
        <v>27135</v>
      </c>
    </row>
    <row r="160" spans="1:21" x14ac:dyDescent="0.25">
      <c r="A160" s="535">
        <v>34505</v>
      </c>
      <c r="B160" s="536" t="s">
        <v>929</v>
      </c>
      <c r="C160" s="542">
        <v>6.1439999999999997E-4</v>
      </c>
      <c r="D160" s="542">
        <v>6.3920000000000003E-4</v>
      </c>
      <c r="E160" s="538">
        <v>868346.32</v>
      </c>
      <c r="F160" s="538">
        <f t="shared" si="2"/>
        <v>749412</v>
      </c>
      <c r="G160" s="538">
        <v>2264186</v>
      </c>
      <c r="H160" s="538"/>
      <c r="I160" s="539">
        <v>0</v>
      </c>
      <c r="J160" s="539">
        <v>1580007</v>
      </c>
      <c r="K160" s="539">
        <v>0</v>
      </c>
      <c r="L160" s="538">
        <v>128321</v>
      </c>
      <c r="M160" s="538"/>
      <c r="N160" s="539">
        <v>257438</v>
      </c>
      <c r="O160" s="539">
        <v>1825312</v>
      </c>
      <c r="P160" s="539">
        <v>0</v>
      </c>
      <c r="Q160" s="538">
        <v>32443</v>
      </c>
      <c r="R160" s="538"/>
      <c r="S160" s="539">
        <v>220622</v>
      </c>
      <c r="T160" s="540">
        <v>37006</v>
      </c>
      <c r="U160" s="540">
        <v>257628</v>
      </c>
    </row>
    <row r="161" spans="1:21" x14ac:dyDescent="0.25">
      <c r="A161" s="535">
        <v>34600</v>
      </c>
      <c r="B161" s="536" t="s">
        <v>930</v>
      </c>
      <c r="C161" s="542">
        <v>1.2436000000000001E-3</v>
      </c>
      <c r="D161" s="542">
        <v>1.2791E-3</v>
      </c>
      <c r="E161" s="538">
        <v>1615408.69</v>
      </c>
      <c r="F161" s="538">
        <f t="shared" si="2"/>
        <v>1499644</v>
      </c>
      <c r="G161" s="538">
        <v>4582912</v>
      </c>
      <c r="H161" s="538"/>
      <c r="I161" s="539">
        <v>0</v>
      </c>
      <c r="J161" s="539">
        <v>3198074</v>
      </c>
      <c r="K161" s="539">
        <v>0</v>
      </c>
      <c r="L161" s="538">
        <v>0</v>
      </c>
      <c r="M161" s="538"/>
      <c r="N161" s="539">
        <v>521077</v>
      </c>
      <c r="O161" s="539">
        <v>3694594</v>
      </c>
      <c r="P161" s="539">
        <v>0</v>
      </c>
      <c r="Q161" s="538">
        <v>266780</v>
      </c>
      <c r="R161" s="538"/>
      <c r="S161" s="539">
        <v>446558</v>
      </c>
      <c r="T161" s="540">
        <v>-86274</v>
      </c>
      <c r="U161" s="540">
        <v>360284</v>
      </c>
    </row>
    <row r="162" spans="1:21" x14ac:dyDescent="0.25">
      <c r="A162" s="535">
        <v>34605</v>
      </c>
      <c r="B162" s="536" t="s">
        <v>931</v>
      </c>
      <c r="C162" s="542">
        <v>2.7379999999999999E-4</v>
      </c>
      <c r="D162" s="542">
        <v>2.8800000000000001E-4</v>
      </c>
      <c r="E162" s="538">
        <v>379420.12</v>
      </c>
      <c r="F162" s="538">
        <f t="shared" si="2"/>
        <v>337657</v>
      </c>
      <c r="G162" s="538">
        <v>1009007</v>
      </c>
      <c r="H162" s="538"/>
      <c r="I162" s="539">
        <v>0</v>
      </c>
      <c r="J162" s="539">
        <v>704111</v>
      </c>
      <c r="K162" s="539">
        <v>0</v>
      </c>
      <c r="L162" s="538">
        <v>16514</v>
      </c>
      <c r="M162" s="538"/>
      <c r="N162" s="539">
        <v>114724</v>
      </c>
      <c r="O162" s="539">
        <v>813429</v>
      </c>
      <c r="P162" s="539">
        <v>0</v>
      </c>
      <c r="Q162" s="538">
        <v>33698</v>
      </c>
      <c r="R162" s="538"/>
      <c r="S162" s="539">
        <v>98317</v>
      </c>
      <c r="T162" s="540">
        <v>-3416</v>
      </c>
      <c r="U162" s="540">
        <v>94902</v>
      </c>
    </row>
    <row r="163" spans="1:21" x14ac:dyDescent="0.25">
      <c r="A163" s="535">
        <v>34700</v>
      </c>
      <c r="B163" s="536" t="s">
        <v>932</v>
      </c>
      <c r="C163" s="542">
        <v>3.3221000000000001E-3</v>
      </c>
      <c r="D163" s="542">
        <v>3.1803999999999999E-3</v>
      </c>
      <c r="E163" s="538">
        <v>3685532.41</v>
      </c>
      <c r="F163" s="538">
        <f t="shared" si="2"/>
        <v>3728768</v>
      </c>
      <c r="G163" s="538">
        <v>12242596</v>
      </c>
      <c r="H163" s="538"/>
      <c r="I163" s="539">
        <v>0</v>
      </c>
      <c r="J163" s="539">
        <v>8543199</v>
      </c>
      <c r="K163" s="539">
        <v>0</v>
      </c>
      <c r="L163" s="538">
        <v>308122</v>
      </c>
      <c r="M163" s="538"/>
      <c r="N163" s="539">
        <v>1391983</v>
      </c>
      <c r="O163" s="539">
        <v>9869580</v>
      </c>
      <c r="P163" s="539">
        <v>0</v>
      </c>
      <c r="Q163" s="538">
        <v>0</v>
      </c>
      <c r="R163" s="538"/>
      <c r="S163" s="539">
        <v>1192916</v>
      </c>
      <c r="T163" s="540">
        <v>94021</v>
      </c>
      <c r="U163" s="540">
        <v>1286937</v>
      </c>
    </row>
    <row r="164" spans="1:21" x14ac:dyDescent="0.25">
      <c r="A164" s="535">
        <v>34800</v>
      </c>
      <c r="B164" s="536" t="s">
        <v>933</v>
      </c>
      <c r="C164" s="542">
        <v>3.2420000000000002E-4</v>
      </c>
      <c r="D164" s="542">
        <v>3.4600000000000001E-4</v>
      </c>
      <c r="E164" s="538">
        <v>481973.59</v>
      </c>
      <c r="F164" s="538">
        <f t="shared" si="2"/>
        <v>405658</v>
      </c>
      <c r="G164" s="538">
        <v>1194741</v>
      </c>
      <c r="H164" s="538"/>
      <c r="I164" s="539">
        <v>0</v>
      </c>
      <c r="J164" s="539">
        <v>833721</v>
      </c>
      <c r="K164" s="539">
        <v>0</v>
      </c>
      <c r="L164" s="538">
        <v>45910</v>
      </c>
      <c r="M164" s="538"/>
      <c r="N164" s="539">
        <v>135842</v>
      </c>
      <c r="O164" s="539">
        <v>963161</v>
      </c>
      <c r="P164" s="539">
        <v>0</v>
      </c>
      <c r="Q164" s="538">
        <v>35397</v>
      </c>
      <c r="R164" s="538"/>
      <c r="S164" s="539">
        <v>116415</v>
      </c>
      <c r="T164" s="540">
        <v>6650</v>
      </c>
      <c r="U164" s="540">
        <v>123065</v>
      </c>
    </row>
    <row r="165" spans="1:21" x14ac:dyDescent="0.25">
      <c r="A165" s="535">
        <v>34900</v>
      </c>
      <c r="B165" s="536" t="s">
        <v>934</v>
      </c>
      <c r="C165" s="542">
        <v>7.5664E-3</v>
      </c>
      <c r="D165" s="542">
        <v>7.5374999999999999E-3</v>
      </c>
      <c r="E165" s="538">
        <v>9208221</v>
      </c>
      <c r="F165" s="538">
        <f t="shared" si="2"/>
        <v>8837124</v>
      </c>
      <c r="G165" s="538">
        <v>27883682</v>
      </c>
      <c r="H165" s="538"/>
      <c r="I165" s="539">
        <v>0</v>
      </c>
      <c r="J165" s="539">
        <v>19457951</v>
      </c>
      <c r="K165" s="539">
        <v>0</v>
      </c>
      <c r="L165" s="538">
        <v>0</v>
      </c>
      <c r="M165" s="538"/>
      <c r="N165" s="539">
        <v>3170375</v>
      </c>
      <c r="O165" s="539">
        <v>22478912</v>
      </c>
      <c r="P165" s="539">
        <v>0</v>
      </c>
      <c r="Q165" s="538">
        <v>1120403</v>
      </c>
      <c r="R165" s="538"/>
      <c r="S165" s="539">
        <v>2716981</v>
      </c>
      <c r="T165" s="540">
        <v>-389582</v>
      </c>
      <c r="U165" s="540">
        <v>2327399</v>
      </c>
    </row>
    <row r="166" spans="1:21" x14ac:dyDescent="0.25">
      <c r="A166" s="535">
        <v>34901</v>
      </c>
      <c r="B166" s="536" t="s">
        <v>935</v>
      </c>
      <c r="C166" s="542">
        <v>1.8100000000000001E-4</v>
      </c>
      <c r="D166" s="542">
        <v>1.94E-4</v>
      </c>
      <c r="E166" s="538">
        <v>197728.97</v>
      </c>
      <c r="F166" s="538">
        <f t="shared" si="2"/>
        <v>227450</v>
      </c>
      <c r="G166" s="538">
        <v>667021</v>
      </c>
      <c r="H166" s="538"/>
      <c r="I166" s="539">
        <v>0</v>
      </c>
      <c r="J166" s="539">
        <v>465464</v>
      </c>
      <c r="K166" s="539">
        <v>0</v>
      </c>
      <c r="L166" s="538">
        <v>15942</v>
      </c>
      <c r="M166" s="538"/>
      <c r="N166" s="539">
        <v>75840</v>
      </c>
      <c r="O166" s="539">
        <v>537730</v>
      </c>
      <c r="P166" s="539">
        <v>0</v>
      </c>
      <c r="Q166" s="538">
        <v>79149</v>
      </c>
      <c r="R166" s="538"/>
      <c r="S166" s="539">
        <v>64994</v>
      </c>
      <c r="T166" s="540">
        <v>-16211</v>
      </c>
      <c r="U166" s="540">
        <v>48783</v>
      </c>
    </row>
    <row r="167" spans="1:21" x14ac:dyDescent="0.25">
      <c r="A167" s="535">
        <v>34903</v>
      </c>
      <c r="B167" s="536" t="s">
        <v>936</v>
      </c>
      <c r="C167" s="542">
        <v>2.02E-5</v>
      </c>
      <c r="D167" s="542">
        <v>2.1100000000000001E-5</v>
      </c>
      <c r="E167" s="538">
        <v>27776.1</v>
      </c>
      <c r="F167" s="538">
        <f t="shared" si="2"/>
        <v>24738</v>
      </c>
      <c r="G167" s="538">
        <v>74441</v>
      </c>
      <c r="H167" s="538"/>
      <c r="I167" s="539">
        <v>0</v>
      </c>
      <c r="J167" s="539">
        <v>51947</v>
      </c>
      <c r="K167" s="539">
        <v>0</v>
      </c>
      <c r="L167" s="538">
        <v>0</v>
      </c>
      <c r="M167" s="538"/>
      <c r="N167" s="539">
        <v>8464</v>
      </c>
      <c r="O167" s="539">
        <v>60012</v>
      </c>
      <c r="P167" s="539">
        <v>0</v>
      </c>
      <c r="Q167" s="538">
        <v>5190</v>
      </c>
      <c r="R167" s="538"/>
      <c r="S167" s="539">
        <v>7254</v>
      </c>
      <c r="T167" s="540">
        <v>-1695</v>
      </c>
      <c r="U167" s="540">
        <v>5559</v>
      </c>
    </row>
    <row r="168" spans="1:21" x14ac:dyDescent="0.25">
      <c r="A168" s="535">
        <v>34905</v>
      </c>
      <c r="B168" s="536" t="s">
        <v>937</v>
      </c>
      <c r="C168" s="542">
        <v>7.8080000000000001E-4</v>
      </c>
      <c r="D168" s="542">
        <v>7.7410000000000001E-4</v>
      </c>
      <c r="E168" s="538">
        <v>1006022.46</v>
      </c>
      <c r="F168" s="538">
        <f t="shared" si="2"/>
        <v>907571</v>
      </c>
      <c r="G168" s="538">
        <v>2877403</v>
      </c>
      <c r="H168" s="538"/>
      <c r="I168" s="539">
        <v>0</v>
      </c>
      <c r="J168" s="539">
        <v>2007926</v>
      </c>
      <c r="K168" s="539">
        <v>0</v>
      </c>
      <c r="L168" s="538">
        <v>44230</v>
      </c>
      <c r="M168" s="538"/>
      <c r="N168" s="539">
        <v>327161</v>
      </c>
      <c r="O168" s="539">
        <v>2319668</v>
      </c>
      <c r="P168" s="539">
        <v>0</v>
      </c>
      <c r="Q168" s="538">
        <v>11118</v>
      </c>
      <c r="R168" s="538"/>
      <c r="S168" s="539">
        <v>280374</v>
      </c>
      <c r="T168" s="540">
        <v>8267</v>
      </c>
      <c r="U168" s="540">
        <v>288641</v>
      </c>
    </row>
    <row r="169" spans="1:21" x14ac:dyDescent="0.25">
      <c r="A169" s="535">
        <v>34910</v>
      </c>
      <c r="B169" s="536" t="s">
        <v>938</v>
      </c>
      <c r="C169" s="542">
        <v>2.2087999999999999E-3</v>
      </c>
      <c r="D169" s="542">
        <v>2.1080999999999999E-3</v>
      </c>
      <c r="E169" s="538">
        <v>2645614.48</v>
      </c>
      <c r="F169" s="538">
        <f t="shared" si="2"/>
        <v>2471581</v>
      </c>
      <c r="G169" s="538">
        <v>8139865</v>
      </c>
      <c r="H169" s="538"/>
      <c r="I169" s="539">
        <v>0</v>
      </c>
      <c r="J169" s="539">
        <v>5680208</v>
      </c>
      <c r="K169" s="539">
        <v>0</v>
      </c>
      <c r="L169" s="538">
        <v>396744</v>
      </c>
      <c r="M169" s="538"/>
      <c r="N169" s="539">
        <v>925503</v>
      </c>
      <c r="O169" s="539">
        <v>6562093</v>
      </c>
      <c r="P169" s="539">
        <v>0</v>
      </c>
      <c r="Q169" s="538">
        <v>0</v>
      </c>
      <c r="R169" s="538"/>
      <c r="S169" s="539">
        <v>793147</v>
      </c>
      <c r="T169" s="540">
        <v>116607</v>
      </c>
      <c r="U169" s="540">
        <v>909754</v>
      </c>
    </row>
    <row r="170" spans="1:21" x14ac:dyDescent="0.25">
      <c r="A170" s="535">
        <v>35000</v>
      </c>
      <c r="B170" s="536" t="s">
        <v>939</v>
      </c>
      <c r="C170" s="542">
        <v>1.5065E-3</v>
      </c>
      <c r="D170" s="542">
        <v>1.4383E-3</v>
      </c>
      <c r="E170" s="538">
        <v>1827848.07</v>
      </c>
      <c r="F170" s="538">
        <f t="shared" si="2"/>
        <v>1686293</v>
      </c>
      <c r="G170" s="538">
        <v>5551751</v>
      </c>
      <c r="H170" s="538"/>
      <c r="I170" s="539">
        <v>0</v>
      </c>
      <c r="J170" s="539">
        <v>3874155</v>
      </c>
      <c r="K170" s="539">
        <v>0</v>
      </c>
      <c r="L170" s="538">
        <v>232786</v>
      </c>
      <c r="M170" s="538"/>
      <c r="N170" s="539">
        <v>631234</v>
      </c>
      <c r="O170" s="539">
        <v>4475640</v>
      </c>
      <c r="P170" s="539">
        <v>0</v>
      </c>
      <c r="Q170" s="538">
        <v>0</v>
      </c>
      <c r="R170" s="538"/>
      <c r="S170" s="539">
        <v>540962</v>
      </c>
      <c r="T170" s="540">
        <v>64652</v>
      </c>
      <c r="U170" s="540">
        <v>605613</v>
      </c>
    </row>
    <row r="171" spans="1:21" x14ac:dyDescent="0.25">
      <c r="A171" s="535">
        <v>35005</v>
      </c>
      <c r="B171" s="536" t="s">
        <v>940</v>
      </c>
      <c r="C171" s="542">
        <v>7.2009999999999999E-4</v>
      </c>
      <c r="D171" s="542">
        <v>7.0680000000000005E-4</v>
      </c>
      <c r="E171" s="538">
        <v>887702</v>
      </c>
      <c r="F171" s="538">
        <f t="shared" si="2"/>
        <v>828667</v>
      </c>
      <c r="G171" s="538">
        <v>2653711</v>
      </c>
      <c r="H171" s="538"/>
      <c r="I171" s="539">
        <v>0</v>
      </c>
      <c r="J171" s="539">
        <v>1851828</v>
      </c>
      <c r="K171" s="539">
        <v>0</v>
      </c>
      <c r="L171" s="538">
        <v>172497</v>
      </c>
      <c r="M171" s="538"/>
      <c r="N171" s="539">
        <v>301727</v>
      </c>
      <c r="O171" s="539">
        <v>2139335</v>
      </c>
      <c r="P171" s="539">
        <v>0</v>
      </c>
      <c r="Q171" s="538">
        <v>0</v>
      </c>
      <c r="R171" s="538"/>
      <c r="S171" s="539">
        <v>258577</v>
      </c>
      <c r="T171" s="540">
        <v>58608</v>
      </c>
      <c r="U171" s="540">
        <v>317186</v>
      </c>
    </row>
    <row r="172" spans="1:21" x14ac:dyDescent="0.25">
      <c r="A172" s="535">
        <v>35100</v>
      </c>
      <c r="B172" s="536" t="s">
        <v>941</v>
      </c>
      <c r="C172" s="542">
        <v>1.2978699999999999E-2</v>
      </c>
      <c r="D172" s="542">
        <v>1.2519300000000001E-2</v>
      </c>
      <c r="E172" s="538">
        <v>15078278</v>
      </c>
      <c r="F172" s="538">
        <f t="shared" si="2"/>
        <v>14677892</v>
      </c>
      <c r="G172" s="538">
        <v>47829079</v>
      </c>
      <c r="H172" s="538"/>
      <c r="I172" s="539">
        <v>0</v>
      </c>
      <c r="J172" s="539">
        <v>33376362</v>
      </c>
      <c r="K172" s="539">
        <v>0</v>
      </c>
      <c r="L172" s="538">
        <v>921286</v>
      </c>
      <c r="M172" s="538"/>
      <c r="N172" s="539">
        <v>5438166</v>
      </c>
      <c r="O172" s="539">
        <v>38558238</v>
      </c>
      <c r="P172" s="539">
        <v>0</v>
      </c>
      <c r="Q172" s="538">
        <v>2355396</v>
      </c>
      <c r="R172" s="538"/>
      <c r="S172" s="539">
        <v>4660456</v>
      </c>
      <c r="T172" s="540">
        <v>-589024</v>
      </c>
      <c r="U172" s="540">
        <v>4071432</v>
      </c>
    </row>
    <row r="173" spans="1:21" x14ac:dyDescent="0.25">
      <c r="A173" s="535">
        <v>35105</v>
      </c>
      <c r="B173" s="536" t="s">
        <v>942</v>
      </c>
      <c r="C173" s="542">
        <v>1.2034000000000001E-3</v>
      </c>
      <c r="D173" s="542">
        <v>1.2099000000000001E-3</v>
      </c>
      <c r="E173" s="538">
        <v>1445577.22</v>
      </c>
      <c r="F173" s="538">
        <f t="shared" si="2"/>
        <v>1418512</v>
      </c>
      <c r="G173" s="538">
        <v>4434767</v>
      </c>
      <c r="H173" s="538"/>
      <c r="I173" s="539">
        <v>0</v>
      </c>
      <c r="J173" s="539">
        <v>3094695</v>
      </c>
      <c r="K173" s="539">
        <v>0</v>
      </c>
      <c r="L173" s="538">
        <v>147158</v>
      </c>
      <c r="M173" s="538"/>
      <c r="N173" s="539">
        <v>504233</v>
      </c>
      <c r="O173" s="539">
        <v>3575164</v>
      </c>
      <c r="P173" s="539">
        <v>0</v>
      </c>
      <c r="Q173" s="538">
        <v>85254</v>
      </c>
      <c r="R173" s="538"/>
      <c r="S173" s="539">
        <v>432123</v>
      </c>
      <c r="T173" s="540">
        <v>29129</v>
      </c>
      <c r="U173" s="540">
        <v>461252</v>
      </c>
    </row>
    <row r="174" spans="1:21" x14ac:dyDescent="0.25">
      <c r="A174" s="535">
        <v>35106</v>
      </c>
      <c r="B174" s="536" t="s">
        <v>943</v>
      </c>
      <c r="C174" s="542">
        <v>2.6420000000000003E-4</v>
      </c>
      <c r="D174" s="542">
        <v>2.253E-4</v>
      </c>
      <c r="E174" s="538">
        <v>276283.87</v>
      </c>
      <c r="F174" s="538">
        <f t="shared" si="2"/>
        <v>264146</v>
      </c>
      <c r="G174" s="538">
        <v>973629</v>
      </c>
      <c r="H174" s="538"/>
      <c r="I174" s="539">
        <v>0</v>
      </c>
      <c r="J174" s="539">
        <v>679424</v>
      </c>
      <c r="K174" s="539">
        <v>0</v>
      </c>
      <c r="L174" s="538">
        <v>224115</v>
      </c>
      <c r="M174" s="538"/>
      <c r="N174" s="539">
        <v>110702</v>
      </c>
      <c r="O174" s="539">
        <v>784908</v>
      </c>
      <c r="P174" s="539">
        <v>0</v>
      </c>
      <c r="Q174" s="538">
        <v>0</v>
      </c>
      <c r="R174" s="538"/>
      <c r="S174" s="539">
        <v>94870</v>
      </c>
      <c r="T174" s="540">
        <v>70570</v>
      </c>
      <c r="U174" s="540">
        <v>165440</v>
      </c>
    </row>
    <row r="175" spans="1:21" x14ac:dyDescent="0.25">
      <c r="A175" s="535">
        <v>35200</v>
      </c>
      <c r="B175" s="536" t="s">
        <v>944</v>
      </c>
      <c r="C175" s="542">
        <v>5.6170000000000005E-4</v>
      </c>
      <c r="D175" s="542">
        <v>5.5780000000000001E-4</v>
      </c>
      <c r="E175" s="538">
        <v>769336.43</v>
      </c>
      <c r="F175" s="538">
        <f t="shared" si="2"/>
        <v>653976</v>
      </c>
      <c r="G175" s="538">
        <v>2069976</v>
      </c>
      <c r="H175" s="538"/>
      <c r="I175" s="539">
        <v>0</v>
      </c>
      <c r="J175" s="539">
        <v>1444482</v>
      </c>
      <c r="K175" s="539">
        <v>0</v>
      </c>
      <c r="L175" s="538">
        <v>154551</v>
      </c>
      <c r="M175" s="538"/>
      <c r="N175" s="539">
        <v>235356</v>
      </c>
      <c r="O175" s="539">
        <v>1668747</v>
      </c>
      <c r="P175" s="539">
        <v>0</v>
      </c>
      <c r="Q175" s="538">
        <v>0</v>
      </c>
      <c r="R175" s="538"/>
      <c r="S175" s="539">
        <v>201698</v>
      </c>
      <c r="T175" s="540">
        <v>50213</v>
      </c>
      <c r="U175" s="540">
        <v>251911</v>
      </c>
    </row>
    <row r="176" spans="1:21" x14ac:dyDescent="0.25">
      <c r="A176" s="535">
        <v>35300</v>
      </c>
      <c r="B176" s="536" t="s">
        <v>945</v>
      </c>
      <c r="C176" s="542">
        <v>3.6911000000000001E-3</v>
      </c>
      <c r="D176" s="542">
        <v>3.5834E-3</v>
      </c>
      <c r="E176" s="538">
        <v>4437134</v>
      </c>
      <c r="F176" s="538">
        <f t="shared" si="2"/>
        <v>4201254</v>
      </c>
      <c r="G176" s="538">
        <v>13602434</v>
      </c>
      <c r="H176" s="538"/>
      <c r="I176" s="539">
        <v>0</v>
      </c>
      <c r="J176" s="539">
        <v>9492129</v>
      </c>
      <c r="K176" s="539">
        <v>0</v>
      </c>
      <c r="L176" s="538">
        <v>281449</v>
      </c>
      <c r="M176" s="538"/>
      <c r="N176" s="539">
        <v>1546597</v>
      </c>
      <c r="O176" s="539">
        <v>10965837</v>
      </c>
      <c r="P176" s="539">
        <v>0</v>
      </c>
      <c r="Q176" s="538">
        <v>383892</v>
      </c>
      <c r="R176" s="538"/>
      <c r="S176" s="539">
        <v>1325419</v>
      </c>
      <c r="T176" s="540">
        <v>-59632</v>
      </c>
      <c r="U176" s="540">
        <v>1265787</v>
      </c>
    </row>
    <row r="177" spans="1:21" x14ac:dyDescent="0.25">
      <c r="A177" s="535">
        <v>35305</v>
      </c>
      <c r="B177" s="536" t="s">
        <v>946</v>
      </c>
      <c r="C177" s="542">
        <v>1.3343999999999999E-3</v>
      </c>
      <c r="D177" s="542">
        <v>1.2343E-3</v>
      </c>
      <c r="E177" s="538">
        <v>1740433.06</v>
      </c>
      <c r="F177" s="538">
        <f t="shared" si="2"/>
        <v>1447119</v>
      </c>
      <c r="G177" s="538">
        <v>4917528</v>
      </c>
      <c r="H177" s="538"/>
      <c r="I177" s="539">
        <v>0</v>
      </c>
      <c r="J177" s="539">
        <v>3431578</v>
      </c>
      <c r="K177" s="539">
        <v>0</v>
      </c>
      <c r="L177" s="538">
        <v>581596</v>
      </c>
      <c r="M177" s="538"/>
      <c r="N177" s="539">
        <v>559123</v>
      </c>
      <c r="O177" s="539">
        <v>3964350</v>
      </c>
      <c r="P177" s="539">
        <v>0</v>
      </c>
      <c r="Q177" s="538">
        <v>0</v>
      </c>
      <c r="R177" s="538"/>
      <c r="S177" s="539">
        <v>479163</v>
      </c>
      <c r="T177" s="540">
        <v>170398</v>
      </c>
      <c r="U177" s="540">
        <v>649561</v>
      </c>
    </row>
    <row r="178" spans="1:21" x14ac:dyDescent="0.25">
      <c r="A178" s="535">
        <v>35400</v>
      </c>
      <c r="B178" s="536" t="s">
        <v>947</v>
      </c>
      <c r="C178" s="542">
        <v>3.1616999999999999E-3</v>
      </c>
      <c r="D178" s="542">
        <v>3.1524999999999999E-3</v>
      </c>
      <c r="E178" s="538">
        <v>3993070.81</v>
      </c>
      <c r="F178" s="538">
        <f t="shared" si="2"/>
        <v>3696058</v>
      </c>
      <c r="G178" s="538">
        <v>11651491</v>
      </c>
      <c r="H178" s="538"/>
      <c r="I178" s="539">
        <v>0</v>
      </c>
      <c r="J178" s="539">
        <v>8130710</v>
      </c>
      <c r="K178" s="539">
        <v>0</v>
      </c>
      <c r="L178" s="538">
        <v>40049</v>
      </c>
      <c r="M178" s="538"/>
      <c r="N178" s="539">
        <v>1324774</v>
      </c>
      <c r="O178" s="539">
        <v>9393050</v>
      </c>
      <c r="P178" s="539">
        <v>0</v>
      </c>
      <c r="Q178" s="538">
        <v>61107</v>
      </c>
      <c r="R178" s="538"/>
      <c r="S178" s="539">
        <v>1135319</v>
      </c>
      <c r="T178" s="540">
        <v>-10808</v>
      </c>
      <c r="U178" s="540">
        <v>1124511</v>
      </c>
    </row>
    <row r="179" spans="1:21" x14ac:dyDescent="0.25">
      <c r="A179" s="535">
        <v>35401</v>
      </c>
      <c r="B179" s="536" t="s">
        <v>948</v>
      </c>
      <c r="C179" s="542">
        <v>3.29E-5</v>
      </c>
      <c r="D179" s="542">
        <v>2.3099999999999999E-5</v>
      </c>
      <c r="E179" s="538">
        <v>36606.06</v>
      </c>
      <c r="F179" s="538">
        <f t="shared" si="2"/>
        <v>27083</v>
      </c>
      <c r="G179" s="538">
        <v>121243</v>
      </c>
      <c r="H179" s="538"/>
      <c r="I179" s="539">
        <v>0</v>
      </c>
      <c r="J179" s="539">
        <v>84606</v>
      </c>
      <c r="K179" s="539">
        <v>0</v>
      </c>
      <c r="L179" s="538">
        <v>37633</v>
      </c>
      <c r="M179" s="538"/>
      <c r="N179" s="539">
        <v>13785</v>
      </c>
      <c r="O179" s="539">
        <v>97742</v>
      </c>
      <c r="P179" s="539">
        <v>0</v>
      </c>
      <c r="Q179" s="538">
        <v>29847</v>
      </c>
      <c r="R179" s="538"/>
      <c r="S179" s="539">
        <v>11814</v>
      </c>
      <c r="T179" s="540">
        <v>-273</v>
      </c>
      <c r="U179" s="540">
        <v>11540</v>
      </c>
    </row>
    <row r="180" spans="1:21" x14ac:dyDescent="0.25">
      <c r="A180" s="535">
        <v>35402</v>
      </c>
      <c r="B180" s="536" t="s">
        <v>949</v>
      </c>
      <c r="C180" s="542">
        <v>0</v>
      </c>
      <c r="D180" s="542">
        <v>0</v>
      </c>
      <c r="E180" s="538">
        <v>0</v>
      </c>
      <c r="F180" s="538">
        <f t="shared" si="2"/>
        <v>0</v>
      </c>
      <c r="G180" s="538">
        <v>0</v>
      </c>
      <c r="H180" s="538"/>
      <c r="I180" s="539">
        <v>0</v>
      </c>
      <c r="J180" s="539">
        <v>0</v>
      </c>
      <c r="K180" s="539">
        <v>0</v>
      </c>
      <c r="L180" s="538">
        <v>0</v>
      </c>
      <c r="M180" s="538"/>
      <c r="N180" s="539">
        <v>0</v>
      </c>
      <c r="O180" s="539">
        <v>0</v>
      </c>
      <c r="P180" s="539">
        <v>0</v>
      </c>
      <c r="Q180" s="538">
        <v>350079</v>
      </c>
      <c r="R180" s="538"/>
      <c r="S180" s="539">
        <v>0</v>
      </c>
      <c r="T180" s="540">
        <v>-125476</v>
      </c>
      <c r="U180" s="540">
        <v>-125476</v>
      </c>
    </row>
    <row r="181" spans="1:21" x14ac:dyDescent="0.25">
      <c r="A181" s="535">
        <v>35405</v>
      </c>
      <c r="B181" s="536" t="s">
        <v>950</v>
      </c>
      <c r="C181" s="542">
        <v>1.0586E-3</v>
      </c>
      <c r="D181" s="542">
        <v>1.0824999999999999E-3</v>
      </c>
      <c r="E181" s="538">
        <v>1316983</v>
      </c>
      <c r="F181" s="538">
        <f t="shared" si="2"/>
        <v>1269146</v>
      </c>
      <c r="G181" s="538">
        <v>3901151</v>
      </c>
      <c r="H181" s="538"/>
      <c r="I181" s="539">
        <v>0</v>
      </c>
      <c r="J181" s="539">
        <v>2722323</v>
      </c>
      <c r="K181" s="539">
        <v>0</v>
      </c>
      <c r="L181" s="538">
        <v>34812</v>
      </c>
      <c r="M181" s="538"/>
      <c r="N181" s="539">
        <v>443561</v>
      </c>
      <c r="O181" s="539">
        <v>3144980</v>
      </c>
      <c r="P181" s="539">
        <v>0</v>
      </c>
      <c r="Q181" s="538">
        <v>116470</v>
      </c>
      <c r="R181" s="538"/>
      <c r="S181" s="539">
        <v>380127</v>
      </c>
      <c r="T181" s="540">
        <v>-19786</v>
      </c>
      <c r="U181" s="540">
        <v>360342</v>
      </c>
    </row>
    <row r="182" spans="1:21" x14ac:dyDescent="0.25">
      <c r="A182" s="535">
        <v>35500</v>
      </c>
      <c r="B182" s="536" t="s">
        <v>951</v>
      </c>
      <c r="C182" s="542">
        <v>4.3539E-3</v>
      </c>
      <c r="D182" s="542">
        <v>4.2193999999999999E-3</v>
      </c>
      <c r="E182" s="538">
        <v>5196638.03</v>
      </c>
      <c r="F182" s="538">
        <f t="shared" si="2"/>
        <v>4946914</v>
      </c>
      <c r="G182" s="538">
        <v>16044984</v>
      </c>
      <c r="H182" s="538"/>
      <c r="I182" s="539">
        <v>0</v>
      </c>
      <c r="J182" s="539">
        <v>11196602</v>
      </c>
      <c r="K182" s="539">
        <v>0</v>
      </c>
      <c r="L182" s="538">
        <v>334399</v>
      </c>
      <c r="M182" s="538"/>
      <c r="N182" s="539">
        <v>1824315</v>
      </c>
      <c r="O182" s="539">
        <v>12934941</v>
      </c>
      <c r="P182" s="539">
        <v>0</v>
      </c>
      <c r="Q182" s="538">
        <v>350209</v>
      </c>
      <c r="R182" s="538"/>
      <c r="S182" s="539">
        <v>1563420</v>
      </c>
      <c r="T182" s="540">
        <v>-32892</v>
      </c>
      <c r="U182" s="540">
        <v>1530529</v>
      </c>
    </row>
    <row r="183" spans="1:21" x14ac:dyDescent="0.25">
      <c r="A183" s="535">
        <v>35600</v>
      </c>
      <c r="B183" s="536" t="s">
        <v>952</v>
      </c>
      <c r="C183" s="542">
        <v>1.6930999999999999E-3</v>
      </c>
      <c r="D183" s="542">
        <v>1.7045999999999999E-3</v>
      </c>
      <c r="E183" s="538">
        <v>2104870.38</v>
      </c>
      <c r="F183" s="538">
        <f t="shared" si="2"/>
        <v>1998509</v>
      </c>
      <c r="G183" s="538">
        <v>6239409</v>
      </c>
      <c r="H183" s="538"/>
      <c r="I183" s="539">
        <v>0</v>
      </c>
      <c r="J183" s="539">
        <v>4354020</v>
      </c>
      <c r="K183" s="539">
        <v>0</v>
      </c>
      <c r="L183" s="538">
        <v>0</v>
      </c>
      <c r="M183" s="538"/>
      <c r="N183" s="539">
        <v>709421</v>
      </c>
      <c r="O183" s="539">
        <v>5030007</v>
      </c>
      <c r="P183" s="539">
        <v>0</v>
      </c>
      <c r="Q183" s="538">
        <v>263576</v>
      </c>
      <c r="R183" s="538"/>
      <c r="S183" s="539">
        <v>607967</v>
      </c>
      <c r="T183" s="540">
        <v>-88424</v>
      </c>
      <c r="U183" s="540">
        <v>519543</v>
      </c>
    </row>
    <row r="184" spans="1:21" x14ac:dyDescent="0.25">
      <c r="A184" s="535">
        <v>35700</v>
      </c>
      <c r="B184" s="536" t="s">
        <v>953</v>
      </c>
      <c r="C184" s="542">
        <v>1.0131000000000001E-3</v>
      </c>
      <c r="D184" s="542">
        <v>9.9299999999999996E-4</v>
      </c>
      <c r="E184" s="538">
        <v>1228275</v>
      </c>
      <c r="F184" s="538">
        <f t="shared" si="2"/>
        <v>1164214</v>
      </c>
      <c r="G184" s="538">
        <v>3733474</v>
      </c>
      <c r="H184" s="538"/>
      <c r="I184" s="539">
        <v>0</v>
      </c>
      <c r="J184" s="539">
        <v>2605314</v>
      </c>
      <c r="K184" s="539">
        <v>0</v>
      </c>
      <c r="L184" s="538">
        <v>45346</v>
      </c>
      <c r="M184" s="538"/>
      <c r="N184" s="539">
        <v>424496</v>
      </c>
      <c r="O184" s="539">
        <v>3009805</v>
      </c>
      <c r="P184" s="539">
        <v>0</v>
      </c>
      <c r="Q184" s="538">
        <v>91061</v>
      </c>
      <c r="R184" s="538"/>
      <c r="S184" s="539">
        <v>363789</v>
      </c>
      <c r="T184" s="540">
        <v>-20077</v>
      </c>
      <c r="U184" s="540">
        <v>343712</v>
      </c>
    </row>
    <row r="185" spans="1:21" x14ac:dyDescent="0.25">
      <c r="A185" s="535">
        <v>35800</v>
      </c>
      <c r="B185" s="536" t="s">
        <v>954</v>
      </c>
      <c r="C185" s="542">
        <v>1.4509E-3</v>
      </c>
      <c r="D185" s="542">
        <v>1.4760999999999999E-3</v>
      </c>
      <c r="E185" s="538">
        <v>1917302.98</v>
      </c>
      <c r="F185" s="538">
        <f t="shared" si="2"/>
        <v>1730611</v>
      </c>
      <c r="G185" s="538">
        <v>5346854</v>
      </c>
      <c r="H185" s="538"/>
      <c r="I185" s="539">
        <v>0</v>
      </c>
      <c r="J185" s="539">
        <v>3731172</v>
      </c>
      <c r="K185" s="539">
        <v>0</v>
      </c>
      <c r="L185" s="538">
        <v>0</v>
      </c>
      <c r="M185" s="538"/>
      <c r="N185" s="539">
        <v>607937</v>
      </c>
      <c r="O185" s="539">
        <v>4310458</v>
      </c>
      <c r="P185" s="539">
        <v>0</v>
      </c>
      <c r="Q185" s="538">
        <v>122391</v>
      </c>
      <c r="R185" s="538"/>
      <c r="S185" s="539">
        <v>520996</v>
      </c>
      <c r="T185" s="540">
        <v>-40634</v>
      </c>
      <c r="U185" s="540">
        <v>480362</v>
      </c>
    </row>
    <row r="186" spans="1:21" x14ac:dyDescent="0.25">
      <c r="A186" s="535">
        <v>35805</v>
      </c>
      <c r="B186" s="536" t="s">
        <v>955</v>
      </c>
      <c r="C186" s="542">
        <v>1.796E-4</v>
      </c>
      <c r="D186" s="542">
        <v>2.028E-4</v>
      </c>
      <c r="E186" s="538">
        <v>289392.39</v>
      </c>
      <c r="F186" s="538">
        <f t="shared" si="2"/>
        <v>237767</v>
      </c>
      <c r="G186" s="538">
        <v>661862</v>
      </c>
      <c r="H186" s="538"/>
      <c r="I186" s="539">
        <v>0</v>
      </c>
      <c r="J186" s="539">
        <v>461864</v>
      </c>
      <c r="K186" s="539">
        <v>0</v>
      </c>
      <c r="L186" s="538">
        <v>0</v>
      </c>
      <c r="M186" s="538"/>
      <c r="N186" s="539">
        <v>75254</v>
      </c>
      <c r="O186" s="539">
        <v>533571</v>
      </c>
      <c r="P186" s="539">
        <v>0</v>
      </c>
      <c r="Q186" s="538">
        <v>67663</v>
      </c>
      <c r="R186" s="538"/>
      <c r="S186" s="539">
        <v>64492</v>
      </c>
      <c r="T186" s="540">
        <v>-20249</v>
      </c>
      <c r="U186" s="540">
        <v>44243</v>
      </c>
    </row>
    <row r="187" spans="1:21" x14ac:dyDescent="0.25">
      <c r="A187" s="535">
        <v>35900</v>
      </c>
      <c r="B187" s="536" t="s">
        <v>956</v>
      </c>
      <c r="C187" s="542">
        <v>2.5831999999999999E-3</v>
      </c>
      <c r="D187" s="542">
        <v>2.5674999999999999E-3</v>
      </c>
      <c r="E187" s="538">
        <v>3097391.03</v>
      </c>
      <c r="F187" s="538">
        <f t="shared" si="2"/>
        <v>3010191</v>
      </c>
      <c r="G187" s="538">
        <v>9519603</v>
      </c>
      <c r="H187" s="538"/>
      <c r="I187" s="539">
        <v>0</v>
      </c>
      <c r="J187" s="539">
        <v>6643024</v>
      </c>
      <c r="K187" s="539">
        <v>0</v>
      </c>
      <c r="L187" s="538">
        <v>0</v>
      </c>
      <c r="M187" s="538"/>
      <c r="N187" s="539">
        <v>1082379</v>
      </c>
      <c r="O187" s="539">
        <v>7674393</v>
      </c>
      <c r="P187" s="539">
        <v>0</v>
      </c>
      <c r="Q187" s="538">
        <v>468139</v>
      </c>
      <c r="R187" s="538"/>
      <c r="S187" s="539">
        <v>927588</v>
      </c>
      <c r="T187" s="540">
        <v>-162753</v>
      </c>
      <c r="U187" s="540">
        <v>764835</v>
      </c>
    </row>
    <row r="188" spans="1:21" x14ac:dyDescent="0.25">
      <c r="A188" s="535">
        <v>35905</v>
      </c>
      <c r="B188" s="536" t="s">
        <v>957</v>
      </c>
      <c r="C188" s="542">
        <v>3.6640000000000002E-4</v>
      </c>
      <c r="D188" s="542">
        <v>3.7520000000000001E-4</v>
      </c>
      <c r="E188" s="538">
        <v>523530.19</v>
      </c>
      <c r="F188" s="538">
        <f t="shared" si="2"/>
        <v>439892</v>
      </c>
      <c r="G188" s="538">
        <v>1350257</v>
      </c>
      <c r="H188" s="538"/>
      <c r="I188" s="539">
        <v>0</v>
      </c>
      <c r="J188" s="539">
        <v>942244</v>
      </c>
      <c r="K188" s="539">
        <v>0</v>
      </c>
      <c r="L188" s="538">
        <v>25106</v>
      </c>
      <c r="M188" s="538"/>
      <c r="N188" s="539">
        <v>153524</v>
      </c>
      <c r="O188" s="539">
        <v>1088533</v>
      </c>
      <c r="P188" s="539">
        <v>0</v>
      </c>
      <c r="Q188" s="538">
        <v>0</v>
      </c>
      <c r="R188" s="538"/>
      <c r="S188" s="539">
        <v>131569</v>
      </c>
      <c r="T188" s="540">
        <v>8147</v>
      </c>
      <c r="U188" s="540">
        <v>139715</v>
      </c>
    </row>
    <row r="189" spans="1:21" x14ac:dyDescent="0.25">
      <c r="A189" s="535">
        <v>36000</v>
      </c>
      <c r="B189" s="536" t="s">
        <v>958</v>
      </c>
      <c r="C189" s="542">
        <v>5.6787200000000003E-2</v>
      </c>
      <c r="D189" s="542">
        <v>5.6976400000000003E-2</v>
      </c>
      <c r="E189" s="538">
        <v>65859709</v>
      </c>
      <c r="F189" s="538">
        <f t="shared" si="2"/>
        <v>66800334</v>
      </c>
      <c r="G189" s="538">
        <v>209272076</v>
      </c>
      <c r="H189" s="538"/>
      <c r="I189" s="539">
        <v>0</v>
      </c>
      <c r="J189" s="539">
        <v>146035440</v>
      </c>
      <c r="K189" s="539">
        <v>0</v>
      </c>
      <c r="L189" s="538">
        <v>0</v>
      </c>
      <c r="M189" s="538"/>
      <c r="N189" s="539">
        <v>23794234</v>
      </c>
      <c r="O189" s="539">
        <v>168708297</v>
      </c>
      <c r="P189" s="539">
        <v>0</v>
      </c>
      <c r="Q189" s="538">
        <v>7912438</v>
      </c>
      <c r="R189" s="538"/>
      <c r="S189" s="539">
        <v>20391432</v>
      </c>
      <c r="T189" s="540">
        <v>-2398800</v>
      </c>
      <c r="U189" s="540">
        <v>17992631</v>
      </c>
    </row>
    <row r="190" spans="1:21" x14ac:dyDescent="0.25">
      <c r="A190" s="535">
        <v>36001</v>
      </c>
      <c r="B190" s="536" t="s">
        <v>959</v>
      </c>
      <c r="C190" s="542">
        <v>3.4600000000000001E-5</v>
      </c>
      <c r="D190" s="542">
        <v>5.2599999999999998E-5</v>
      </c>
      <c r="E190" s="538">
        <v>40955.89</v>
      </c>
      <c r="F190" s="538">
        <f t="shared" si="2"/>
        <v>61669</v>
      </c>
      <c r="G190" s="538">
        <v>127508</v>
      </c>
      <c r="H190" s="538"/>
      <c r="I190" s="539">
        <v>0</v>
      </c>
      <c r="J190" s="539">
        <v>88978</v>
      </c>
      <c r="K190" s="539">
        <v>0</v>
      </c>
      <c r="L190" s="538">
        <v>0</v>
      </c>
      <c r="M190" s="538"/>
      <c r="N190" s="539">
        <v>14498</v>
      </c>
      <c r="O190" s="539">
        <v>102793</v>
      </c>
      <c r="P190" s="539">
        <v>0</v>
      </c>
      <c r="Q190" s="538">
        <v>110740</v>
      </c>
      <c r="R190" s="538"/>
      <c r="S190" s="539">
        <v>12424</v>
      </c>
      <c r="T190" s="540">
        <v>-33313</v>
      </c>
      <c r="U190" s="540">
        <v>-20889</v>
      </c>
    </row>
    <row r="191" spans="1:21" x14ac:dyDescent="0.25">
      <c r="A191" s="535">
        <v>36002</v>
      </c>
      <c r="B191" s="536" t="s">
        <v>960</v>
      </c>
      <c r="C191" s="542">
        <v>2.019E-4</v>
      </c>
      <c r="D191" s="542">
        <v>2.0680000000000001E-4</v>
      </c>
      <c r="E191" s="538">
        <v>223910.35</v>
      </c>
      <c r="F191" s="538">
        <f t="shared" si="2"/>
        <v>242457</v>
      </c>
      <c r="G191" s="538">
        <v>744041</v>
      </c>
      <c r="H191" s="538"/>
      <c r="I191" s="539">
        <v>0</v>
      </c>
      <c r="J191" s="539">
        <v>519211</v>
      </c>
      <c r="K191" s="539">
        <v>0</v>
      </c>
      <c r="L191" s="538">
        <v>95536</v>
      </c>
      <c r="M191" s="538"/>
      <c r="N191" s="539">
        <v>84598</v>
      </c>
      <c r="O191" s="539">
        <v>599822</v>
      </c>
      <c r="P191" s="539">
        <v>0</v>
      </c>
      <c r="Q191" s="538">
        <v>45014</v>
      </c>
      <c r="R191" s="538"/>
      <c r="S191" s="539">
        <v>72499</v>
      </c>
      <c r="T191" s="540">
        <v>21773</v>
      </c>
      <c r="U191" s="540">
        <v>94272</v>
      </c>
    </row>
    <row r="192" spans="1:21" x14ac:dyDescent="0.25">
      <c r="A192" s="535">
        <v>36003</v>
      </c>
      <c r="B192" s="536" t="s">
        <v>961</v>
      </c>
      <c r="C192" s="542">
        <v>4.4470000000000002E-4</v>
      </c>
      <c r="D192" s="542">
        <v>4.3379999999999997E-4</v>
      </c>
      <c r="E192" s="538">
        <v>437160.13</v>
      </c>
      <c r="F192" s="538">
        <f t="shared" si="2"/>
        <v>508596</v>
      </c>
      <c r="G192" s="538">
        <v>1638808</v>
      </c>
      <c r="H192" s="538"/>
      <c r="I192" s="539">
        <v>0</v>
      </c>
      <c r="J192" s="539">
        <v>1143602</v>
      </c>
      <c r="K192" s="539">
        <v>0</v>
      </c>
      <c r="L192" s="538">
        <v>11062</v>
      </c>
      <c r="M192" s="538"/>
      <c r="N192" s="539">
        <v>186332</v>
      </c>
      <c r="O192" s="539">
        <v>1321153</v>
      </c>
      <c r="P192" s="539">
        <v>0</v>
      </c>
      <c r="Q192" s="538">
        <v>51168</v>
      </c>
      <c r="R192" s="538"/>
      <c r="S192" s="539">
        <v>159685</v>
      </c>
      <c r="T192" s="540">
        <v>-10209</v>
      </c>
      <c r="U192" s="540">
        <v>149476</v>
      </c>
    </row>
    <row r="193" spans="1:21" x14ac:dyDescent="0.25">
      <c r="A193" s="535">
        <v>36004</v>
      </c>
      <c r="B193" s="536" t="s">
        <v>962</v>
      </c>
      <c r="C193" s="542">
        <v>1.662E-4</v>
      </c>
      <c r="D193" s="542">
        <v>8.6299999999999997E-5</v>
      </c>
      <c r="E193" s="538">
        <v>177554.39</v>
      </c>
      <c r="F193" s="538">
        <f t="shared" si="2"/>
        <v>101180</v>
      </c>
      <c r="G193" s="538">
        <v>612480</v>
      </c>
      <c r="H193" s="538"/>
      <c r="I193" s="539">
        <v>0</v>
      </c>
      <c r="J193" s="539">
        <v>427404</v>
      </c>
      <c r="K193" s="539">
        <v>0</v>
      </c>
      <c r="L193" s="538">
        <v>619317</v>
      </c>
      <c r="M193" s="538"/>
      <c r="N193" s="539">
        <v>69639</v>
      </c>
      <c r="O193" s="539">
        <v>493761</v>
      </c>
      <c r="P193" s="539">
        <v>0</v>
      </c>
      <c r="Q193" s="538">
        <v>0</v>
      </c>
      <c r="R193" s="538"/>
      <c r="S193" s="539">
        <v>59680</v>
      </c>
      <c r="T193" s="540">
        <v>196493</v>
      </c>
      <c r="U193" s="540">
        <v>256172</v>
      </c>
    </row>
    <row r="194" spans="1:21" x14ac:dyDescent="0.25">
      <c r="A194" s="535">
        <v>36005</v>
      </c>
      <c r="B194" s="536" t="s">
        <v>963</v>
      </c>
      <c r="C194" s="542">
        <v>4.8573000000000002E-3</v>
      </c>
      <c r="D194" s="542">
        <v>4.6411000000000004E-3</v>
      </c>
      <c r="E194" s="538">
        <v>6352556</v>
      </c>
      <c r="F194" s="538">
        <f t="shared" si="2"/>
        <v>5441324</v>
      </c>
      <c r="G194" s="538">
        <v>17900112</v>
      </c>
      <c r="H194" s="538"/>
      <c r="I194" s="539">
        <v>0</v>
      </c>
      <c r="J194" s="539">
        <v>12491159</v>
      </c>
      <c r="K194" s="539">
        <v>0</v>
      </c>
      <c r="L194" s="538">
        <v>1993866</v>
      </c>
      <c r="M194" s="538"/>
      <c r="N194" s="539">
        <v>2035243</v>
      </c>
      <c r="O194" s="539">
        <v>14430485</v>
      </c>
      <c r="P194" s="539">
        <v>0</v>
      </c>
      <c r="Q194" s="538">
        <v>0</v>
      </c>
      <c r="R194" s="538"/>
      <c r="S194" s="539">
        <v>1744184</v>
      </c>
      <c r="T194" s="540">
        <v>626083</v>
      </c>
      <c r="U194" s="540">
        <v>2370267</v>
      </c>
    </row>
    <row r="195" spans="1:21" x14ac:dyDescent="0.25">
      <c r="A195" s="535">
        <v>36006</v>
      </c>
      <c r="B195" s="536" t="s">
        <v>964</v>
      </c>
      <c r="C195" s="542">
        <v>5.419E-4</v>
      </c>
      <c r="D195" s="542">
        <v>5.329E-4</v>
      </c>
      <c r="E195" s="538">
        <v>542304.34</v>
      </c>
      <c r="F195" s="538">
        <f t="shared" ref="F195:F258" si="3">D195*$F$298</f>
        <v>624783</v>
      </c>
      <c r="G195" s="538">
        <v>1997009</v>
      </c>
      <c r="H195" s="538"/>
      <c r="I195" s="539">
        <v>0</v>
      </c>
      <c r="J195" s="539">
        <v>1393564</v>
      </c>
      <c r="K195" s="539">
        <v>0</v>
      </c>
      <c r="L195" s="538">
        <v>46611</v>
      </c>
      <c r="M195" s="538"/>
      <c r="N195" s="539">
        <v>227060</v>
      </c>
      <c r="O195" s="539">
        <v>1609923</v>
      </c>
      <c r="P195" s="539">
        <v>0</v>
      </c>
      <c r="Q195" s="538">
        <v>72973</v>
      </c>
      <c r="R195" s="538"/>
      <c r="S195" s="539">
        <v>194588</v>
      </c>
      <c r="T195" s="540">
        <v>-3508</v>
      </c>
      <c r="U195" s="540">
        <v>191080</v>
      </c>
    </row>
    <row r="196" spans="1:21" x14ac:dyDescent="0.25">
      <c r="A196" s="535">
        <v>36007</v>
      </c>
      <c r="B196" s="536" t="s">
        <v>965</v>
      </c>
      <c r="C196" s="542">
        <v>1.8760000000000001E-4</v>
      </c>
      <c r="D196" s="542">
        <v>1.8110000000000001E-4</v>
      </c>
      <c r="E196" s="538">
        <v>191931.41</v>
      </c>
      <c r="F196" s="538">
        <f t="shared" si="3"/>
        <v>212325</v>
      </c>
      <c r="G196" s="538">
        <v>691343</v>
      </c>
      <c r="H196" s="538"/>
      <c r="I196" s="539">
        <v>0</v>
      </c>
      <c r="J196" s="539">
        <v>482437</v>
      </c>
      <c r="K196" s="539">
        <v>0</v>
      </c>
      <c r="L196" s="538">
        <v>29856</v>
      </c>
      <c r="M196" s="538"/>
      <c r="N196" s="539">
        <v>78606</v>
      </c>
      <c r="O196" s="539">
        <v>557338</v>
      </c>
      <c r="P196" s="539">
        <v>0</v>
      </c>
      <c r="Q196" s="538">
        <v>7651</v>
      </c>
      <c r="R196" s="538"/>
      <c r="S196" s="539">
        <v>67364</v>
      </c>
      <c r="T196" s="540">
        <v>8582</v>
      </c>
      <c r="U196" s="540">
        <v>75946</v>
      </c>
    </row>
    <row r="197" spans="1:21" x14ac:dyDescent="0.25">
      <c r="A197" s="535">
        <v>36008</v>
      </c>
      <c r="B197" s="536" t="s">
        <v>966</v>
      </c>
      <c r="C197" s="542">
        <v>5.4699999999999996E-4</v>
      </c>
      <c r="D197" s="542">
        <v>5.1360000000000002E-4</v>
      </c>
      <c r="E197" s="538">
        <v>512983.56</v>
      </c>
      <c r="F197" s="538">
        <f t="shared" si="3"/>
        <v>602155</v>
      </c>
      <c r="G197" s="538">
        <v>2015803</v>
      </c>
      <c r="H197" s="538"/>
      <c r="I197" s="539">
        <v>0</v>
      </c>
      <c r="J197" s="539">
        <v>1406679</v>
      </c>
      <c r="K197" s="539">
        <v>0</v>
      </c>
      <c r="L197" s="538">
        <v>47574</v>
      </c>
      <c r="M197" s="538"/>
      <c r="N197" s="539">
        <v>229197</v>
      </c>
      <c r="O197" s="539">
        <v>1625075</v>
      </c>
      <c r="P197" s="539">
        <v>0</v>
      </c>
      <c r="Q197" s="538">
        <v>0</v>
      </c>
      <c r="R197" s="538"/>
      <c r="S197" s="539">
        <v>196419</v>
      </c>
      <c r="T197" s="540">
        <v>16861</v>
      </c>
      <c r="U197" s="540">
        <v>213281</v>
      </c>
    </row>
    <row r="198" spans="1:21" x14ac:dyDescent="0.25">
      <c r="A198" s="535">
        <v>36009</v>
      </c>
      <c r="B198" s="536" t="s">
        <v>967</v>
      </c>
      <c r="C198" s="542">
        <v>1.551E-4</v>
      </c>
      <c r="D198" s="542">
        <v>1.0119999999999999E-4</v>
      </c>
      <c r="E198" s="538">
        <v>147380</v>
      </c>
      <c r="F198" s="538">
        <f t="shared" si="3"/>
        <v>118649</v>
      </c>
      <c r="G198" s="538">
        <v>571574</v>
      </c>
      <c r="H198" s="538"/>
      <c r="I198" s="539">
        <v>0</v>
      </c>
      <c r="J198" s="539">
        <v>398859</v>
      </c>
      <c r="K198" s="539">
        <v>0</v>
      </c>
      <c r="L198" s="538">
        <v>248771</v>
      </c>
      <c r="M198" s="538"/>
      <c r="N198" s="539">
        <v>64988</v>
      </c>
      <c r="O198" s="539">
        <v>460784</v>
      </c>
      <c r="P198" s="539">
        <v>0</v>
      </c>
      <c r="Q198" s="538">
        <v>0</v>
      </c>
      <c r="R198" s="538"/>
      <c r="S198" s="539">
        <v>55694</v>
      </c>
      <c r="T198" s="540">
        <v>73673</v>
      </c>
      <c r="U198" s="540">
        <v>129367</v>
      </c>
    </row>
    <row r="199" spans="1:21" x14ac:dyDescent="0.25">
      <c r="A199" s="535">
        <v>36100</v>
      </c>
      <c r="B199" s="536" t="s">
        <v>968</v>
      </c>
      <c r="C199" s="542">
        <v>7.8470000000000005E-4</v>
      </c>
      <c r="D199" s="542">
        <v>7.9100000000000004E-4</v>
      </c>
      <c r="E199" s="538">
        <v>1040408.45</v>
      </c>
      <c r="F199" s="538">
        <f t="shared" si="3"/>
        <v>927385</v>
      </c>
      <c r="G199" s="538">
        <v>2891775</v>
      </c>
      <c r="H199" s="538"/>
      <c r="I199" s="539">
        <v>0</v>
      </c>
      <c r="J199" s="539">
        <v>2017955</v>
      </c>
      <c r="K199" s="539">
        <v>0</v>
      </c>
      <c r="L199" s="538">
        <v>12259</v>
      </c>
      <c r="M199" s="538"/>
      <c r="N199" s="539">
        <v>328795</v>
      </c>
      <c r="O199" s="539">
        <v>2331254</v>
      </c>
      <c r="P199" s="539">
        <v>0</v>
      </c>
      <c r="Q199" s="538">
        <v>118035</v>
      </c>
      <c r="R199" s="538"/>
      <c r="S199" s="539">
        <v>281774</v>
      </c>
      <c r="T199" s="540">
        <v>-38911</v>
      </c>
      <c r="U199" s="540">
        <v>242863</v>
      </c>
    </row>
    <row r="200" spans="1:21" x14ac:dyDescent="0.25">
      <c r="A200" s="535">
        <v>36102</v>
      </c>
      <c r="B200" s="536" t="s">
        <v>969</v>
      </c>
      <c r="C200" s="542">
        <v>1.21E-4</v>
      </c>
      <c r="D200" s="542">
        <v>1.6550000000000001E-4</v>
      </c>
      <c r="E200" s="538">
        <v>132141.56</v>
      </c>
      <c r="F200" s="538">
        <f t="shared" si="3"/>
        <v>194036</v>
      </c>
      <c r="G200" s="538">
        <v>445909</v>
      </c>
      <c r="H200" s="538"/>
      <c r="I200" s="539">
        <v>0</v>
      </c>
      <c r="J200" s="539">
        <v>311167</v>
      </c>
      <c r="K200" s="539">
        <v>0</v>
      </c>
      <c r="L200" s="538">
        <v>0</v>
      </c>
      <c r="M200" s="538"/>
      <c r="N200" s="539">
        <v>50700</v>
      </c>
      <c r="O200" s="539">
        <v>359477</v>
      </c>
      <c r="P200" s="539">
        <v>0</v>
      </c>
      <c r="Q200" s="538">
        <v>229769</v>
      </c>
      <c r="R200" s="538"/>
      <c r="S200" s="539">
        <v>43449</v>
      </c>
      <c r="T200" s="540">
        <v>-65700</v>
      </c>
      <c r="U200" s="540">
        <v>-22251</v>
      </c>
    </row>
    <row r="201" spans="1:21" x14ac:dyDescent="0.25">
      <c r="A201" s="535">
        <v>36105</v>
      </c>
      <c r="B201" s="536" t="s">
        <v>970</v>
      </c>
      <c r="C201" s="542">
        <v>4.0910000000000002E-4</v>
      </c>
      <c r="D201" s="542">
        <v>4.2010000000000002E-4</v>
      </c>
      <c r="E201" s="538">
        <v>572234</v>
      </c>
      <c r="F201" s="538">
        <f t="shared" si="3"/>
        <v>492534</v>
      </c>
      <c r="G201" s="538">
        <v>1507615</v>
      </c>
      <c r="H201" s="538"/>
      <c r="I201" s="539">
        <v>0</v>
      </c>
      <c r="J201" s="539">
        <v>1052052</v>
      </c>
      <c r="K201" s="539">
        <v>0</v>
      </c>
      <c r="L201" s="538">
        <v>0</v>
      </c>
      <c r="M201" s="538"/>
      <c r="N201" s="539">
        <v>171416</v>
      </c>
      <c r="O201" s="539">
        <v>1215389</v>
      </c>
      <c r="P201" s="539">
        <v>0</v>
      </c>
      <c r="Q201" s="538">
        <v>42804</v>
      </c>
      <c r="R201" s="538"/>
      <c r="S201" s="539">
        <v>146902</v>
      </c>
      <c r="T201" s="540">
        <v>-15104</v>
      </c>
      <c r="U201" s="540">
        <v>131798</v>
      </c>
    </row>
    <row r="202" spans="1:21" x14ac:dyDescent="0.25">
      <c r="A202" s="535">
        <v>36200</v>
      </c>
      <c r="B202" s="536" t="s">
        <v>971</v>
      </c>
      <c r="C202" s="542">
        <v>1.5869E-3</v>
      </c>
      <c r="D202" s="542">
        <v>1.5994E-3</v>
      </c>
      <c r="E202" s="538">
        <v>2128217.44</v>
      </c>
      <c r="F202" s="538">
        <f t="shared" si="3"/>
        <v>1875170</v>
      </c>
      <c r="G202" s="538">
        <v>5848041</v>
      </c>
      <c r="H202" s="538"/>
      <c r="I202" s="539">
        <v>0</v>
      </c>
      <c r="J202" s="539">
        <v>4080913</v>
      </c>
      <c r="K202" s="539">
        <v>0</v>
      </c>
      <c r="L202" s="538">
        <v>44759</v>
      </c>
      <c r="M202" s="538"/>
      <c r="N202" s="539">
        <v>664922</v>
      </c>
      <c r="O202" s="539">
        <v>4714499</v>
      </c>
      <c r="P202" s="539">
        <v>0</v>
      </c>
      <c r="Q202" s="538">
        <v>49210</v>
      </c>
      <c r="R202" s="538"/>
      <c r="S202" s="539">
        <v>569832</v>
      </c>
      <c r="T202" s="540">
        <v>-5239</v>
      </c>
      <c r="U202" s="540">
        <v>564593</v>
      </c>
    </row>
    <row r="203" spans="1:21" x14ac:dyDescent="0.25">
      <c r="A203" s="535">
        <v>36205</v>
      </c>
      <c r="B203" s="536" t="s">
        <v>972</v>
      </c>
      <c r="C203" s="542">
        <v>2.611E-4</v>
      </c>
      <c r="D203" s="542">
        <v>2.5460000000000001E-4</v>
      </c>
      <c r="E203" s="538">
        <v>347739.85</v>
      </c>
      <c r="F203" s="538">
        <f t="shared" si="3"/>
        <v>298498</v>
      </c>
      <c r="G203" s="538">
        <v>962205</v>
      </c>
      <c r="H203" s="538"/>
      <c r="I203" s="539">
        <v>0</v>
      </c>
      <c r="J203" s="539">
        <v>671452</v>
      </c>
      <c r="K203" s="539">
        <v>0</v>
      </c>
      <c r="L203" s="538">
        <v>72344</v>
      </c>
      <c r="M203" s="538"/>
      <c r="N203" s="539">
        <v>109403</v>
      </c>
      <c r="O203" s="539">
        <v>775698</v>
      </c>
      <c r="P203" s="539">
        <v>0</v>
      </c>
      <c r="Q203" s="538">
        <v>0</v>
      </c>
      <c r="R203" s="538"/>
      <c r="S203" s="539">
        <v>93757</v>
      </c>
      <c r="T203" s="540">
        <v>22535</v>
      </c>
      <c r="U203" s="540">
        <v>116292</v>
      </c>
    </row>
    <row r="204" spans="1:21" x14ac:dyDescent="0.25">
      <c r="A204" s="535">
        <v>36300</v>
      </c>
      <c r="B204" s="536" t="s">
        <v>973</v>
      </c>
      <c r="C204" s="542">
        <v>4.8706000000000001E-3</v>
      </c>
      <c r="D204" s="542">
        <v>4.8456000000000003E-3</v>
      </c>
      <c r="E204" s="538">
        <v>6125652</v>
      </c>
      <c r="F204" s="538">
        <f t="shared" si="3"/>
        <v>5681084</v>
      </c>
      <c r="G204" s="538">
        <v>17949125</v>
      </c>
      <c r="H204" s="538"/>
      <c r="I204" s="539">
        <v>0</v>
      </c>
      <c r="J204" s="539">
        <v>12525362</v>
      </c>
      <c r="K204" s="539">
        <v>0</v>
      </c>
      <c r="L204" s="538">
        <v>87433</v>
      </c>
      <c r="M204" s="538"/>
      <c r="N204" s="539">
        <v>2040815</v>
      </c>
      <c r="O204" s="539">
        <v>14469997</v>
      </c>
      <c r="P204" s="539">
        <v>0</v>
      </c>
      <c r="Q204" s="538">
        <v>175398</v>
      </c>
      <c r="R204" s="538"/>
      <c r="S204" s="539">
        <v>1748959</v>
      </c>
      <c r="T204" s="540">
        <v>-38647</v>
      </c>
      <c r="U204" s="540">
        <v>1710312</v>
      </c>
    </row>
    <row r="205" spans="1:21" x14ac:dyDescent="0.25">
      <c r="A205" s="535">
        <v>36301</v>
      </c>
      <c r="B205" s="536" t="s">
        <v>974</v>
      </c>
      <c r="C205" s="542">
        <v>5.0699999999999999E-5</v>
      </c>
      <c r="D205" s="542">
        <v>4.9700000000000002E-5</v>
      </c>
      <c r="E205" s="538">
        <v>59635.96</v>
      </c>
      <c r="F205" s="538">
        <f t="shared" si="3"/>
        <v>58269</v>
      </c>
      <c r="G205" s="538">
        <v>186840</v>
      </c>
      <c r="H205" s="538"/>
      <c r="I205" s="539">
        <v>0</v>
      </c>
      <c r="J205" s="539">
        <v>130381</v>
      </c>
      <c r="K205" s="539">
        <v>0</v>
      </c>
      <c r="L205" s="538">
        <v>9034</v>
      </c>
      <c r="M205" s="538"/>
      <c r="N205" s="539">
        <v>21244</v>
      </c>
      <c r="O205" s="539">
        <v>150624</v>
      </c>
      <c r="P205" s="539">
        <v>0</v>
      </c>
      <c r="Q205" s="538">
        <v>0</v>
      </c>
      <c r="R205" s="538"/>
      <c r="S205" s="539">
        <v>18206</v>
      </c>
      <c r="T205" s="540">
        <v>3172</v>
      </c>
      <c r="U205" s="540">
        <v>21378</v>
      </c>
    </row>
    <row r="206" spans="1:21" x14ac:dyDescent="0.25">
      <c r="A206" s="535">
        <v>36302</v>
      </c>
      <c r="B206" s="536" t="s">
        <v>975</v>
      </c>
      <c r="C206" s="542">
        <v>1.2669999999999999E-4</v>
      </c>
      <c r="D206" s="542">
        <v>1.053E-4</v>
      </c>
      <c r="E206" s="538">
        <v>130920.73</v>
      </c>
      <c r="F206" s="538">
        <f t="shared" si="3"/>
        <v>123456</v>
      </c>
      <c r="G206" s="538">
        <v>466915</v>
      </c>
      <c r="H206" s="538"/>
      <c r="I206" s="539">
        <v>0</v>
      </c>
      <c r="J206" s="539">
        <v>325825</v>
      </c>
      <c r="K206" s="539">
        <v>0</v>
      </c>
      <c r="L206" s="538">
        <v>96482</v>
      </c>
      <c r="M206" s="538"/>
      <c r="N206" s="539">
        <v>53088</v>
      </c>
      <c r="O206" s="539">
        <v>376411</v>
      </c>
      <c r="P206" s="539">
        <v>0</v>
      </c>
      <c r="Q206" s="538">
        <v>0</v>
      </c>
      <c r="R206" s="538"/>
      <c r="S206" s="539">
        <v>45496</v>
      </c>
      <c r="T206" s="540">
        <v>29056</v>
      </c>
      <c r="U206" s="540">
        <v>74552</v>
      </c>
    </row>
    <row r="207" spans="1:21" x14ac:dyDescent="0.25">
      <c r="A207" s="535">
        <v>36305</v>
      </c>
      <c r="B207" s="536" t="s">
        <v>976</v>
      </c>
      <c r="C207" s="542">
        <v>9.7300000000000002E-4</v>
      </c>
      <c r="D207" s="542">
        <v>9.6610000000000001E-4</v>
      </c>
      <c r="E207" s="538">
        <v>1363671.54</v>
      </c>
      <c r="F207" s="538">
        <f t="shared" si="3"/>
        <v>1132676</v>
      </c>
      <c r="G207" s="538">
        <v>3585698</v>
      </c>
      <c r="H207" s="538"/>
      <c r="I207" s="539">
        <v>0</v>
      </c>
      <c r="J207" s="539">
        <v>2502192</v>
      </c>
      <c r="K207" s="539">
        <v>0</v>
      </c>
      <c r="L207" s="538">
        <v>135127</v>
      </c>
      <c r="M207" s="538"/>
      <c r="N207" s="539">
        <v>407694</v>
      </c>
      <c r="O207" s="539">
        <v>2890672</v>
      </c>
      <c r="P207" s="539">
        <v>0</v>
      </c>
      <c r="Q207" s="538">
        <v>90712</v>
      </c>
      <c r="R207" s="538"/>
      <c r="S207" s="539">
        <v>349390</v>
      </c>
      <c r="T207" s="540">
        <v>4918</v>
      </c>
      <c r="U207" s="540">
        <v>354308</v>
      </c>
    </row>
    <row r="208" spans="1:21" x14ac:dyDescent="0.25">
      <c r="A208" s="535">
        <v>36400</v>
      </c>
      <c r="B208" s="536" t="s">
        <v>977</v>
      </c>
      <c r="C208" s="542">
        <v>5.4408E-3</v>
      </c>
      <c r="D208" s="542">
        <v>5.5255E-3</v>
      </c>
      <c r="E208" s="538">
        <v>6982923</v>
      </c>
      <c r="F208" s="538">
        <f t="shared" si="3"/>
        <v>6478213</v>
      </c>
      <c r="G208" s="538">
        <v>20050425</v>
      </c>
      <c r="H208" s="538"/>
      <c r="I208" s="539">
        <v>0</v>
      </c>
      <c r="J208" s="539">
        <v>13991703</v>
      </c>
      <c r="K208" s="539">
        <v>0</v>
      </c>
      <c r="L208" s="538">
        <v>0</v>
      </c>
      <c r="M208" s="538"/>
      <c r="N208" s="539">
        <v>2279733</v>
      </c>
      <c r="O208" s="539">
        <v>16163997</v>
      </c>
      <c r="P208" s="539">
        <v>0</v>
      </c>
      <c r="Q208" s="538">
        <v>2018521</v>
      </c>
      <c r="R208" s="538"/>
      <c r="S208" s="539">
        <v>1953710</v>
      </c>
      <c r="T208" s="540">
        <v>-701547</v>
      </c>
      <c r="U208" s="540">
        <v>1252163</v>
      </c>
    </row>
    <row r="209" spans="1:21" x14ac:dyDescent="0.25">
      <c r="A209" s="535">
        <v>36405</v>
      </c>
      <c r="B209" s="536" t="s">
        <v>978</v>
      </c>
      <c r="C209" s="542">
        <v>9.0160000000000001E-4</v>
      </c>
      <c r="D209" s="542">
        <v>8.9459999999999995E-4</v>
      </c>
      <c r="E209" s="538">
        <v>1151559.53</v>
      </c>
      <c r="F209" s="538">
        <f t="shared" si="3"/>
        <v>1048848</v>
      </c>
      <c r="G209" s="538">
        <v>3322575</v>
      </c>
      <c r="H209" s="538"/>
      <c r="I209" s="539">
        <v>0</v>
      </c>
      <c r="J209" s="539">
        <v>2318578</v>
      </c>
      <c r="K209" s="539">
        <v>0</v>
      </c>
      <c r="L209" s="538">
        <v>283463</v>
      </c>
      <c r="M209" s="538"/>
      <c r="N209" s="539">
        <v>377777</v>
      </c>
      <c r="O209" s="539">
        <v>2678551</v>
      </c>
      <c r="P209" s="539">
        <v>0</v>
      </c>
      <c r="Q209" s="538">
        <v>0</v>
      </c>
      <c r="R209" s="538"/>
      <c r="S209" s="539">
        <v>323751</v>
      </c>
      <c r="T209" s="540">
        <v>98340</v>
      </c>
      <c r="U209" s="540">
        <v>422091</v>
      </c>
    </row>
    <row r="210" spans="1:21" x14ac:dyDescent="0.25">
      <c r="A210" s="535">
        <v>36500</v>
      </c>
      <c r="B210" s="536" t="s">
        <v>979</v>
      </c>
      <c r="C210" s="542">
        <v>1.0474600000000001E-2</v>
      </c>
      <c r="D210" s="542">
        <v>1.0248200000000001E-2</v>
      </c>
      <c r="E210" s="538">
        <v>12949033</v>
      </c>
      <c r="F210" s="538">
        <f t="shared" si="3"/>
        <v>12015206</v>
      </c>
      <c r="G210" s="538">
        <v>38600975</v>
      </c>
      <c r="H210" s="538"/>
      <c r="I210" s="539">
        <v>0</v>
      </c>
      <c r="J210" s="539">
        <v>26936754</v>
      </c>
      <c r="K210" s="539">
        <v>0</v>
      </c>
      <c r="L210" s="538">
        <v>1618650</v>
      </c>
      <c r="M210" s="538"/>
      <c r="N210" s="539">
        <v>4388931</v>
      </c>
      <c r="O210" s="539">
        <v>31118842</v>
      </c>
      <c r="P210" s="539">
        <v>0</v>
      </c>
      <c r="Q210" s="538">
        <v>0</v>
      </c>
      <c r="R210" s="538"/>
      <c r="S210" s="539">
        <v>3761272</v>
      </c>
      <c r="T210" s="540">
        <v>519666</v>
      </c>
      <c r="U210" s="540">
        <v>4280937</v>
      </c>
    </row>
    <row r="211" spans="1:21" x14ac:dyDescent="0.25">
      <c r="A211" s="535">
        <v>36501</v>
      </c>
      <c r="B211" s="536" t="s">
        <v>980</v>
      </c>
      <c r="C211" s="542">
        <v>1.187E-4</v>
      </c>
      <c r="D211" s="542">
        <v>1.104E-4</v>
      </c>
      <c r="E211" s="538">
        <v>142200</v>
      </c>
      <c r="F211" s="538">
        <f t="shared" si="3"/>
        <v>129435</v>
      </c>
      <c r="G211" s="538">
        <v>437433</v>
      </c>
      <c r="H211" s="538"/>
      <c r="I211" s="539">
        <v>0</v>
      </c>
      <c r="J211" s="539">
        <v>305252</v>
      </c>
      <c r="K211" s="539">
        <v>0</v>
      </c>
      <c r="L211" s="538">
        <v>33040</v>
      </c>
      <c r="M211" s="538"/>
      <c r="N211" s="539">
        <v>49736</v>
      </c>
      <c r="O211" s="539">
        <v>352644</v>
      </c>
      <c r="P211" s="539">
        <v>0</v>
      </c>
      <c r="Q211" s="538">
        <v>0</v>
      </c>
      <c r="R211" s="538"/>
      <c r="S211" s="539">
        <v>42623</v>
      </c>
      <c r="T211" s="540">
        <v>9470</v>
      </c>
      <c r="U211" s="540">
        <v>52093</v>
      </c>
    </row>
    <row r="212" spans="1:21" x14ac:dyDescent="0.25">
      <c r="A212" s="535">
        <v>36502</v>
      </c>
      <c r="B212" s="536" t="s">
        <v>981</v>
      </c>
      <c r="C212" s="542">
        <v>4.3699999999999998E-5</v>
      </c>
      <c r="D212" s="542">
        <v>4.5300000000000003E-5</v>
      </c>
      <c r="E212" s="538">
        <v>48373.86</v>
      </c>
      <c r="F212" s="538">
        <f t="shared" si="3"/>
        <v>53111</v>
      </c>
      <c r="G212" s="538">
        <v>161043</v>
      </c>
      <c r="H212" s="538"/>
      <c r="I212" s="539">
        <v>0</v>
      </c>
      <c r="J212" s="539">
        <v>112380</v>
      </c>
      <c r="K212" s="539">
        <v>0</v>
      </c>
      <c r="L212" s="538">
        <v>18304</v>
      </c>
      <c r="M212" s="538"/>
      <c r="N212" s="539">
        <v>18311</v>
      </c>
      <c r="O212" s="539">
        <v>129828</v>
      </c>
      <c r="P212" s="539">
        <v>0</v>
      </c>
      <c r="Q212" s="538">
        <v>12098</v>
      </c>
      <c r="R212" s="538"/>
      <c r="S212" s="539">
        <v>15692</v>
      </c>
      <c r="T212" s="540">
        <v>3209</v>
      </c>
      <c r="U212" s="540">
        <v>18901</v>
      </c>
    </row>
    <row r="213" spans="1:21" x14ac:dyDescent="0.25">
      <c r="A213" s="535">
        <v>36505</v>
      </c>
      <c r="B213" s="536" t="s">
        <v>982</v>
      </c>
      <c r="C213" s="542">
        <v>2.0844000000000001E-3</v>
      </c>
      <c r="D213" s="542">
        <v>2.153E-3</v>
      </c>
      <c r="E213" s="538">
        <v>2664081.1</v>
      </c>
      <c r="F213" s="538">
        <f t="shared" si="3"/>
        <v>2524223</v>
      </c>
      <c r="G213" s="538">
        <v>7681427</v>
      </c>
      <c r="H213" s="538"/>
      <c r="I213" s="539">
        <v>0</v>
      </c>
      <c r="J213" s="539">
        <v>5360297</v>
      </c>
      <c r="K213" s="539">
        <v>0</v>
      </c>
      <c r="L213" s="538">
        <v>362787</v>
      </c>
      <c r="M213" s="538"/>
      <c r="N213" s="539">
        <v>873378</v>
      </c>
      <c r="O213" s="539">
        <v>6192515</v>
      </c>
      <c r="P213" s="539">
        <v>0</v>
      </c>
      <c r="Q213" s="538">
        <v>264997</v>
      </c>
      <c r="R213" s="538"/>
      <c r="S213" s="539">
        <v>748477</v>
      </c>
      <c r="T213" s="540">
        <v>56625</v>
      </c>
      <c r="U213" s="540">
        <v>805102</v>
      </c>
    </row>
    <row r="214" spans="1:21" x14ac:dyDescent="0.25">
      <c r="A214" s="535">
        <v>36600</v>
      </c>
      <c r="B214" s="536" t="s">
        <v>983</v>
      </c>
      <c r="C214" s="542">
        <v>8.3319999999999998E-4</v>
      </c>
      <c r="D214" s="542">
        <v>8.7779999999999998E-4</v>
      </c>
      <c r="E214" s="538">
        <v>1121005</v>
      </c>
      <c r="F214" s="538">
        <f t="shared" si="3"/>
        <v>1029151</v>
      </c>
      <c r="G214" s="538">
        <v>3070507</v>
      </c>
      <c r="H214" s="538"/>
      <c r="I214" s="539">
        <v>0</v>
      </c>
      <c r="J214" s="539">
        <v>2142679</v>
      </c>
      <c r="K214" s="539">
        <v>0</v>
      </c>
      <c r="L214" s="538">
        <v>0</v>
      </c>
      <c r="M214" s="538"/>
      <c r="N214" s="539">
        <v>349117</v>
      </c>
      <c r="O214" s="539">
        <v>2475342</v>
      </c>
      <c r="P214" s="539">
        <v>0</v>
      </c>
      <c r="Q214" s="538">
        <v>242134</v>
      </c>
      <c r="R214" s="538"/>
      <c r="S214" s="539">
        <v>299190</v>
      </c>
      <c r="T214" s="540">
        <v>-75816</v>
      </c>
      <c r="U214" s="540">
        <v>223373</v>
      </c>
    </row>
    <row r="215" spans="1:21" x14ac:dyDescent="0.25">
      <c r="A215" s="535">
        <v>36601</v>
      </c>
      <c r="B215" s="536" t="s">
        <v>984</v>
      </c>
      <c r="C215" s="542">
        <v>3.6059999999999998E-4</v>
      </c>
      <c r="D215" s="542">
        <v>3.0600000000000001E-4</v>
      </c>
      <c r="E215" s="538">
        <v>372506</v>
      </c>
      <c r="F215" s="538">
        <f t="shared" si="3"/>
        <v>358761</v>
      </c>
      <c r="G215" s="538">
        <v>1328882</v>
      </c>
      <c r="H215" s="538"/>
      <c r="I215" s="539">
        <v>0</v>
      </c>
      <c r="J215" s="539">
        <v>927328</v>
      </c>
      <c r="K215" s="539">
        <v>0</v>
      </c>
      <c r="L215" s="538">
        <v>239521</v>
      </c>
      <c r="M215" s="538"/>
      <c r="N215" s="539">
        <v>151094</v>
      </c>
      <c r="O215" s="539">
        <v>1071301</v>
      </c>
      <c r="P215" s="539">
        <v>0</v>
      </c>
      <c r="Q215" s="538">
        <v>0</v>
      </c>
      <c r="R215" s="538"/>
      <c r="S215" s="539">
        <v>129486</v>
      </c>
      <c r="T215" s="540">
        <v>72305</v>
      </c>
      <c r="U215" s="540">
        <v>201791</v>
      </c>
    </row>
    <row r="216" spans="1:21" x14ac:dyDescent="0.25">
      <c r="A216" s="535">
        <v>36700</v>
      </c>
      <c r="B216" s="536" t="s">
        <v>985</v>
      </c>
      <c r="C216" s="542">
        <v>9.4318000000000006E-3</v>
      </c>
      <c r="D216" s="542">
        <v>9.0202000000000008E-3</v>
      </c>
      <c r="E216" s="538">
        <v>11135403</v>
      </c>
      <c r="F216" s="538">
        <f t="shared" si="3"/>
        <v>10575473</v>
      </c>
      <c r="G216" s="538">
        <v>34758050</v>
      </c>
      <c r="H216" s="538"/>
      <c r="I216" s="539">
        <v>0</v>
      </c>
      <c r="J216" s="539">
        <v>24255062</v>
      </c>
      <c r="K216" s="539">
        <v>0</v>
      </c>
      <c r="L216" s="538">
        <v>1612728</v>
      </c>
      <c r="M216" s="538"/>
      <c r="N216" s="539">
        <v>3951990</v>
      </c>
      <c r="O216" s="539">
        <v>28020803</v>
      </c>
      <c r="P216" s="539">
        <v>0</v>
      </c>
      <c r="Q216" s="538">
        <v>0</v>
      </c>
      <c r="R216" s="538"/>
      <c r="S216" s="539">
        <v>3386818</v>
      </c>
      <c r="T216" s="540">
        <v>485394</v>
      </c>
      <c r="U216" s="540">
        <v>3872212</v>
      </c>
    </row>
    <row r="217" spans="1:21" x14ac:dyDescent="0.25">
      <c r="A217" s="535">
        <v>36701</v>
      </c>
      <c r="B217" s="536" t="s">
        <v>986</v>
      </c>
      <c r="C217" s="542">
        <v>3.3599999999999997E-5</v>
      </c>
      <c r="D217" s="542">
        <v>2.19E-5</v>
      </c>
      <c r="E217" s="538">
        <v>35643.360000000001</v>
      </c>
      <c r="F217" s="538">
        <f t="shared" si="3"/>
        <v>25676</v>
      </c>
      <c r="G217" s="538">
        <v>123823</v>
      </c>
      <c r="H217" s="538"/>
      <c r="I217" s="539">
        <v>0</v>
      </c>
      <c r="J217" s="539">
        <v>86407</v>
      </c>
      <c r="K217" s="539">
        <v>0</v>
      </c>
      <c r="L217" s="538">
        <v>121942</v>
      </c>
      <c r="M217" s="538"/>
      <c r="N217" s="539">
        <v>14079</v>
      </c>
      <c r="O217" s="539">
        <v>99822</v>
      </c>
      <c r="P217" s="539">
        <v>0</v>
      </c>
      <c r="Q217" s="538">
        <v>0</v>
      </c>
      <c r="R217" s="538"/>
      <c r="S217" s="539">
        <v>12065</v>
      </c>
      <c r="T217" s="540">
        <v>40106</v>
      </c>
      <c r="U217" s="540">
        <v>52171</v>
      </c>
    </row>
    <row r="218" spans="1:21" x14ac:dyDescent="0.25">
      <c r="A218" s="535">
        <v>36705</v>
      </c>
      <c r="B218" s="536" t="s">
        <v>987</v>
      </c>
      <c r="C218" s="542">
        <v>1.0287E-3</v>
      </c>
      <c r="D218" s="542">
        <v>1.0179E-3</v>
      </c>
      <c r="E218" s="538">
        <v>1300406</v>
      </c>
      <c r="F218" s="538">
        <f t="shared" si="3"/>
        <v>1193407</v>
      </c>
      <c r="G218" s="538">
        <v>3790963</v>
      </c>
      <c r="H218" s="538"/>
      <c r="I218" s="539">
        <v>0</v>
      </c>
      <c r="J218" s="539">
        <v>2645432</v>
      </c>
      <c r="K218" s="539">
        <v>0</v>
      </c>
      <c r="L218" s="538">
        <v>47031</v>
      </c>
      <c r="M218" s="538"/>
      <c r="N218" s="539">
        <v>431033</v>
      </c>
      <c r="O218" s="539">
        <v>3056150</v>
      </c>
      <c r="P218" s="539">
        <v>0</v>
      </c>
      <c r="Q218" s="538">
        <v>87966</v>
      </c>
      <c r="R218" s="538"/>
      <c r="S218" s="539">
        <v>369391</v>
      </c>
      <c r="T218" s="540">
        <v>-18501</v>
      </c>
      <c r="U218" s="540">
        <v>350890</v>
      </c>
    </row>
    <row r="219" spans="1:21" x14ac:dyDescent="0.25">
      <c r="A219" s="535">
        <v>36800</v>
      </c>
      <c r="B219" s="536" t="s">
        <v>988</v>
      </c>
      <c r="C219" s="542">
        <v>3.3264000000000002E-3</v>
      </c>
      <c r="D219" s="542">
        <v>3.2799000000000001E-3</v>
      </c>
      <c r="E219" s="538">
        <v>4228424</v>
      </c>
      <c r="F219" s="538">
        <f t="shared" si="3"/>
        <v>3845424</v>
      </c>
      <c r="G219" s="538">
        <v>12258443</v>
      </c>
      <c r="H219" s="538"/>
      <c r="I219" s="539">
        <v>0</v>
      </c>
      <c r="J219" s="539">
        <v>8554257</v>
      </c>
      <c r="K219" s="539">
        <v>0</v>
      </c>
      <c r="L219" s="538">
        <v>219448</v>
      </c>
      <c r="M219" s="538"/>
      <c r="N219" s="539">
        <v>1393785</v>
      </c>
      <c r="O219" s="539">
        <v>9882355</v>
      </c>
      <c r="P219" s="539">
        <v>0</v>
      </c>
      <c r="Q219" s="538">
        <v>107871</v>
      </c>
      <c r="R219" s="538"/>
      <c r="S219" s="539">
        <v>1194460</v>
      </c>
      <c r="T219" s="540">
        <v>22125</v>
      </c>
      <c r="U219" s="540">
        <v>1216586</v>
      </c>
    </row>
    <row r="220" spans="1:21" x14ac:dyDescent="0.25">
      <c r="A220" s="535">
        <v>36801</v>
      </c>
      <c r="B220" s="536" t="s">
        <v>989</v>
      </c>
      <c r="C220" s="542">
        <v>5.8400000000000003E-5</v>
      </c>
      <c r="D220" s="542">
        <v>6.2199999999999994E-5</v>
      </c>
      <c r="E220" s="538">
        <v>53525.04</v>
      </c>
      <c r="F220" s="538">
        <f t="shared" si="3"/>
        <v>72925</v>
      </c>
      <c r="G220" s="538">
        <v>215216</v>
      </c>
      <c r="H220" s="538"/>
      <c r="I220" s="539">
        <v>0</v>
      </c>
      <c r="J220" s="539">
        <v>150183</v>
      </c>
      <c r="K220" s="539">
        <v>0</v>
      </c>
      <c r="L220" s="538">
        <v>0</v>
      </c>
      <c r="M220" s="538"/>
      <c r="N220" s="539">
        <v>24470</v>
      </c>
      <c r="O220" s="539">
        <v>173500</v>
      </c>
      <c r="P220" s="539">
        <v>0</v>
      </c>
      <c r="Q220" s="538">
        <v>41012</v>
      </c>
      <c r="R220" s="538"/>
      <c r="S220" s="539">
        <v>20971</v>
      </c>
      <c r="T220" s="540">
        <v>-12102</v>
      </c>
      <c r="U220" s="540">
        <v>8869</v>
      </c>
    </row>
    <row r="221" spans="1:21" x14ac:dyDescent="0.25">
      <c r="A221" s="535">
        <v>36802</v>
      </c>
      <c r="B221" s="536" t="s">
        <v>990</v>
      </c>
      <c r="C221" s="542">
        <v>8.42E-5</v>
      </c>
      <c r="D221" s="542">
        <v>8.6799999999999996E-5</v>
      </c>
      <c r="E221" s="538">
        <v>86043.53</v>
      </c>
      <c r="F221" s="538">
        <f t="shared" si="3"/>
        <v>101766</v>
      </c>
      <c r="G221" s="538">
        <v>310294</v>
      </c>
      <c r="H221" s="538"/>
      <c r="I221" s="539">
        <v>0</v>
      </c>
      <c r="J221" s="539">
        <v>216531</v>
      </c>
      <c r="K221" s="539">
        <v>0</v>
      </c>
      <c r="L221" s="538">
        <v>0</v>
      </c>
      <c r="M221" s="538"/>
      <c r="N221" s="539">
        <v>35280</v>
      </c>
      <c r="O221" s="539">
        <v>250149</v>
      </c>
      <c r="P221" s="539">
        <v>0</v>
      </c>
      <c r="Q221" s="538">
        <v>65012</v>
      </c>
      <c r="R221" s="538"/>
      <c r="S221" s="539">
        <v>30235</v>
      </c>
      <c r="T221" s="540">
        <v>-21114</v>
      </c>
      <c r="U221" s="540">
        <v>9121</v>
      </c>
    </row>
    <row r="222" spans="1:21" x14ac:dyDescent="0.25">
      <c r="A222" s="535">
        <v>36810</v>
      </c>
      <c r="B222" s="536" t="s">
        <v>991</v>
      </c>
      <c r="C222" s="542">
        <v>6.4930999999999999E-3</v>
      </c>
      <c r="D222" s="542">
        <v>6.2889E-3</v>
      </c>
      <c r="E222" s="538">
        <v>7826561</v>
      </c>
      <c r="F222" s="538">
        <f t="shared" si="3"/>
        <v>7373239</v>
      </c>
      <c r="G222" s="538">
        <v>23928359</v>
      </c>
      <c r="H222" s="538"/>
      <c r="I222" s="539">
        <v>0</v>
      </c>
      <c r="J222" s="539">
        <v>16697825</v>
      </c>
      <c r="K222" s="539">
        <v>0</v>
      </c>
      <c r="L222" s="538">
        <v>601866</v>
      </c>
      <c r="M222" s="538"/>
      <c r="N222" s="539">
        <v>2720654</v>
      </c>
      <c r="O222" s="539">
        <v>19290260</v>
      </c>
      <c r="P222" s="539">
        <v>0</v>
      </c>
      <c r="Q222" s="538">
        <v>0</v>
      </c>
      <c r="R222" s="538"/>
      <c r="S222" s="539">
        <v>2331575</v>
      </c>
      <c r="T222" s="540">
        <v>168987</v>
      </c>
      <c r="U222" s="540">
        <v>2500562</v>
      </c>
    </row>
    <row r="223" spans="1:21" x14ac:dyDescent="0.25">
      <c r="A223" s="535">
        <v>36900</v>
      </c>
      <c r="B223" s="536" t="s">
        <v>992</v>
      </c>
      <c r="C223" s="542">
        <v>6.3560000000000005E-4</v>
      </c>
      <c r="D223" s="542">
        <v>6.3590000000000001E-4</v>
      </c>
      <c r="E223" s="538">
        <v>808708.63</v>
      </c>
      <c r="F223" s="538">
        <f t="shared" si="3"/>
        <v>745543</v>
      </c>
      <c r="G223" s="538">
        <v>2342312</v>
      </c>
      <c r="H223" s="538"/>
      <c r="I223" s="539">
        <v>0</v>
      </c>
      <c r="J223" s="539">
        <v>1634525</v>
      </c>
      <c r="K223" s="539">
        <v>0</v>
      </c>
      <c r="L223" s="538">
        <v>14372</v>
      </c>
      <c r="M223" s="538"/>
      <c r="N223" s="539">
        <v>266321</v>
      </c>
      <c r="O223" s="539">
        <v>1888295</v>
      </c>
      <c r="P223" s="539">
        <v>0</v>
      </c>
      <c r="Q223" s="538">
        <v>0</v>
      </c>
      <c r="R223" s="538"/>
      <c r="S223" s="539">
        <v>228234</v>
      </c>
      <c r="T223" s="540">
        <v>4856</v>
      </c>
      <c r="U223" s="540">
        <v>233090</v>
      </c>
    </row>
    <row r="224" spans="1:21" x14ac:dyDescent="0.25">
      <c r="A224" s="535">
        <v>36901</v>
      </c>
      <c r="B224" s="536" t="s">
        <v>993</v>
      </c>
      <c r="C224" s="542">
        <v>1.983E-4</v>
      </c>
      <c r="D224" s="542">
        <v>1.84E-4</v>
      </c>
      <c r="E224" s="538">
        <v>231342.2</v>
      </c>
      <c r="F224" s="538">
        <f t="shared" si="3"/>
        <v>215725</v>
      </c>
      <c r="G224" s="538">
        <v>730775</v>
      </c>
      <c r="H224" s="538"/>
      <c r="I224" s="539">
        <v>0</v>
      </c>
      <c r="J224" s="539">
        <v>509953</v>
      </c>
      <c r="K224" s="539">
        <v>0</v>
      </c>
      <c r="L224" s="538">
        <v>45658</v>
      </c>
      <c r="M224" s="538"/>
      <c r="N224" s="539">
        <v>83089</v>
      </c>
      <c r="O224" s="539">
        <v>589127</v>
      </c>
      <c r="P224" s="539">
        <v>0</v>
      </c>
      <c r="Q224" s="538">
        <v>1380</v>
      </c>
      <c r="R224" s="538"/>
      <c r="S224" s="539">
        <v>71207</v>
      </c>
      <c r="T224" s="540">
        <v>12153</v>
      </c>
      <c r="U224" s="540">
        <v>83360</v>
      </c>
    </row>
    <row r="225" spans="1:21" x14ac:dyDescent="0.25">
      <c r="A225" s="535">
        <v>36905</v>
      </c>
      <c r="B225" s="536" t="s">
        <v>994</v>
      </c>
      <c r="C225" s="542">
        <v>1.9870000000000001E-4</v>
      </c>
      <c r="D225" s="542">
        <v>2.0880000000000001E-4</v>
      </c>
      <c r="E225" s="538">
        <v>304477.94</v>
      </c>
      <c r="F225" s="538">
        <f t="shared" si="3"/>
        <v>244802</v>
      </c>
      <c r="G225" s="538">
        <v>732249</v>
      </c>
      <c r="H225" s="538"/>
      <c r="I225" s="539">
        <v>0</v>
      </c>
      <c r="J225" s="539">
        <v>510982</v>
      </c>
      <c r="K225" s="539">
        <v>0</v>
      </c>
      <c r="L225" s="538">
        <v>29645</v>
      </c>
      <c r="M225" s="538"/>
      <c r="N225" s="539">
        <v>83257</v>
      </c>
      <c r="O225" s="539">
        <v>590315</v>
      </c>
      <c r="P225" s="539">
        <v>0</v>
      </c>
      <c r="Q225" s="538">
        <v>777</v>
      </c>
      <c r="R225" s="538"/>
      <c r="S225" s="539">
        <v>71350</v>
      </c>
      <c r="T225" s="540">
        <v>10410</v>
      </c>
      <c r="U225" s="540">
        <v>81760</v>
      </c>
    </row>
    <row r="226" spans="1:21" x14ac:dyDescent="0.25">
      <c r="A226" s="535">
        <v>37000</v>
      </c>
      <c r="B226" s="536" t="s">
        <v>995</v>
      </c>
      <c r="C226" s="542">
        <v>2.1697000000000001E-3</v>
      </c>
      <c r="D226" s="542">
        <v>2.1253000000000001E-3</v>
      </c>
      <c r="E226" s="538">
        <v>2768233.77</v>
      </c>
      <c r="F226" s="538">
        <f t="shared" si="3"/>
        <v>2491747</v>
      </c>
      <c r="G226" s="538">
        <v>7995774</v>
      </c>
      <c r="H226" s="538"/>
      <c r="I226" s="539">
        <v>0</v>
      </c>
      <c r="J226" s="539">
        <v>5579657</v>
      </c>
      <c r="K226" s="539">
        <v>0</v>
      </c>
      <c r="L226" s="538">
        <v>210677</v>
      </c>
      <c r="M226" s="538"/>
      <c r="N226" s="539">
        <v>909119</v>
      </c>
      <c r="O226" s="539">
        <v>6445931</v>
      </c>
      <c r="P226" s="539">
        <v>0</v>
      </c>
      <c r="Q226" s="538">
        <v>276411</v>
      </c>
      <c r="R226" s="538"/>
      <c r="S226" s="539">
        <v>779107</v>
      </c>
      <c r="T226" s="540">
        <v>-40713</v>
      </c>
      <c r="U226" s="540">
        <v>738394</v>
      </c>
    </row>
    <row r="227" spans="1:21" x14ac:dyDescent="0.25">
      <c r="A227" s="535">
        <v>37005</v>
      </c>
      <c r="B227" s="536" t="s">
        <v>996</v>
      </c>
      <c r="C227" s="542">
        <v>5.4609999999999999E-4</v>
      </c>
      <c r="D227" s="542">
        <v>5.4750000000000003E-4</v>
      </c>
      <c r="E227" s="538">
        <v>745783.57</v>
      </c>
      <c r="F227" s="538">
        <f t="shared" si="3"/>
        <v>641901</v>
      </c>
      <c r="G227" s="538">
        <v>2012487</v>
      </c>
      <c r="H227" s="538"/>
      <c r="I227" s="539">
        <v>0</v>
      </c>
      <c r="J227" s="539">
        <v>1404365</v>
      </c>
      <c r="K227" s="539">
        <v>0</v>
      </c>
      <c r="L227" s="538">
        <v>58958</v>
      </c>
      <c r="M227" s="538"/>
      <c r="N227" s="539">
        <v>228820</v>
      </c>
      <c r="O227" s="539">
        <v>1622401</v>
      </c>
      <c r="P227" s="539">
        <v>0</v>
      </c>
      <c r="Q227" s="538">
        <v>0</v>
      </c>
      <c r="R227" s="538"/>
      <c r="S227" s="539">
        <v>196096</v>
      </c>
      <c r="T227" s="540">
        <v>18023</v>
      </c>
      <c r="U227" s="540">
        <v>214120</v>
      </c>
    </row>
    <row r="228" spans="1:21" x14ac:dyDescent="0.25">
      <c r="A228" s="535">
        <v>37100</v>
      </c>
      <c r="B228" s="536" t="s">
        <v>997</v>
      </c>
      <c r="C228" s="542">
        <v>3.0909000000000002E-3</v>
      </c>
      <c r="D228" s="542">
        <v>2.9372000000000001E-3</v>
      </c>
      <c r="E228" s="538">
        <v>3686656.29</v>
      </c>
      <c r="F228" s="538">
        <f t="shared" si="3"/>
        <v>3443635</v>
      </c>
      <c r="G228" s="538">
        <v>11390578</v>
      </c>
      <c r="H228" s="538"/>
      <c r="I228" s="539">
        <v>0</v>
      </c>
      <c r="J228" s="539">
        <v>7948639</v>
      </c>
      <c r="K228" s="539">
        <v>0</v>
      </c>
      <c r="L228" s="538">
        <v>481915</v>
      </c>
      <c r="M228" s="538"/>
      <c r="N228" s="539">
        <v>1295109</v>
      </c>
      <c r="O228" s="539">
        <v>9182712</v>
      </c>
      <c r="P228" s="539">
        <v>0</v>
      </c>
      <c r="Q228" s="538">
        <v>525611</v>
      </c>
      <c r="R228" s="538"/>
      <c r="S228" s="539">
        <v>1109896</v>
      </c>
      <c r="T228" s="540">
        <v>-54897</v>
      </c>
      <c r="U228" s="540">
        <v>1054999</v>
      </c>
    </row>
    <row r="229" spans="1:21" x14ac:dyDescent="0.25">
      <c r="A229" s="535">
        <v>37200</v>
      </c>
      <c r="B229" s="536" t="s">
        <v>998</v>
      </c>
      <c r="C229" s="542">
        <v>7.4390000000000003E-4</v>
      </c>
      <c r="D229" s="542">
        <v>7.1929999999999997E-4</v>
      </c>
      <c r="E229" s="538">
        <v>939897.55</v>
      </c>
      <c r="F229" s="538">
        <f t="shared" si="3"/>
        <v>843323</v>
      </c>
      <c r="G229" s="538">
        <v>2741419</v>
      </c>
      <c r="H229" s="538"/>
      <c r="I229" s="539">
        <v>0</v>
      </c>
      <c r="J229" s="539">
        <v>1913033</v>
      </c>
      <c r="K229" s="539">
        <v>0</v>
      </c>
      <c r="L229" s="538">
        <v>104719</v>
      </c>
      <c r="M229" s="538"/>
      <c r="N229" s="539">
        <v>311699</v>
      </c>
      <c r="O229" s="539">
        <v>2210042</v>
      </c>
      <c r="P229" s="539">
        <v>0</v>
      </c>
      <c r="Q229" s="538">
        <v>76957</v>
      </c>
      <c r="R229" s="538"/>
      <c r="S229" s="539">
        <v>267123</v>
      </c>
      <c r="T229" s="540">
        <v>1425</v>
      </c>
      <c r="U229" s="540">
        <v>268548</v>
      </c>
    </row>
    <row r="230" spans="1:21" x14ac:dyDescent="0.25">
      <c r="A230" s="535">
        <v>37300</v>
      </c>
      <c r="B230" s="536" t="s">
        <v>999</v>
      </c>
      <c r="C230" s="542">
        <v>1.8423000000000001E-3</v>
      </c>
      <c r="D230" s="542">
        <v>1.8791999999999999E-3</v>
      </c>
      <c r="E230" s="538">
        <v>2304784.6</v>
      </c>
      <c r="F230" s="538">
        <f t="shared" si="3"/>
        <v>2203214</v>
      </c>
      <c r="G230" s="538">
        <v>6789240</v>
      </c>
      <c r="H230" s="538"/>
      <c r="I230" s="539">
        <v>0</v>
      </c>
      <c r="J230" s="539">
        <v>4737707</v>
      </c>
      <c r="K230" s="539">
        <v>0</v>
      </c>
      <c r="L230" s="538">
        <v>0</v>
      </c>
      <c r="M230" s="538"/>
      <c r="N230" s="539">
        <v>771937</v>
      </c>
      <c r="O230" s="539">
        <v>5473263</v>
      </c>
      <c r="P230" s="539">
        <v>0</v>
      </c>
      <c r="Q230" s="538">
        <v>537733</v>
      </c>
      <c r="R230" s="538"/>
      <c r="S230" s="539">
        <v>661542</v>
      </c>
      <c r="T230" s="540">
        <v>-178669</v>
      </c>
      <c r="U230" s="540">
        <v>482874</v>
      </c>
    </row>
    <row r="231" spans="1:21" x14ac:dyDescent="0.25">
      <c r="A231" s="535">
        <v>37301</v>
      </c>
      <c r="B231" s="536" t="s">
        <v>1000</v>
      </c>
      <c r="C231" s="542">
        <v>1.941E-4</v>
      </c>
      <c r="D231" s="542">
        <v>1.6890000000000001E-4</v>
      </c>
      <c r="E231" s="538">
        <v>229923.37</v>
      </c>
      <c r="F231" s="538">
        <f t="shared" si="3"/>
        <v>198022</v>
      </c>
      <c r="G231" s="538">
        <v>715297</v>
      </c>
      <c r="H231" s="538"/>
      <c r="I231" s="539">
        <v>0</v>
      </c>
      <c r="J231" s="539">
        <v>499153</v>
      </c>
      <c r="K231" s="539">
        <v>0</v>
      </c>
      <c r="L231" s="538">
        <v>115962</v>
      </c>
      <c r="M231" s="538"/>
      <c r="N231" s="539">
        <v>81329</v>
      </c>
      <c r="O231" s="539">
        <v>576649</v>
      </c>
      <c r="P231" s="539">
        <v>0</v>
      </c>
      <c r="Q231" s="538">
        <v>0</v>
      </c>
      <c r="R231" s="538"/>
      <c r="S231" s="539">
        <v>69698</v>
      </c>
      <c r="T231" s="540">
        <v>33841</v>
      </c>
      <c r="U231" s="540">
        <v>103540</v>
      </c>
    </row>
    <row r="232" spans="1:21" x14ac:dyDescent="0.25">
      <c r="A232" s="535">
        <v>37305</v>
      </c>
      <c r="B232" s="536" t="s">
        <v>1001</v>
      </c>
      <c r="C232" s="542">
        <v>6.1359999999999995E-4</v>
      </c>
      <c r="D232" s="542">
        <v>7.136E-4</v>
      </c>
      <c r="E232" s="538">
        <v>871189.01</v>
      </c>
      <c r="F232" s="538">
        <f t="shared" si="3"/>
        <v>836640</v>
      </c>
      <c r="G232" s="538">
        <v>2261237</v>
      </c>
      <c r="H232" s="538"/>
      <c r="I232" s="539">
        <v>0</v>
      </c>
      <c r="J232" s="539">
        <v>1577950</v>
      </c>
      <c r="K232" s="539">
        <v>0</v>
      </c>
      <c r="L232" s="538">
        <v>0</v>
      </c>
      <c r="M232" s="538"/>
      <c r="N232" s="539">
        <v>257103</v>
      </c>
      <c r="O232" s="539">
        <v>1822936</v>
      </c>
      <c r="P232" s="539">
        <v>0</v>
      </c>
      <c r="Q232" s="538">
        <v>412112</v>
      </c>
      <c r="R232" s="538"/>
      <c r="S232" s="539">
        <v>220335</v>
      </c>
      <c r="T232" s="540">
        <v>-119393</v>
      </c>
      <c r="U232" s="540">
        <v>100942</v>
      </c>
    </row>
    <row r="233" spans="1:21" x14ac:dyDescent="0.25">
      <c r="A233" s="535">
        <v>37400</v>
      </c>
      <c r="B233" s="536" t="s">
        <v>1002</v>
      </c>
      <c r="C233" s="542">
        <v>9.2087999999999996E-3</v>
      </c>
      <c r="D233" s="542">
        <v>9.0300999999999992E-3</v>
      </c>
      <c r="E233" s="538">
        <v>10840698</v>
      </c>
      <c r="F233" s="538">
        <f t="shared" si="3"/>
        <v>10587080</v>
      </c>
      <c r="G233" s="538">
        <v>33936251</v>
      </c>
      <c r="H233" s="538"/>
      <c r="I233" s="539">
        <v>0</v>
      </c>
      <c r="J233" s="539">
        <v>23681590</v>
      </c>
      <c r="K233" s="539">
        <v>0</v>
      </c>
      <c r="L233" s="538">
        <v>141522</v>
      </c>
      <c r="M233" s="538"/>
      <c r="N233" s="539">
        <v>3858552</v>
      </c>
      <c r="O233" s="539">
        <v>27358295</v>
      </c>
      <c r="P233" s="539">
        <v>0</v>
      </c>
      <c r="Q233" s="538">
        <v>504876</v>
      </c>
      <c r="R233" s="538"/>
      <c r="S233" s="539">
        <v>3306742</v>
      </c>
      <c r="T233" s="540">
        <v>-141756</v>
      </c>
      <c r="U233" s="540">
        <v>3164985</v>
      </c>
    </row>
    <row r="234" spans="1:21" x14ac:dyDescent="0.25">
      <c r="A234" s="535">
        <v>37405</v>
      </c>
      <c r="B234" s="536" t="s">
        <v>1003</v>
      </c>
      <c r="C234" s="542">
        <v>1.9784E-3</v>
      </c>
      <c r="D234" s="542">
        <v>1.885E-3</v>
      </c>
      <c r="E234" s="538">
        <v>2393501.91</v>
      </c>
      <c r="F234" s="538">
        <f t="shared" si="3"/>
        <v>2210014</v>
      </c>
      <c r="G234" s="538">
        <v>7290796</v>
      </c>
      <c r="H234" s="538"/>
      <c r="I234" s="539">
        <v>0</v>
      </c>
      <c r="J234" s="539">
        <v>5087705</v>
      </c>
      <c r="K234" s="539">
        <v>0</v>
      </c>
      <c r="L234" s="538">
        <v>502686</v>
      </c>
      <c r="M234" s="538"/>
      <c r="N234" s="539">
        <v>828963</v>
      </c>
      <c r="O234" s="539">
        <v>5877601</v>
      </c>
      <c r="P234" s="539">
        <v>0</v>
      </c>
      <c r="Q234" s="538">
        <v>0</v>
      </c>
      <c r="R234" s="538"/>
      <c r="S234" s="539">
        <v>710414</v>
      </c>
      <c r="T234" s="540">
        <v>154624</v>
      </c>
      <c r="U234" s="540">
        <v>865038</v>
      </c>
    </row>
    <row r="235" spans="1:21" x14ac:dyDescent="0.25">
      <c r="A235" s="535">
        <v>37500</v>
      </c>
      <c r="B235" s="536" t="s">
        <v>1004</v>
      </c>
      <c r="C235" s="542">
        <v>1.0656000000000001E-3</v>
      </c>
      <c r="D235" s="542">
        <v>1.0281999999999999E-3</v>
      </c>
      <c r="E235" s="538">
        <v>1408022.18</v>
      </c>
      <c r="F235" s="538">
        <f t="shared" si="3"/>
        <v>1205483</v>
      </c>
      <c r="G235" s="538">
        <v>3926947</v>
      </c>
      <c r="H235" s="538"/>
      <c r="I235" s="539">
        <v>0</v>
      </c>
      <c r="J235" s="539">
        <v>2740325</v>
      </c>
      <c r="K235" s="539">
        <v>0</v>
      </c>
      <c r="L235" s="538">
        <v>333403</v>
      </c>
      <c r="M235" s="538"/>
      <c r="N235" s="539">
        <v>446494</v>
      </c>
      <c r="O235" s="539">
        <v>3165776</v>
      </c>
      <c r="P235" s="539">
        <v>0</v>
      </c>
      <c r="Q235" s="538">
        <v>0</v>
      </c>
      <c r="R235" s="538"/>
      <c r="S235" s="539">
        <v>382641</v>
      </c>
      <c r="T235" s="540">
        <v>102610</v>
      </c>
      <c r="U235" s="540">
        <v>485251</v>
      </c>
    </row>
    <row r="236" spans="1:21" x14ac:dyDescent="0.25">
      <c r="A236" s="535">
        <v>37600</v>
      </c>
      <c r="B236" s="536" t="s">
        <v>1005</v>
      </c>
      <c r="C236" s="542">
        <v>6.4326000000000001E-3</v>
      </c>
      <c r="D236" s="542">
        <v>6.5849999999999997E-3</v>
      </c>
      <c r="E236" s="538">
        <v>7795506</v>
      </c>
      <c r="F236" s="538">
        <f t="shared" si="3"/>
        <v>7720393</v>
      </c>
      <c r="G236" s="538">
        <v>23705405</v>
      </c>
      <c r="H236" s="538"/>
      <c r="I236" s="539">
        <v>0</v>
      </c>
      <c r="J236" s="539">
        <v>16542241</v>
      </c>
      <c r="K236" s="539">
        <v>0</v>
      </c>
      <c r="L236" s="538">
        <v>0</v>
      </c>
      <c r="M236" s="538"/>
      <c r="N236" s="539">
        <v>2695304</v>
      </c>
      <c r="O236" s="539">
        <v>19110521</v>
      </c>
      <c r="P236" s="539">
        <v>0</v>
      </c>
      <c r="Q236" s="538">
        <v>1059957</v>
      </c>
      <c r="R236" s="538"/>
      <c r="S236" s="539">
        <v>2309850</v>
      </c>
      <c r="T236" s="540">
        <v>-306614</v>
      </c>
      <c r="U236" s="540">
        <v>2003236</v>
      </c>
    </row>
    <row r="237" spans="1:21" x14ac:dyDescent="0.25">
      <c r="A237" s="535">
        <v>37601</v>
      </c>
      <c r="B237" s="536" t="s">
        <v>1006</v>
      </c>
      <c r="C237" s="542">
        <v>8.25E-5</v>
      </c>
      <c r="D237" s="542">
        <v>4.21E-5</v>
      </c>
      <c r="E237" s="538">
        <v>88563.35</v>
      </c>
      <c r="F237" s="538">
        <f t="shared" si="3"/>
        <v>49359</v>
      </c>
      <c r="G237" s="538">
        <v>304029</v>
      </c>
      <c r="H237" s="538"/>
      <c r="I237" s="539">
        <v>0</v>
      </c>
      <c r="J237" s="539">
        <v>212159</v>
      </c>
      <c r="K237" s="539">
        <v>0</v>
      </c>
      <c r="L237" s="538">
        <v>304477</v>
      </c>
      <c r="M237" s="538"/>
      <c r="N237" s="539">
        <v>34568</v>
      </c>
      <c r="O237" s="539">
        <v>245098</v>
      </c>
      <c r="P237" s="539">
        <v>0</v>
      </c>
      <c r="Q237" s="538">
        <v>0</v>
      </c>
      <c r="R237" s="538"/>
      <c r="S237" s="539">
        <v>29625</v>
      </c>
      <c r="T237" s="540">
        <v>96199</v>
      </c>
      <c r="U237" s="540">
        <v>125824</v>
      </c>
    </row>
    <row r="238" spans="1:21" x14ac:dyDescent="0.25">
      <c r="A238" s="535">
        <v>37605</v>
      </c>
      <c r="B238" s="536" t="s">
        <v>1007</v>
      </c>
      <c r="C238" s="542">
        <v>7.3910000000000002E-4</v>
      </c>
      <c r="D238" s="542">
        <v>7.4439999999999999E-4</v>
      </c>
      <c r="E238" s="538">
        <v>930939.71</v>
      </c>
      <c r="F238" s="538">
        <f t="shared" si="3"/>
        <v>872750</v>
      </c>
      <c r="G238" s="538">
        <v>2723730</v>
      </c>
      <c r="H238" s="538"/>
      <c r="I238" s="539">
        <v>0</v>
      </c>
      <c r="J238" s="539">
        <v>1900689</v>
      </c>
      <c r="K238" s="539">
        <v>0</v>
      </c>
      <c r="L238" s="538">
        <v>0</v>
      </c>
      <c r="M238" s="538"/>
      <c r="N238" s="539">
        <v>309688</v>
      </c>
      <c r="O238" s="539">
        <v>2195782</v>
      </c>
      <c r="P238" s="539">
        <v>0</v>
      </c>
      <c r="Q238" s="538">
        <v>28756</v>
      </c>
      <c r="R238" s="538"/>
      <c r="S238" s="539">
        <v>265400</v>
      </c>
      <c r="T238" s="540">
        <v>-8341</v>
      </c>
      <c r="U238" s="540">
        <v>257059</v>
      </c>
    </row>
    <row r="239" spans="1:21" x14ac:dyDescent="0.25">
      <c r="A239" s="535">
        <v>37610</v>
      </c>
      <c r="B239" s="536" t="s">
        <v>1008</v>
      </c>
      <c r="C239" s="542">
        <v>2.0593E-3</v>
      </c>
      <c r="D239" s="542">
        <v>2.0812000000000001E-3</v>
      </c>
      <c r="E239" s="538">
        <v>2316046.94</v>
      </c>
      <c r="F239" s="538">
        <f t="shared" si="3"/>
        <v>2440043</v>
      </c>
      <c r="G239" s="538">
        <v>7588928</v>
      </c>
      <c r="H239" s="538"/>
      <c r="I239" s="539">
        <v>0</v>
      </c>
      <c r="J239" s="539">
        <v>5295749</v>
      </c>
      <c r="K239" s="539">
        <v>0</v>
      </c>
      <c r="L239" s="538">
        <v>16229</v>
      </c>
      <c r="M239" s="538"/>
      <c r="N239" s="539">
        <v>862861</v>
      </c>
      <c r="O239" s="539">
        <v>6117946</v>
      </c>
      <c r="P239" s="539">
        <v>0</v>
      </c>
      <c r="Q239" s="538">
        <v>314991</v>
      </c>
      <c r="R239" s="538"/>
      <c r="S239" s="539">
        <v>739464</v>
      </c>
      <c r="T239" s="540">
        <v>-81438</v>
      </c>
      <c r="U239" s="540">
        <v>658025</v>
      </c>
    </row>
    <row r="240" spans="1:21" x14ac:dyDescent="0.25">
      <c r="A240" s="535">
        <v>37700</v>
      </c>
      <c r="B240" s="536" t="s">
        <v>1009</v>
      </c>
      <c r="C240" s="542">
        <v>2.7039999999999998E-3</v>
      </c>
      <c r="D240" s="542">
        <v>2.7109999999999999E-3</v>
      </c>
      <c r="E240" s="538">
        <v>3389033.61</v>
      </c>
      <c r="F240" s="538">
        <f t="shared" si="3"/>
        <v>3178434</v>
      </c>
      <c r="G240" s="538">
        <v>9964775</v>
      </c>
      <c r="H240" s="538"/>
      <c r="I240" s="539">
        <v>0</v>
      </c>
      <c r="J240" s="539">
        <v>6953677</v>
      </c>
      <c r="K240" s="539">
        <v>0</v>
      </c>
      <c r="L240" s="538">
        <v>0</v>
      </c>
      <c r="M240" s="538"/>
      <c r="N240" s="539">
        <v>1132995</v>
      </c>
      <c r="O240" s="539">
        <v>8033276</v>
      </c>
      <c r="P240" s="539">
        <v>0</v>
      </c>
      <c r="Q240" s="538">
        <v>262078</v>
      </c>
      <c r="R240" s="538"/>
      <c r="S240" s="539">
        <v>970965.84</v>
      </c>
      <c r="T240" s="540">
        <v>-89941</v>
      </c>
      <c r="U240" s="540">
        <v>881025</v>
      </c>
    </row>
    <row r="241" spans="1:21" x14ac:dyDescent="0.25">
      <c r="A241" s="535">
        <v>37705</v>
      </c>
      <c r="B241" s="536" t="s">
        <v>1010</v>
      </c>
      <c r="C241" s="542">
        <v>7.9880000000000001E-4</v>
      </c>
      <c r="D241" s="542">
        <v>7.8149999999999997E-4</v>
      </c>
      <c r="E241" s="538">
        <v>980021.79</v>
      </c>
      <c r="F241" s="538">
        <f t="shared" si="3"/>
        <v>916247</v>
      </c>
      <c r="G241" s="538">
        <v>2943736</v>
      </c>
      <c r="H241" s="538"/>
      <c r="I241" s="539">
        <v>0</v>
      </c>
      <c r="J241" s="539">
        <v>2054215</v>
      </c>
      <c r="K241" s="539">
        <v>0</v>
      </c>
      <c r="L241" s="538">
        <v>306197</v>
      </c>
      <c r="M241" s="538"/>
      <c r="N241" s="539">
        <v>334703</v>
      </c>
      <c r="O241" s="539">
        <v>2373144</v>
      </c>
      <c r="P241" s="539">
        <v>0</v>
      </c>
      <c r="Q241" s="538">
        <v>0</v>
      </c>
      <c r="R241" s="538"/>
      <c r="S241" s="539">
        <v>286837</v>
      </c>
      <c r="T241" s="540">
        <v>105599</v>
      </c>
      <c r="U241" s="540">
        <v>392436</v>
      </c>
    </row>
    <row r="242" spans="1:21" x14ac:dyDescent="0.25">
      <c r="A242" s="535">
        <v>37800</v>
      </c>
      <c r="B242" s="536" t="s">
        <v>1011</v>
      </c>
      <c r="C242" s="542">
        <v>8.3140999999999996E-3</v>
      </c>
      <c r="D242" s="542">
        <v>8.3456999999999993E-3</v>
      </c>
      <c r="E242" s="538">
        <v>10519119</v>
      </c>
      <c r="F242" s="538">
        <f t="shared" si="3"/>
        <v>9784675</v>
      </c>
      <c r="G242" s="538">
        <v>30639105</v>
      </c>
      <c r="H242" s="538"/>
      <c r="I242" s="539">
        <v>0</v>
      </c>
      <c r="J242" s="539">
        <v>21380756</v>
      </c>
      <c r="K242" s="539">
        <v>0</v>
      </c>
      <c r="L242" s="538">
        <v>362672</v>
      </c>
      <c r="M242" s="538"/>
      <c r="N242" s="539">
        <v>3483666</v>
      </c>
      <c r="O242" s="539">
        <v>24700243</v>
      </c>
      <c r="P242" s="539">
        <v>0</v>
      </c>
      <c r="Q242" s="538">
        <v>116175</v>
      </c>
      <c r="R242" s="538"/>
      <c r="S242" s="539">
        <v>2985469</v>
      </c>
      <c r="T242" s="540">
        <v>97809</v>
      </c>
      <c r="U242" s="540">
        <v>3083277</v>
      </c>
    </row>
    <row r="243" spans="1:21" x14ac:dyDescent="0.25">
      <c r="A243" s="535">
        <v>37801</v>
      </c>
      <c r="B243" s="536" t="s">
        <v>1012</v>
      </c>
      <c r="C243" s="542">
        <v>5.6499999999999998E-5</v>
      </c>
      <c r="D243" s="542">
        <v>3.1099999999999997E-5</v>
      </c>
      <c r="E243" s="538">
        <v>55934.97</v>
      </c>
      <c r="F243" s="538">
        <f t="shared" si="3"/>
        <v>36462</v>
      </c>
      <c r="G243" s="538">
        <v>208214</v>
      </c>
      <c r="H243" s="538"/>
      <c r="I243" s="539">
        <v>0</v>
      </c>
      <c r="J243" s="539">
        <v>145297</v>
      </c>
      <c r="K243" s="539">
        <v>0</v>
      </c>
      <c r="L243" s="538">
        <v>207699</v>
      </c>
      <c r="M243" s="538"/>
      <c r="N243" s="539">
        <v>23674</v>
      </c>
      <c r="O243" s="539">
        <v>167855</v>
      </c>
      <c r="P243" s="539">
        <v>0</v>
      </c>
      <c r="Q243" s="538">
        <v>0</v>
      </c>
      <c r="R243" s="538"/>
      <c r="S243" s="539">
        <v>20288</v>
      </c>
      <c r="T243" s="540">
        <v>66670</v>
      </c>
      <c r="U243" s="540">
        <v>86958</v>
      </c>
    </row>
    <row r="244" spans="1:21" x14ac:dyDescent="0.25">
      <c r="A244" s="535">
        <v>37805</v>
      </c>
      <c r="B244" s="536" t="s">
        <v>1013</v>
      </c>
      <c r="C244" s="542">
        <v>7.4660000000000004E-4</v>
      </c>
      <c r="D244" s="542">
        <v>8.2100000000000001E-4</v>
      </c>
      <c r="E244" s="538">
        <v>984479.53</v>
      </c>
      <c r="F244" s="538">
        <f t="shared" si="3"/>
        <v>962558</v>
      </c>
      <c r="G244" s="538">
        <v>2751369</v>
      </c>
      <c r="H244" s="538"/>
      <c r="I244" s="539">
        <v>0</v>
      </c>
      <c r="J244" s="539">
        <v>1919976</v>
      </c>
      <c r="K244" s="539">
        <v>0</v>
      </c>
      <c r="L244" s="538">
        <v>123558</v>
      </c>
      <c r="M244" s="538"/>
      <c r="N244" s="539">
        <v>312831</v>
      </c>
      <c r="O244" s="539">
        <v>2218063</v>
      </c>
      <c r="P244" s="539">
        <v>0</v>
      </c>
      <c r="Q244" s="538">
        <v>282208</v>
      </c>
      <c r="R244" s="538"/>
      <c r="S244" s="539">
        <v>268093</v>
      </c>
      <c r="T244" s="540">
        <v>-33888</v>
      </c>
      <c r="U244" s="540">
        <v>234205</v>
      </c>
    </row>
    <row r="245" spans="1:21" x14ac:dyDescent="0.25">
      <c r="A245" s="535">
        <v>37900</v>
      </c>
      <c r="B245" s="536" t="s">
        <v>1014</v>
      </c>
      <c r="C245" s="542">
        <v>4.7647999999999996E-3</v>
      </c>
      <c r="D245" s="542">
        <v>4.9563000000000003E-3</v>
      </c>
      <c r="E245" s="538">
        <v>6098419</v>
      </c>
      <c r="F245" s="538">
        <f t="shared" si="3"/>
        <v>5810871</v>
      </c>
      <c r="G245" s="538">
        <v>17559231</v>
      </c>
      <c r="H245" s="538"/>
      <c r="I245" s="539">
        <v>0</v>
      </c>
      <c r="J245" s="539">
        <v>12253284</v>
      </c>
      <c r="K245" s="539">
        <v>0</v>
      </c>
      <c r="L245" s="538">
        <v>137504</v>
      </c>
      <c r="M245" s="538"/>
      <c r="N245" s="539">
        <v>1996485</v>
      </c>
      <c r="O245" s="539">
        <v>14155678</v>
      </c>
      <c r="P245" s="539">
        <v>0</v>
      </c>
      <c r="Q245" s="538">
        <v>745961</v>
      </c>
      <c r="R245" s="538"/>
      <c r="S245" s="539">
        <v>1710968</v>
      </c>
      <c r="T245" s="540">
        <v>-157353</v>
      </c>
      <c r="U245" s="540">
        <v>1553615</v>
      </c>
    </row>
    <row r="246" spans="1:21" x14ac:dyDescent="0.25">
      <c r="A246" s="535">
        <v>37901</v>
      </c>
      <c r="B246" s="536" t="s">
        <v>1015</v>
      </c>
      <c r="C246" s="542">
        <v>6.3499999999999999E-5</v>
      </c>
      <c r="D246" s="542">
        <v>6.2299999999999996E-5</v>
      </c>
      <c r="E246" s="538">
        <v>73952</v>
      </c>
      <c r="F246" s="538">
        <f t="shared" si="3"/>
        <v>73042</v>
      </c>
      <c r="G246" s="538">
        <v>234010</v>
      </c>
      <c r="H246" s="538"/>
      <c r="I246" s="539">
        <v>0</v>
      </c>
      <c r="J246" s="539">
        <v>163298</v>
      </c>
      <c r="K246" s="539">
        <v>0</v>
      </c>
      <c r="L246" s="538">
        <v>863</v>
      </c>
      <c r="M246" s="538"/>
      <c r="N246" s="539">
        <v>26607</v>
      </c>
      <c r="O246" s="539">
        <v>188651</v>
      </c>
      <c r="P246" s="539">
        <v>0</v>
      </c>
      <c r="Q246" s="538">
        <v>0</v>
      </c>
      <c r="R246" s="538"/>
      <c r="S246" s="539">
        <v>22802</v>
      </c>
      <c r="T246" s="540">
        <v>292</v>
      </c>
      <c r="U246" s="540">
        <v>23094</v>
      </c>
    </row>
    <row r="247" spans="1:21" x14ac:dyDescent="0.25">
      <c r="A247" s="535">
        <v>37905</v>
      </c>
      <c r="B247" s="536" t="s">
        <v>1016</v>
      </c>
      <c r="C247" s="542">
        <v>5.2079999999999997E-4</v>
      </c>
      <c r="D247" s="542">
        <v>5.5029999999999999E-4</v>
      </c>
      <c r="E247" s="538">
        <v>738438.37</v>
      </c>
      <c r="F247" s="538">
        <f t="shared" si="3"/>
        <v>645183</v>
      </c>
      <c r="G247" s="538">
        <v>1919251</v>
      </c>
      <c r="H247" s="538"/>
      <c r="I247" s="539">
        <v>0</v>
      </c>
      <c r="J247" s="539">
        <v>1339303</v>
      </c>
      <c r="K247" s="539">
        <v>0</v>
      </c>
      <c r="L247" s="538">
        <v>3413</v>
      </c>
      <c r="M247" s="538"/>
      <c r="N247" s="539">
        <v>218219</v>
      </c>
      <c r="O247" s="539">
        <v>1547237</v>
      </c>
      <c r="P247" s="539">
        <v>0</v>
      </c>
      <c r="Q247" s="538">
        <v>61534</v>
      </c>
      <c r="R247" s="538"/>
      <c r="S247" s="539">
        <v>187011</v>
      </c>
      <c r="T247" s="540">
        <v>-15822</v>
      </c>
      <c r="U247" s="540">
        <v>171189</v>
      </c>
    </row>
    <row r="248" spans="1:21" x14ac:dyDescent="0.25">
      <c r="A248" s="535">
        <v>38000</v>
      </c>
      <c r="B248" s="536" t="s">
        <v>1017</v>
      </c>
      <c r="C248" s="542">
        <v>7.1176E-3</v>
      </c>
      <c r="D248" s="542">
        <v>7.2354999999999997E-3</v>
      </c>
      <c r="E248" s="538">
        <v>8881051</v>
      </c>
      <c r="F248" s="538">
        <f t="shared" si="3"/>
        <v>8483053</v>
      </c>
      <c r="G248" s="538">
        <v>26229765</v>
      </c>
      <c r="H248" s="538"/>
      <c r="I248" s="539">
        <v>0</v>
      </c>
      <c r="J248" s="539">
        <v>18303805</v>
      </c>
      <c r="K248" s="539">
        <v>0</v>
      </c>
      <c r="L248" s="538">
        <v>0</v>
      </c>
      <c r="M248" s="538"/>
      <c r="N248" s="539">
        <v>2982324</v>
      </c>
      <c r="O248" s="539">
        <v>21145578</v>
      </c>
      <c r="P248" s="539">
        <v>0</v>
      </c>
      <c r="Q248" s="538">
        <v>2162545</v>
      </c>
      <c r="R248" s="538"/>
      <c r="S248" s="539">
        <v>2555823</v>
      </c>
      <c r="T248" s="540">
        <v>-727772</v>
      </c>
      <c r="U248" s="540">
        <v>1828052</v>
      </c>
    </row>
    <row r="249" spans="1:21" x14ac:dyDescent="0.25">
      <c r="A249" s="535">
        <v>38005</v>
      </c>
      <c r="B249" s="536" t="s">
        <v>1018</v>
      </c>
      <c r="C249" s="542">
        <v>1.4445E-3</v>
      </c>
      <c r="D249" s="542">
        <v>1.4295E-3</v>
      </c>
      <c r="E249" s="538">
        <v>1921468.34</v>
      </c>
      <c r="F249" s="538">
        <f t="shared" si="3"/>
        <v>1675976</v>
      </c>
      <c r="G249" s="538">
        <v>5323269</v>
      </c>
      <c r="H249" s="538"/>
      <c r="I249" s="539">
        <v>0</v>
      </c>
      <c r="J249" s="539">
        <v>3714714</v>
      </c>
      <c r="K249" s="539">
        <v>0</v>
      </c>
      <c r="L249" s="538">
        <v>307275</v>
      </c>
      <c r="M249" s="538"/>
      <c r="N249" s="539">
        <v>605256</v>
      </c>
      <c r="O249" s="539">
        <v>4291445</v>
      </c>
      <c r="P249" s="539">
        <v>0</v>
      </c>
      <c r="Q249" s="538">
        <v>0</v>
      </c>
      <c r="R249" s="538"/>
      <c r="S249" s="539">
        <v>518698</v>
      </c>
      <c r="T249" s="540">
        <v>98730</v>
      </c>
      <c r="U249" s="540">
        <v>617429</v>
      </c>
    </row>
    <row r="250" spans="1:21" x14ac:dyDescent="0.25">
      <c r="A250" s="535">
        <v>38100</v>
      </c>
      <c r="B250" s="536" t="s">
        <v>1019</v>
      </c>
      <c r="C250" s="542">
        <v>3.3126000000000002E-3</v>
      </c>
      <c r="D250" s="542">
        <v>3.3475000000000002E-3</v>
      </c>
      <c r="E250" s="538">
        <v>4187418.75</v>
      </c>
      <c r="F250" s="538">
        <f t="shared" si="3"/>
        <v>3924680</v>
      </c>
      <c r="G250" s="538">
        <v>12207587</v>
      </c>
      <c r="H250" s="538"/>
      <c r="I250" s="539">
        <v>0</v>
      </c>
      <c r="J250" s="539">
        <v>8518768</v>
      </c>
      <c r="K250" s="539">
        <v>0</v>
      </c>
      <c r="L250" s="538">
        <v>0</v>
      </c>
      <c r="M250" s="538"/>
      <c r="N250" s="539">
        <v>1388003</v>
      </c>
      <c r="O250" s="539">
        <v>9841357</v>
      </c>
      <c r="P250" s="539">
        <v>0</v>
      </c>
      <c r="Q250" s="538">
        <v>737957</v>
      </c>
      <c r="R250" s="538"/>
      <c r="S250" s="539">
        <v>1189505</v>
      </c>
      <c r="T250" s="540">
        <v>-252804</v>
      </c>
      <c r="U250" s="540">
        <v>936701</v>
      </c>
    </row>
    <row r="251" spans="1:21" x14ac:dyDescent="0.25">
      <c r="A251" s="535">
        <v>38105</v>
      </c>
      <c r="B251" s="536" t="s">
        <v>1020</v>
      </c>
      <c r="C251" s="542">
        <v>6.8559999999999997E-4</v>
      </c>
      <c r="D251" s="542">
        <v>7.0240000000000005E-4</v>
      </c>
      <c r="E251" s="538">
        <v>862431.33</v>
      </c>
      <c r="F251" s="538">
        <f t="shared" si="3"/>
        <v>823509</v>
      </c>
      <c r="G251" s="538">
        <v>2526572</v>
      </c>
      <c r="H251" s="538"/>
      <c r="I251" s="539">
        <v>0</v>
      </c>
      <c r="J251" s="539">
        <v>1763107</v>
      </c>
      <c r="K251" s="539">
        <v>0</v>
      </c>
      <c r="L251" s="538">
        <v>0</v>
      </c>
      <c r="M251" s="538"/>
      <c r="N251" s="539">
        <v>287271</v>
      </c>
      <c r="O251" s="539">
        <v>2036839</v>
      </c>
      <c r="P251" s="539">
        <v>0</v>
      </c>
      <c r="Q251" s="538">
        <v>96242</v>
      </c>
      <c r="R251" s="538"/>
      <c r="S251" s="539">
        <v>246189</v>
      </c>
      <c r="T251" s="540">
        <v>-28504</v>
      </c>
      <c r="U251" s="540">
        <v>217685</v>
      </c>
    </row>
    <row r="252" spans="1:21" x14ac:dyDescent="0.25">
      <c r="A252" s="535">
        <v>38200</v>
      </c>
      <c r="B252" s="536" t="s">
        <v>1021</v>
      </c>
      <c r="C252" s="542">
        <v>3.2916E-3</v>
      </c>
      <c r="D252" s="542">
        <v>3.2772999999999999E-3</v>
      </c>
      <c r="E252" s="538">
        <v>3982111.89</v>
      </c>
      <c r="F252" s="538">
        <f t="shared" si="3"/>
        <v>3842376</v>
      </c>
      <c r="G252" s="538">
        <v>12130198</v>
      </c>
      <c r="H252" s="538"/>
      <c r="I252" s="539">
        <v>0</v>
      </c>
      <c r="J252" s="539">
        <v>8464764</v>
      </c>
      <c r="K252" s="539">
        <v>0</v>
      </c>
      <c r="L252" s="538">
        <v>78323</v>
      </c>
      <c r="M252" s="538"/>
      <c r="N252" s="539">
        <v>1379203</v>
      </c>
      <c r="O252" s="539">
        <v>9778968</v>
      </c>
      <c r="P252" s="539">
        <v>0</v>
      </c>
      <c r="Q252" s="538">
        <v>75364</v>
      </c>
      <c r="R252" s="538"/>
      <c r="S252" s="539">
        <v>1181964</v>
      </c>
      <c r="T252" s="540">
        <v>7196</v>
      </c>
      <c r="U252" s="540">
        <v>1189160</v>
      </c>
    </row>
    <row r="253" spans="1:21" x14ac:dyDescent="0.25">
      <c r="A253" s="535">
        <v>38205</v>
      </c>
      <c r="B253" s="536" t="s">
        <v>1022</v>
      </c>
      <c r="C253" s="542">
        <v>4.5619999999999998E-4</v>
      </c>
      <c r="D253" s="542">
        <v>4.9180000000000003E-4</v>
      </c>
      <c r="E253" s="538">
        <v>641452.85</v>
      </c>
      <c r="F253" s="538">
        <f t="shared" si="3"/>
        <v>576597</v>
      </c>
      <c r="G253" s="538">
        <v>1681187</v>
      </c>
      <c r="H253" s="538"/>
      <c r="I253" s="539">
        <v>0</v>
      </c>
      <c r="J253" s="539">
        <v>1173176</v>
      </c>
      <c r="K253" s="539">
        <v>0</v>
      </c>
      <c r="L253" s="538">
        <v>0</v>
      </c>
      <c r="M253" s="538"/>
      <c r="N253" s="539">
        <v>191151</v>
      </c>
      <c r="O253" s="539">
        <v>1355318</v>
      </c>
      <c r="P253" s="539">
        <v>0</v>
      </c>
      <c r="Q253" s="538">
        <v>119662</v>
      </c>
      <c r="R253" s="538"/>
      <c r="S253" s="539">
        <v>163815</v>
      </c>
      <c r="T253" s="540">
        <v>-34794</v>
      </c>
      <c r="U253" s="540">
        <v>129021</v>
      </c>
    </row>
    <row r="254" spans="1:21" x14ac:dyDescent="0.25">
      <c r="A254" s="535">
        <v>38210</v>
      </c>
      <c r="B254" s="536" t="s">
        <v>1023</v>
      </c>
      <c r="C254" s="542">
        <v>1.1485E-3</v>
      </c>
      <c r="D254" s="542">
        <v>1.1677E-3</v>
      </c>
      <c r="E254" s="538">
        <v>1442882.37</v>
      </c>
      <c r="F254" s="538">
        <f t="shared" si="3"/>
        <v>1369036</v>
      </c>
      <c r="G254" s="538">
        <v>4232450</v>
      </c>
      <c r="H254" s="538"/>
      <c r="I254" s="539">
        <v>0</v>
      </c>
      <c r="J254" s="539">
        <v>2953512</v>
      </c>
      <c r="K254" s="539">
        <v>0</v>
      </c>
      <c r="L254" s="538">
        <v>68977</v>
      </c>
      <c r="M254" s="538"/>
      <c r="N254" s="539">
        <v>481230</v>
      </c>
      <c r="O254" s="539">
        <v>3412063</v>
      </c>
      <c r="P254" s="539">
        <v>0</v>
      </c>
      <c r="Q254" s="538">
        <v>86860</v>
      </c>
      <c r="R254" s="538"/>
      <c r="S254" s="539">
        <v>412409</v>
      </c>
      <c r="T254" s="540">
        <v>662</v>
      </c>
      <c r="U254" s="540">
        <v>413071</v>
      </c>
    </row>
    <row r="255" spans="1:21" x14ac:dyDescent="0.25">
      <c r="A255" s="535">
        <v>38300</v>
      </c>
      <c r="B255" s="536" t="s">
        <v>1024</v>
      </c>
      <c r="C255" s="542">
        <v>2.5233E-3</v>
      </c>
      <c r="D255" s="542">
        <v>2.5320999999999998E-3</v>
      </c>
      <c r="E255" s="538">
        <v>3200446.49</v>
      </c>
      <c r="F255" s="538">
        <f t="shared" si="3"/>
        <v>2968687</v>
      </c>
      <c r="G255" s="538">
        <v>9298860</v>
      </c>
      <c r="H255" s="538"/>
      <c r="I255" s="539">
        <v>0</v>
      </c>
      <c r="J255" s="539">
        <v>6488984</v>
      </c>
      <c r="K255" s="539">
        <v>0</v>
      </c>
      <c r="L255" s="538">
        <v>0</v>
      </c>
      <c r="M255" s="538"/>
      <c r="N255" s="539">
        <v>1057280</v>
      </c>
      <c r="O255" s="539">
        <v>7496437</v>
      </c>
      <c r="P255" s="539">
        <v>0</v>
      </c>
      <c r="Q255" s="538">
        <v>681392</v>
      </c>
      <c r="R255" s="538"/>
      <c r="S255" s="539">
        <v>906079</v>
      </c>
      <c r="T255" s="540">
        <v>-242134</v>
      </c>
      <c r="U255" s="540">
        <v>663945</v>
      </c>
    </row>
    <row r="256" spans="1:21" x14ac:dyDescent="0.25">
      <c r="A256" s="535">
        <v>38400</v>
      </c>
      <c r="B256" s="536" t="s">
        <v>1025</v>
      </c>
      <c r="C256" s="542">
        <v>3.2049000000000001E-3</v>
      </c>
      <c r="D256" s="542">
        <v>3.1813000000000002E-3</v>
      </c>
      <c r="E256" s="538">
        <v>3933510.83</v>
      </c>
      <c r="F256" s="538">
        <f t="shared" si="3"/>
        <v>3729823</v>
      </c>
      <c r="G256" s="538">
        <v>11810691</v>
      </c>
      <c r="H256" s="538"/>
      <c r="I256" s="539">
        <v>0</v>
      </c>
      <c r="J256" s="539">
        <v>8241804</v>
      </c>
      <c r="K256" s="539">
        <v>0</v>
      </c>
      <c r="L256" s="538">
        <v>11669</v>
      </c>
      <c r="M256" s="538"/>
      <c r="N256" s="539">
        <v>1342876</v>
      </c>
      <c r="O256" s="539">
        <v>9521393</v>
      </c>
      <c r="P256" s="539">
        <v>0</v>
      </c>
      <c r="Q256" s="538">
        <v>643119</v>
      </c>
      <c r="R256" s="538"/>
      <c r="S256" s="539">
        <v>1150832</v>
      </c>
      <c r="T256" s="540">
        <v>-227276</v>
      </c>
      <c r="U256" s="540">
        <v>923555</v>
      </c>
    </row>
    <row r="257" spans="1:21" x14ac:dyDescent="0.25">
      <c r="A257" s="535">
        <v>38402</v>
      </c>
      <c r="B257" s="536" t="s">
        <v>1026</v>
      </c>
      <c r="C257" s="542">
        <v>1.086E-4</v>
      </c>
      <c r="D257" s="542">
        <v>1.0900000000000001E-4</v>
      </c>
      <c r="E257" s="538">
        <v>119890.82</v>
      </c>
      <c r="F257" s="538">
        <f t="shared" si="3"/>
        <v>127794</v>
      </c>
      <c r="G257" s="538">
        <v>400213</v>
      </c>
      <c r="H257" s="538"/>
      <c r="I257" s="539">
        <v>0</v>
      </c>
      <c r="J257" s="539">
        <v>279279</v>
      </c>
      <c r="K257" s="539">
        <v>0</v>
      </c>
      <c r="L257" s="538">
        <v>31845</v>
      </c>
      <c r="M257" s="538"/>
      <c r="N257" s="539">
        <v>45504</v>
      </c>
      <c r="O257" s="539">
        <v>322638</v>
      </c>
      <c r="P257" s="539">
        <v>0</v>
      </c>
      <c r="Q257" s="538">
        <v>15176</v>
      </c>
      <c r="R257" s="538"/>
      <c r="S257" s="539">
        <v>38997</v>
      </c>
      <c r="T257" s="540">
        <v>7210</v>
      </c>
      <c r="U257" s="540">
        <v>46207</v>
      </c>
    </row>
    <row r="258" spans="1:21" x14ac:dyDescent="0.25">
      <c r="A258" s="535">
        <v>38405</v>
      </c>
      <c r="B258" s="536" t="s">
        <v>1027</v>
      </c>
      <c r="C258" s="542">
        <v>7.5730000000000003E-4</v>
      </c>
      <c r="D258" s="542">
        <v>7.762E-4</v>
      </c>
      <c r="E258" s="538">
        <v>914340.69</v>
      </c>
      <c r="F258" s="538">
        <f t="shared" si="3"/>
        <v>910033</v>
      </c>
      <c r="G258" s="538">
        <v>2790800</v>
      </c>
      <c r="H258" s="538"/>
      <c r="I258" s="539">
        <v>0</v>
      </c>
      <c r="J258" s="539">
        <v>1947492</v>
      </c>
      <c r="K258" s="539">
        <v>0</v>
      </c>
      <c r="L258" s="538">
        <v>0</v>
      </c>
      <c r="M258" s="538"/>
      <c r="N258" s="539">
        <v>317314</v>
      </c>
      <c r="O258" s="539">
        <v>2249852</v>
      </c>
      <c r="P258" s="539">
        <v>0</v>
      </c>
      <c r="Q258" s="538">
        <v>179246</v>
      </c>
      <c r="R258" s="538"/>
      <c r="S258" s="539">
        <v>271935</v>
      </c>
      <c r="T258" s="540">
        <v>-55069</v>
      </c>
      <c r="U258" s="540">
        <v>216867</v>
      </c>
    </row>
    <row r="259" spans="1:21" x14ac:dyDescent="0.25">
      <c r="A259" s="535">
        <v>38500</v>
      </c>
      <c r="B259" s="536" t="s">
        <v>1028</v>
      </c>
      <c r="C259" s="542">
        <v>2.5734E-3</v>
      </c>
      <c r="D259" s="542">
        <v>2.6243E-3</v>
      </c>
      <c r="E259" s="538">
        <v>3155489.47</v>
      </c>
      <c r="F259" s="538">
        <f t="shared" ref="F259:F294" si="4">D259*$F$298</f>
        <v>3076785</v>
      </c>
      <c r="G259" s="538">
        <v>9483489</v>
      </c>
      <c r="H259" s="538"/>
      <c r="I259" s="539">
        <v>0</v>
      </c>
      <c r="J259" s="539">
        <v>6617822</v>
      </c>
      <c r="K259" s="539">
        <v>0</v>
      </c>
      <c r="L259" s="538">
        <v>0</v>
      </c>
      <c r="M259" s="538"/>
      <c r="N259" s="539">
        <v>1078273</v>
      </c>
      <c r="O259" s="539">
        <v>7645278</v>
      </c>
      <c r="P259" s="539">
        <v>0</v>
      </c>
      <c r="Q259" s="538">
        <v>464058</v>
      </c>
      <c r="R259" s="538"/>
      <c r="S259" s="539">
        <v>924069</v>
      </c>
      <c r="T259" s="540">
        <v>-142826</v>
      </c>
      <c r="U259" s="540">
        <v>781244</v>
      </c>
    </row>
    <row r="260" spans="1:21" x14ac:dyDescent="0.25">
      <c r="A260" s="535">
        <v>38600</v>
      </c>
      <c r="B260" s="536" t="s">
        <v>1029</v>
      </c>
      <c r="C260" s="542">
        <v>3.1337000000000001E-3</v>
      </c>
      <c r="D260" s="542">
        <v>3.1055000000000002E-3</v>
      </c>
      <c r="E260" s="538">
        <v>3811168</v>
      </c>
      <c r="F260" s="538">
        <f t="shared" si="4"/>
        <v>3640954</v>
      </c>
      <c r="G260" s="538">
        <v>11548305</v>
      </c>
      <c r="H260" s="538"/>
      <c r="I260" s="539">
        <v>0</v>
      </c>
      <c r="J260" s="539">
        <v>8058704</v>
      </c>
      <c r="K260" s="539">
        <v>0</v>
      </c>
      <c r="L260" s="538">
        <v>5733</v>
      </c>
      <c r="M260" s="538"/>
      <c r="N260" s="539">
        <v>1313042</v>
      </c>
      <c r="O260" s="539">
        <v>9309865</v>
      </c>
      <c r="P260" s="539">
        <v>0</v>
      </c>
      <c r="Q260" s="538">
        <v>597515</v>
      </c>
      <c r="R260" s="538"/>
      <c r="S260" s="539">
        <v>1125265</v>
      </c>
      <c r="T260" s="540">
        <v>-212575</v>
      </c>
      <c r="U260" s="540">
        <v>912689</v>
      </c>
    </row>
    <row r="261" spans="1:21" x14ac:dyDescent="0.25">
      <c r="A261" s="535">
        <v>38601</v>
      </c>
      <c r="B261" s="536" t="s">
        <v>1030</v>
      </c>
      <c r="C261" s="542">
        <v>4.0399999999999999E-5</v>
      </c>
      <c r="D261" s="542">
        <v>3.43E-5</v>
      </c>
      <c r="E261" s="538">
        <v>43611.76</v>
      </c>
      <c r="F261" s="538">
        <f t="shared" si="4"/>
        <v>40214</v>
      </c>
      <c r="G261" s="538">
        <v>148882</v>
      </c>
      <c r="H261" s="538"/>
      <c r="I261" s="539">
        <v>0</v>
      </c>
      <c r="J261" s="539">
        <v>103894</v>
      </c>
      <c r="K261" s="539">
        <v>0</v>
      </c>
      <c r="L261" s="538">
        <v>34271</v>
      </c>
      <c r="M261" s="538"/>
      <c r="N261" s="539">
        <v>16928</v>
      </c>
      <c r="O261" s="539">
        <v>120024</v>
      </c>
      <c r="P261" s="539">
        <v>0</v>
      </c>
      <c r="Q261" s="538">
        <v>0</v>
      </c>
      <c r="R261" s="538"/>
      <c r="S261" s="539">
        <v>14507</v>
      </c>
      <c r="T261" s="540">
        <v>10652</v>
      </c>
      <c r="U261" s="540">
        <v>25159</v>
      </c>
    </row>
    <row r="262" spans="1:21" x14ac:dyDescent="0.25">
      <c r="A262" s="535">
        <v>38602</v>
      </c>
      <c r="B262" s="536" t="s">
        <v>1031</v>
      </c>
      <c r="C262" s="542">
        <v>1.717E-4</v>
      </c>
      <c r="D262" s="542">
        <v>1.4970000000000001E-4</v>
      </c>
      <c r="E262" s="538">
        <v>205036.65</v>
      </c>
      <c r="F262" s="538">
        <f t="shared" si="4"/>
        <v>175511</v>
      </c>
      <c r="G262" s="538">
        <v>632748</v>
      </c>
      <c r="H262" s="538"/>
      <c r="I262" s="539">
        <v>0</v>
      </c>
      <c r="J262" s="539">
        <v>441548</v>
      </c>
      <c r="K262" s="539">
        <v>0</v>
      </c>
      <c r="L262" s="538">
        <v>86722</v>
      </c>
      <c r="M262" s="538"/>
      <c r="N262" s="539">
        <v>71944</v>
      </c>
      <c r="O262" s="539">
        <v>510101</v>
      </c>
      <c r="P262" s="539">
        <v>0</v>
      </c>
      <c r="Q262" s="538">
        <v>0</v>
      </c>
      <c r="R262" s="538"/>
      <c r="S262" s="539">
        <v>61655</v>
      </c>
      <c r="T262" s="540">
        <v>24248</v>
      </c>
      <c r="U262" s="540">
        <v>85903</v>
      </c>
    </row>
    <row r="263" spans="1:21" x14ac:dyDescent="0.25">
      <c r="A263" s="535">
        <v>38605</v>
      </c>
      <c r="B263" s="536" t="s">
        <v>1032</v>
      </c>
      <c r="C263" s="542">
        <v>8.4349999999999996E-4</v>
      </c>
      <c r="D263" s="542">
        <v>8.5879999999999995E-4</v>
      </c>
      <c r="E263" s="538">
        <v>1072655.74</v>
      </c>
      <c r="F263" s="538">
        <f t="shared" si="4"/>
        <v>1006875</v>
      </c>
      <c r="G263" s="538">
        <v>3108465</v>
      </c>
      <c r="H263" s="538"/>
      <c r="I263" s="539">
        <v>0</v>
      </c>
      <c r="J263" s="539">
        <v>2169167</v>
      </c>
      <c r="K263" s="539">
        <v>0</v>
      </c>
      <c r="L263" s="538">
        <v>58489</v>
      </c>
      <c r="M263" s="538"/>
      <c r="N263" s="539">
        <v>353432</v>
      </c>
      <c r="O263" s="539">
        <v>2505942</v>
      </c>
      <c r="P263" s="539">
        <v>0</v>
      </c>
      <c r="Q263" s="538">
        <v>58727</v>
      </c>
      <c r="R263" s="538"/>
      <c r="S263" s="539">
        <v>302888</v>
      </c>
      <c r="T263" s="540">
        <v>4696</v>
      </c>
      <c r="U263" s="540">
        <v>307584</v>
      </c>
    </row>
    <row r="264" spans="1:21" x14ac:dyDescent="0.25">
      <c r="A264" s="535">
        <v>38610</v>
      </c>
      <c r="B264" s="536" t="s">
        <v>1033</v>
      </c>
      <c r="C264" s="542">
        <v>6.401E-4</v>
      </c>
      <c r="D264" s="542">
        <v>6.4579999999999998E-4</v>
      </c>
      <c r="E264" s="538">
        <v>835938.91</v>
      </c>
      <c r="F264" s="538">
        <f t="shared" si="4"/>
        <v>757150</v>
      </c>
      <c r="G264" s="538">
        <v>2358895</v>
      </c>
      <c r="H264" s="538"/>
      <c r="I264" s="539">
        <v>0</v>
      </c>
      <c r="J264" s="539">
        <v>1646098</v>
      </c>
      <c r="K264" s="539">
        <v>0</v>
      </c>
      <c r="L264" s="538">
        <v>57055</v>
      </c>
      <c r="M264" s="538"/>
      <c r="N264" s="539">
        <v>268206</v>
      </c>
      <c r="O264" s="539">
        <v>1901664</v>
      </c>
      <c r="P264" s="539">
        <v>0</v>
      </c>
      <c r="Q264" s="538">
        <v>2358</v>
      </c>
      <c r="R264" s="538"/>
      <c r="S264" s="539">
        <v>229850</v>
      </c>
      <c r="T264" s="540">
        <v>19797</v>
      </c>
      <c r="U264" s="540">
        <v>249647</v>
      </c>
    </row>
    <row r="265" spans="1:21" x14ac:dyDescent="0.25">
      <c r="A265" s="535">
        <v>38620</v>
      </c>
      <c r="B265" s="536" t="s">
        <v>1034</v>
      </c>
      <c r="C265" s="542">
        <v>5.2720000000000002E-4</v>
      </c>
      <c r="D265" s="542">
        <v>5.0140000000000004E-4</v>
      </c>
      <c r="E265" s="538">
        <v>656370.73</v>
      </c>
      <c r="F265" s="538">
        <f t="shared" si="4"/>
        <v>587852</v>
      </c>
      <c r="G265" s="538">
        <v>1942836</v>
      </c>
      <c r="H265" s="538"/>
      <c r="I265" s="539">
        <v>0</v>
      </c>
      <c r="J265" s="539">
        <v>1355761</v>
      </c>
      <c r="K265" s="539">
        <v>0</v>
      </c>
      <c r="L265" s="538">
        <v>119701</v>
      </c>
      <c r="M265" s="538"/>
      <c r="N265" s="539">
        <v>220900</v>
      </c>
      <c r="O265" s="539">
        <v>1566251</v>
      </c>
      <c r="P265" s="539">
        <v>0</v>
      </c>
      <c r="Q265" s="538">
        <v>0</v>
      </c>
      <c r="R265" s="538"/>
      <c r="S265" s="539">
        <v>189310</v>
      </c>
      <c r="T265" s="540">
        <v>34598</v>
      </c>
      <c r="U265" s="540">
        <v>223908</v>
      </c>
    </row>
    <row r="266" spans="1:21" x14ac:dyDescent="0.25">
      <c r="A266" s="535">
        <v>38700</v>
      </c>
      <c r="B266" s="536" t="s">
        <v>1035</v>
      </c>
      <c r="C266" s="542">
        <v>8.9820000000000004E-4</v>
      </c>
      <c r="D266" s="542">
        <v>8.4749999999999995E-4</v>
      </c>
      <c r="E266" s="538">
        <v>1109327.75</v>
      </c>
      <c r="F266" s="538">
        <f t="shared" si="4"/>
        <v>993627</v>
      </c>
      <c r="G266" s="538">
        <v>3310045</v>
      </c>
      <c r="H266" s="538"/>
      <c r="I266" s="539">
        <v>0</v>
      </c>
      <c r="J266" s="539">
        <v>2309834</v>
      </c>
      <c r="K266" s="539">
        <v>0</v>
      </c>
      <c r="L266" s="538">
        <v>256954</v>
      </c>
      <c r="M266" s="538"/>
      <c r="N266" s="539">
        <v>376352</v>
      </c>
      <c r="O266" s="539">
        <v>2668450</v>
      </c>
      <c r="P266" s="539">
        <v>0</v>
      </c>
      <c r="Q266" s="538">
        <v>0</v>
      </c>
      <c r="R266" s="538"/>
      <c r="S266" s="539">
        <v>322530</v>
      </c>
      <c r="T266" s="540">
        <v>76193</v>
      </c>
      <c r="U266" s="540">
        <v>398724</v>
      </c>
    </row>
    <row r="267" spans="1:21" x14ac:dyDescent="0.25">
      <c r="A267" s="535">
        <v>38701</v>
      </c>
      <c r="B267" s="536" t="s">
        <v>1036</v>
      </c>
      <c r="C267" s="542">
        <v>6.0099999999999997E-5</v>
      </c>
      <c r="D267" s="542">
        <v>6.4599999999999998E-5</v>
      </c>
      <c r="E267" s="538">
        <v>75728</v>
      </c>
      <c r="F267" s="538">
        <f t="shared" si="4"/>
        <v>75738</v>
      </c>
      <c r="G267" s="538">
        <v>221480</v>
      </c>
      <c r="H267" s="538"/>
      <c r="I267" s="539">
        <v>0</v>
      </c>
      <c r="J267" s="539">
        <v>154555</v>
      </c>
      <c r="K267" s="539">
        <v>0</v>
      </c>
      <c r="L267" s="538">
        <v>0</v>
      </c>
      <c r="M267" s="538"/>
      <c r="N267" s="539">
        <v>25182</v>
      </c>
      <c r="O267" s="539">
        <v>178550</v>
      </c>
      <c r="P267" s="539">
        <v>0</v>
      </c>
      <c r="Q267" s="538">
        <v>51320</v>
      </c>
      <c r="R267" s="538"/>
      <c r="S267" s="539">
        <v>21581</v>
      </c>
      <c r="T267" s="540">
        <v>-16834</v>
      </c>
      <c r="U267" s="540">
        <v>4747</v>
      </c>
    </row>
    <row r="268" spans="1:21" x14ac:dyDescent="0.25">
      <c r="A268" s="535">
        <v>38800</v>
      </c>
      <c r="B268" s="536" t="s">
        <v>1037</v>
      </c>
      <c r="C268" s="542">
        <v>1.5524E-3</v>
      </c>
      <c r="D268" s="542">
        <v>1.5125E-3</v>
      </c>
      <c r="E268" s="538">
        <v>1938891.02</v>
      </c>
      <c r="F268" s="538">
        <f t="shared" si="4"/>
        <v>1773287</v>
      </c>
      <c r="G268" s="538">
        <v>5720901</v>
      </c>
      <c r="H268" s="538"/>
      <c r="I268" s="539">
        <v>0</v>
      </c>
      <c r="J268" s="539">
        <v>3992192</v>
      </c>
      <c r="K268" s="539">
        <v>0</v>
      </c>
      <c r="L268" s="538">
        <v>152472</v>
      </c>
      <c r="M268" s="538"/>
      <c r="N268" s="539">
        <v>650466</v>
      </c>
      <c r="O268" s="539">
        <v>4612003</v>
      </c>
      <c r="P268" s="539">
        <v>0</v>
      </c>
      <c r="Q268" s="538">
        <v>35394</v>
      </c>
      <c r="R268" s="538"/>
      <c r="S268" s="539">
        <v>557444</v>
      </c>
      <c r="T268" s="540">
        <v>29550</v>
      </c>
      <c r="U268" s="540">
        <v>586994</v>
      </c>
    </row>
    <row r="269" spans="1:21" x14ac:dyDescent="0.25">
      <c r="A269" s="535">
        <v>38801</v>
      </c>
      <c r="B269" s="536" t="s">
        <v>1038</v>
      </c>
      <c r="C269" s="542">
        <v>8.8300000000000005E-5</v>
      </c>
      <c r="D269" s="542">
        <v>9.4599999999999996E-5</v>
      </c>
      <c r="E269" s="538">
        <v>87795.32</v>
      </c>
      <c r="F269" s="538">
        <f t="shared" si="4"/>
        <v>110911</v>
      </c>
      <c r="G269" s="538">
        <v>325403</v>
      </c>
      <c r="H269" s="538"/>
      <c r="I269" s="539">
        <v>0</v>
      </c>
      <c r="J269" s="539">
        <v>227075</v>
      </c>
      <c r="K269" s="539">
        <v>0</v>
      </c>
      <c r="L269" s="538">
        <v>84876</v>
      </c>
      <c r="M269" s="538"/>
      <c r="N269" s="539">
        <v>36998</v>
      </c>
      <c r="O269" s="539">
        <v>262329</v>
      </c>
      <c r="P269" s="539">
        <v>0</v>
      </c>
      <c r="Q269" s="538">
        <v>45221</v>
      </c>
      <c r="R269" s="538"/>
      <c r="S269" s="539">
        <v>31707</v>
      </c>
      <c r="T269" s="540">
        <v>17895</v>
      </c>
      <c r="U269" s="540">
        <v>49602</v>
      </c>
    </row>
    <row r="270" spans="1:21" x14ac:dyDescent="0.25">
      <c r="A270" s="535">
        <v>38900</v>
      </c>
      <c r="B270" s="536" t="s">
        <v>1039</v>
      </c>
      <c r="C270" s="542">
        <v>3.3260000000000001E-4</v>
      </c>
      <c r="D270" s="542">
        <v>3.2969999999999999E-4</v>
      </c>
      <c r="E270" s="538">
        <v>435232.47</v>
      </c>
      <c r="F270" s="538">
        <f t="shared" si="4"/>
        <v>386547</v>
      </c>
      <c r="G270" s="538">
        <v>1225697</v>
      </c>
      <c r="H270" s="538"/>
      <c r="I270" s="539">
        <v>0</v>
      </c>
      <c r="J270" s="539">
        <v>855323</v>
      </c>
      <c r="K270" s="539">
        <v>0</v>
      </c>
      <c r="L270" s="538">
        <v>24277</v>
      </c>
      <c r="M270" s="538"/>
      <c r="N270" s="539">
        <v>139362</v>
      </c>
      <c r="O270" s="539">
        <v>988117</v>
      </c>
      <c r="P270" s="539">
        <v>0</v>
      </c>
      <c r="Q270" s="538">
        <v>75969</v>
      </c>
      <c r="R270" s="538"/>
      <c r="S270" s="539">
        <v>119432</v>
      </c>
      <c r="T270" s="540">
        <v>-20504</v>
      </c>
      <c r="U270" s="540">
        <v>98928</v>
      </c>
    </row>
    <row r="271" spans="1:21" x14ac:dyDescent="0.25">
      <c r="A271" s="535">
        <v>39000</v>
      </c>
      <c r="B271" s="536" t="s">
        <v>1040</v>
      </c>
      <c r="C271" s="542">
        <v>1.5730299999999999E-2</v>
      </c>
      <c r="D271" s="542">
        <v>1.5272300000000001E-2</v>
      </c>
      <c r="E271" s="538">
        <v>18520199</v>
      </c>
      <c r="F271" s="538">
        <f t="shared" si="4"/>
        <v>17905567</v>
      </c>
      <c r="G271" s="538">
        <v>57969270</v>
      </c>
      <c r="H271" s="538"/>
      <c r="I271" s="539">
        <v>0</v>
      </c>
      <c r="J271" s="539">
        <v>40452448</v>
      </c>
      <c r="K271" s="539">
        <v>0</v>
      </c>
      <c r="L271" s="538">
        <v>890303</v>
      </c>
      <c r="M271" s="538"/>
      <c r="N271" s="539">
        <v>6591106</v>
      </c>
      <c r="O271" s="539">
        <v>46732928</v>
      </c>
      <c r="P271" s="539">
        <v>0</v>
      </c>
      <c r="Q271" s="538">
        <v>1457794</v>
      </c>
      <c r="R271" s="538"/>
      <c r="S271" s="539">
        <v>5648515</v>
      </c>
      <c r="T271" s="540">
        <v>-275885</v>
      </c>
      <c r="U271" s="540">
        <v>5372629</v>
      </c>
    </row>
    <row r="272" spans="1:21" x14ac:dyDescent="0.25">
      <c r="A272" s="535">
        <v>39100</v>
      </c>
      <c r="B272" s="536" t="s">
        <v>1041</v>
      </c>
      <c r="C272" s="542">
        <v>2.5027999999999999E-3</v>
      </c>
      <c r="D272" s="542">
        <v>2.5463999999999999E-3</v>
      </c>
      <c r="E272" s="538">
        <v>3386535.1</v>
      </c>
      <c r="F272" s="538">
        <f t="shared" si="4"/>
        <v>2985453</v>
      </c>
      <c r="G272" s="538">
        <v>9223314</v>
      </c>
      <c r="H272" s="538"/>
      <c r="I272" s="539">
        <v>0</v>
      </c>
      <c r="J272" s="539">
        <v>6436266</v>
      </c>
      <c r="K272" s="539">
        <v>0</v>
      </c>
      <c r="L272" s="538">
        <v>0</v>
      </c>
      <c r="M272" s="538"/>
      <c r="N272" s="539">
        <v>1048691</v>
      </c>
      <c r="O272" s="539">
        <v>7435533</v>
      </c>
      <c r="P272" s="539">
        <v>0</v>
      </c>
      <c r="Q272" s="538">
        <v>199931</v>
      </c>
      <c r="R272" s="538"/>
      <c r="S272" s="539">
        <v>898718</v>
      </c>
      <c r="T272" s="540">
        <v>-71085</v>
      </c>
      <c r="U272" s="540">
        <v>827633</v>
      </c>
    </row>
    <row r="273" spans="1:21" x14ac:dyDescent="0.25">
      <c r="A273" s="535">
        <v>39101</v>
      </c>
      <c r="B273" s="536" t="s">
        <v>1042</v>
      </c>
      <c r="C273" s="542">
        <v>1.75E-4</v>
      </c>
      <c r="D273" s="542">
        <v>1.785E-4</v>
      </c>
      <c r="E273" s="538">
        <v>212134.9</v>
      </c>
      <c r="F273" s="538">
        <f t="shared" si="4"/>
        <v>209277</v>
      </c>
      <c r="G273" s="538">
        <v>644909.65</v>
      </c>
      <c r="H273" s="538"/>
      <c r="I273" s="539">
        <v>0</v>
      </c>
      <c r="J273" s="539">
        <v>450034.55</v>
      </c>
      <c r="K273" s="539">
        <v>0</v>
      </c>
      <c r="L273" s="538">
        <v>0</v>
      </c>
      <c r="M273" s="538"/>
      <c r="N273" s="539">
        <v>73326</v>
      </c>
      <c r="O273" s="539">
        <v>519905.05</v>
      </c>
      <c r="P273" s="539">
        <v>0</v>
      </c>
      <c r="Q273" s="538">
        <v>31380</v>
      </c>
      <c r="R273" s="538"/>
      <c r="S273" s="539">
        <v>62839.875</v>
      </c>
      <c r="T273" s="540">
        <v>-9479</v>
      </c>
      <c r="U273" s="540">
        <v>53360</v>
      </c>
    </row>
    <row r="274" spans="1:21" x14ac:dyDescent="0.25">
      <c r="A274" s="535">
        <v>39105</v>
      </c>
      <c r="B274" s="536" t="s">
        <v>1043</v>
      </c>
      <c r="C274" s="542">
        <v>1.0374E-3</v>
      </c>
      <c r="D274" s="542">
        <v>1.024E-3</v>
      </c>
      <c r="E274" s="538">
        <v>1311255.8</v>
      </c>
      <c r="F274" s="538">
        <f t="shared" si="4"/>
        <v>1200559</v>
      </c>
      <c r="G274" s="538">
        <v>3823024</v>
      </c>
      <c r="H274" s="538"/>
      <c r="I274" s="539">
        <v>0</v>
      </c>
      <c r="J274" s="539">
        <v>2667805</v>
      </c>
      <c r="K274" s="539">
        <v>0</v>
      </c>
      <c r="L274" s="538">
        <v>132944</v>
      </c>
      <c r="M274" s="538"/>
      <c r="N274" s="539">
        <v>434678</v>
      </c>
      <c r="O274" s="539">
        <v>3081997</v>
      </c>
      <c r="P274" s="539">
        <v>0</v>
      </c>
      <c r="Q274" s="538">
        <v>0</v>
      </c>
      <c r="R274" s="538"/>
      <c r="S274" s="539">
        <v>372515</v>
      </c>
      <c r="T274" s="540">
        <v>42933</v>
      </c>
      <c r="U274" s="540">
        <v>415448</v>
      </c>
    </row>
    <row r="275" spans="1:21" x14ac:dyDescent="0.25">
      <c r="A275" s="535">
        <v>39200</v>
      </c>
      <c r="B275" s="536" t="s">
        <v>1044</v>
      </c>
      <c r="C275" s="542">
        <v>6.1601799999999998E-2</v>
      </c>
      <c r="D275" s="542">
        <v>5.9755799999999998E-2</v>
      </c>
      <c r="E275" s="538">
        <v>73180297</v>
      </c>
      <c r="F275" s="538">
        <f t="shared" si="4"/>
        <v>70058961</v>
      </c>
      <c r="G275" s="538">
        <v>227014830</v>
      </c>
      <c r="H275" s="538"/>
      <c r="I275" s="539">
        <v>0</v>
      </c>
      <c r="J275" s="539">
        <v>158416791</v>
      </c>
      <c r="K275" s="539">
        <v>0</v>
      </c>
      <c r="L275" s="538">
        <v>4777210</v>
      </c>
      <c r="M275" s="538"/>
      <c r="N275" s="539">
        <v>25811585</v>
      </c>
      <c r="O275" s="539">
        <v>183011925</v>
      </c>
      <c r="P275" s="539">
        <v>0</v>
      </c>
      <c r="Q275" s="538">
        <v>0</v>
      </c>
      <c r="R275" s="538"/>
      <c r="S275" s="539">
        <v>22120282</v>
      </c>
      <c r="T275" s="540">
        <v>1368713</v>
      </c>
      <c r="U275" s="540">
        <v>23488995</v>
      </c>
    </row>
    <row r="276" spans="1:21" x14ac:dyDescent="0.25">
      <c r="A276" s="535">
        <v>39201</v>
      </c>
      <c r="B276" s="536" t="s">
        <v>1045</v>
      </c>
      <c r="C276" s="542">
        <v>1.8990000000000001E-4</v>
      </c>
      <c r="D276" s="542">
        <v>1.6440000000000001E-4</v>
      </c>
      <c r="E276" s="538">
        <v>183511.66</v>
      </c>
      <c r="F276" s="538">
        <f t="shared" si="4"/>
        <v>192746</v>
      </c>
      <c r="G276" s="538">
        <v>699819</v>
      </c>
      <c r="H276" s="538"/>
      <c r="I276" s="539">
        <v>0</v>
      </c>
      <c r="J276" s="539">
        <v>488352</v>
      </c>
      <c r="K276" s="539">
        <v>0</v>
      </c>
      <c r="L276" s="538">
        <v>63928</v>
      </c>
      <c r="M276" s="538"/>
      <c r="N276" s="539">
        <v>79569</v>
      </c>
      <c r="O276" s="539">
        <v>564171</v>
      </c>
      <c r="P276" s="539">
        <v>0</v>
      </c>
      <c r="Q276" s="538">
        <v>15294</v>
      </c>
      <c r="R276" s="538"/>
      <c r="S276" s="539">
        <v>68190</v>
      </c>
      <c r="T276" s="540">
        <v>12227</v>
      </c>
      <c r="U276" s="540">
        <v>80417</v>
      </c>
    </row>
    <row r="277" spans="1:21" x14ac:dyDescent="0.25">
      <c r="A277" s="535">
        <v>39204</v>
      </c>
      <c r="B277" s="536" t="s">
        <v>1046</v>
      </c>
      <c r="C277" s="542">
        <v>1.167E-4</v>
      </c>
      <c r="D277" s="542">
        <v>7.3499999999999998E-5</v>
      </c>
      <c r="E277" s="538">
        <v>124810.3</v>
      </c>
      <c r="F277" s="538">
        <f t="shared" si="4"/>
        <v>86173</v>
      </c>
      <c r="G277" s="538">
        <v>430063</v>
      </c>
      <c r="H277" s="538"/>
      <c r="I277" s="539">
        <v>0</v>
      </c>
      <c r="J277" s="539">
        <v>300109</v>
      </c>
      <c r="K277" s="539">
        <v>0</v>
      </c>
      <c r="L277" s="538">
        <v>230359</v>
      </c>
      <c r="M277" s="538"/>
      <c r="N277" s="539">
        <v>48898</v>
      </c>
      <c r="O277" s="539">
        <v>346702</v>
      </c>
      <c r="P277" s="539">
        <v>0</v>
      </c>
      <c r="Q277" s="538">
        <v>0</v>
      </c>
      <c r="R277" s="538"/>
      <c r="S277" s="539">
        <v>41905</v>
      </c>
      <c r="T277" s="540">
        <v>69110</v>
      </c>
      <c r="U277" s="540">
        <v>111016</v>
      </c>
    </row>
    <row r="278" spans="1:21" x14ac:dyDescent="0.25">
      <c r="A278" s="535">
        <v>39205</v>
      </c>
      <c r="B278" s="536" t="s">
        <v>1047</v>
      </c>
      <c r="C278" s="542">
        <v>4.8887000000000002E-3</v>
      </c>
      <c r="D278" s="542">
        <v>4.4313E-3</v>
      </c>
      <c r="E278" s="538">
        <v>6296076</v>
      </c>
      <c r="F278" s="538">
        <f t="shared" si="4"/>
        <v>5195350</v>
      </c>
      <c r="G278" s="538">
        <v>18015827</v>
      </c>
      <c r="H278" s="538"/>
      <c r="I278" s="539">
        <v>0</v>
      </c>
      <c r="J278" s="539">
        <v>12571908</v>
      </c>
      <c r="K278" s="539">
        <v>0</v>
      </c>
      <c r="L278" s="538">
        <v>3165824</v>
      </c>
      <c r="M278" s="538"/>
      <c r="N278" s="539">
        <v>2048400</v>
      </c>
      <c r="O278" s="539">
        <v>14523770</v>
      </c>
      <c r="P278" s="539">
        <v>0</v>
      </c>
      <c r="Q278" s="538">
        <v>0</v>
      </c>
      <c r="R278" s="538"/>
      <c r="S278" s="539">
        <v>1755459</v>
      </c>
      <c r="T278" s="540">
        <v>969124</v>
      </c>
      <c r="U278" s="540">
        <v>2724583</v>
      </c>
    </row>
    <row r="279" spans="1:21" x14ac:dyDescent="0.25">
      <c r="A279" s="535">
        <v>39208</v>
      </c>
      <c r="B279" s="536" t="s">
        <v>1048</v>
      </c>
      <c r="C279" s="542">
        <v>3.926E-4</v>
      </c>
      <c r="D279" s="542">
        <v>3.859E-4</v>
      </c>
      <c r="E279" s="538">
        <v>397671.23</v>
      </c>
      <c r="F279" s="538">
        <f t="shared" si="4"/>
        <v>452437</v>
      </c>
      <c r="G279" s="538">
        <v>1446809</v>
      </c>
      <c r="H279" s="538"/>
      <c r="I279" s="539">
        <v>0</v>
      </c>
      <c r="J279" s="539">
        <v>1009620</v>
      </c>
      <c r="K279" s="539">
        <v>0</v>
      </c>
      <c r="L279" s="538">
        <v>0</v>
      </c>
      <c r="M279" s="538"/>
      <c r="N279" s="539">
        <v>164502</v>
      </c>
      <c r="O279" s="539">
        <v>1166370</v>
      </c>
      <c r="P279" s="539">
        <v>0</v>
      </c>
      <c r="Q279" s="538">
        <v>170540</v>
      </c>
      <c r="R279" s="538"/>
      <c r="S279" s="539">
        <v>140977</v>
      </c>
      <c r="T279" s="540">
        <v>-57188</v>
      </c>
      <c r="U279" s="540">
        <v>83789</v>
      </c>
    </row>
    <row r="280" spans="1:21" x14ac:dyDescent="0.25">
      <c r="A280" s="535">
        <v>39209</v>
      </c>
      <c r="B280" s="536" t="s">
        <v>1049</v>
      </c>
      <c r="C280" s="542">
        <v>1.7799999999999999E-4</v>
      </c>
      <c r="D280" s="542">
        <v>1.6000000000000001E-4</v>
      </c>
      <c r="E280" s="538">
        <v>184627.69</v>
      </c>
      <c r="F280" s="538">
        <f t="shared" si="4"/>
        <v>187587</v>
      </c>
      <c r="G280" s="538">
        <v>655965</v>
      </c>
      <c r="H280" s="538"/>
      <c r="I280" s="539">
        <v>0</v>
      </c>
      <c r="J280" s="539">
        <v>457749</v>
      </c>
      <c r="K280" s="539">
        <v>0</v>
      </c>
      <c r="L280" s="538">
        <v>44812</v>
      </c>
      <c r="M280" s="538"/>
      <c r="N280" s="539">
        <v>74583</v>
      </c>
      <c r="O280" s="539">
        <v>528818</v>
      </c>
      <c r="P280" s="539">
        <v>0</v>
      </c>
      <c r="Q280" s="538">
        <v>50263</v>
      </c>
      <c r="R280" s="538"/>
      <c r="S280" s="539">
        <v>63917.13</v>
      </c>
      <c r="T280" s="540">
        <v>-5602</v>
      </c>
      <c r="U280" s="540">
        <v>58315</v>
      </c>
    </row>
    <row r="281" spans="1:21" x14ac:dyDescent="0.25">
      <c r="A281" s="535">
        <v>39300</v>
      </c>
      <c r="B281" s="536" t="s">
        <v>1050</v>
      </c>
      <c r="C281" s="542">
        <v>9.5180000000000004E-4</v>
      </c>
      <c r="D281" s="542">
        <v>9.4499999999999998E-4</v>
      </c>
      <c r="E281" s="538">
        <v>1264556.25</v>
      </c>
      <c r="F281" s="538">
        <f t="shared" si="4"/>
        <v>1107938</v>
      </c>
      <c r="G281" s="538">
        <v>3507571</v>
      </c>
      <c r="H281" s="538"/>
      <c r="I281" s="539">
        <v>0</v>
      </c>
      <c r="J281" s="539">
        <v>2447674</v>
      </c>
      <c r="K281" s="539">
        <v>0</v>
      </c>
      <c r="L281" s="538">
        <v>78048</v>
      </c>
      <c r="M281" s="538"/>
      <c r="N281" s="539">
        <v>398811</v>
      </c>
      <c r="O281" s="539">
        <v>2827689</v>
      </c>
      <c r="P281" s="539">
        <v>0</v>
      </c>
      <c r="Q281" s="538">
        <v>48476</v>
      </c>
      <c r="R281" s="538"/>
      <c r="S281" s="539">
        <v>341777</v>
      </c>
      <c r="T281" s="540">
        <v>4245</v>
      </c>
      <c r="U281" s="540">
        <v>346022</v>
      </c>
    </row>
    <row r="282" spans="1:21" x14ac:dyDescent="0.25">
      <c r="A282" s="535">
        <v>39301</v>
      </c>
      <c r="B282" s="536" t="s">
        <v>1051</v>
      </c>
      <c r="C282" s="542">
        <v>6.4499999999999996E-5</v>
      </c>
      <c r="D282" s="542">
        <v>7.1600000000000006E-5</v>
      </c>
      <c r="E282" s="538">
        <v>73914</v>
      </c>
      <c r="F282" s="538">
        <f t="shared" si="4"/>
        <v>83945</v>
      </c>
      <c r="G282" s="538">
        <v>237695</v>
      </c>
      <c r="H282" s="538"/>
      <c r="I282" s="539">
        <v>0</v>
      </c>
      <c r="J282" s="539">
        <v>165870</v>
      </c>
      <c r="K282" s="539">
        <v>0</v>
      </c>
      <c r="L282" s="538">
        <v>51716</v>
      </c>
      <c r="M282" s="538"/>
      <c r="N282" s="539">
        <v>27026</v>
      </c>
      <c r="O282" s="539">
        <v>191622</v>
      </c>
      <c r="P282" s="539">
        <v>0</v>
      </c>
      <c r="Q282" s="538">
        <v>35949</v>
      </c>
      <c r="R282" s="538"/>
      <c r="S282" s="539">
        <v>23161</v>
      </c>
      <c r="T282" s="540">
        <v>8578</v>
      </c>
      <c r="U282" s="540">
        <v>31739</v>
      </c>
    </row>
    <row r="283" spans="1:21" x14ac:dyDescent="0.25">
      <c r="A283" s="535">
        <v>39400</v>
      </c>
      <c r="B283" s="536" t="s">
        <v>1052</v>
      </c>
      <c r="C283" s="542">
        <v>6.8510000000000001E-4</v>
      </c>
      <c r="D283" s="542">
        <v>7.1540000000000004E-4</v>
      </c>
      <c r="E283" s="538">
        <v>932073.51</v>
      </c>
      <c r="F283" s="538">
        <f t="shared" si="4"/>
        <v>838750</v>
      </c>
      <c r="G283" s="538">
        <v>2524729</v>
      </c>
      <c r="H283" s="538"/>
      <c r="I283" s="539">
        <v>0</v>
      </c>
      <c r="J283" s="539">
        <v>1761821</v>
      </c>
      <c r="K283" s="539">
        <v>0</v>
      </c>
      <c r="L283" s="538">
        <v>237195</v>
      </c>
      <c r="M283" s="538"/>
      <c r="N283" s="539">
        <v>287062</v>
      </c>
      <c r="O283" s="539">
        <v>2035354</v>
      </c>
      <c r="P283" s="539">
        <v>0</v>
      </c>
      <c r="Q283" s="538">
        <v>75723</v>
      </c>
      <c r="R283" s="538"/>
      <c r="S283" s="539">
        <v>246009</v>
      </c>
      <c r="T283" s="540">
        <v>64040</v>
      </c>
      <c r="U283" s="540">
        <v>310049</v>
      </c>
    </row>
    <row r="284" spans="1:21" x14ac:dyDescent="0.25">
      <c r="A284" s="535">
        <v>39401</v>
      </c>
      <c r="B284" s="536" t="s">
        <v>1053</v>
      </c>
      <c r="C284" s="542">
        <v>1.6760000000000001E-4</v>
      </c>
      <c r="D284" s="542">
        <v>1.111E-4</v>
      </c>
      <c r="E284" s="538">
        <v>163043.01</v>
      </c>
      <c r="F284" s="538">
        <f t="shared" si="4"/>
        <v>130256</v>
      </c>
      <c r="G284" s="538">
        <v>617639</v>
      </c>
      <c r="H284" s="538"/>
      <c r="I284" s="539">
        <v>0</v>
      </c>
      <c r="J284" s="539">
        <v>431005</v>
      </c>
      <c r="K284" s="539">
        <v>0</v>
      </c>
      <c r="L284" s="538">
        <v>293291</v>
      </c>
      <c r="M284" s="538"/>
      <c r="N284" s="539">
        <v>70226</v>
      </c>
      <c r="O284" s="539">
        <v>497920</v>
      </c>
      <c r="P284" s="539">
        <v>0</v>
      </c>
      <c r="Q284" s="538">
        <v>0</v>
      </c>
      <c r="R284" s="538"/>
      <c r="S284" s="539">
        <v>60183</v>
      </c>
      <c r="T284" s="540">
        <v>88742</v>
      </c>
      <c r="U284" s="540">
        <v>148924</v>
      </c>
    </row>
    <row r="285" spans="1:21" x14ac:dyDescent="0.25">
      <c r="A285" s="535">
        <v>39500</v>
      </c>
      <c r="B285" s="536" t="s">
        <v>1054</v>
      </c>
      <c r="C285" s="542">
        <v>1.9558000000000002E-3</v>
      </c>
      <c r="D285" s="542">
        <v>1.9694999999999999E-3</v>
      </c>
      <c r="E285" s="538">
        <v>2452928</v>
      </c>
      <c r="F285" s="538">
        <f t="shared" si="4"/>
        <v>2309083</v>
      </c>
      <c r="G285" s="538">
        <v>7207510</v>
      </c>
      <c r="H285" s="538"/>
      <c r="I285" s="539">
        <v>0</v>
      </c>
      <c r="J285" s="539">
        <v>5029586</v>
      </c>
      <c r="K285" s="539">
        <v>0</v>
      </c>
      <c r="L285" s="538">
        <v>61039</v>
      </c>
      <c r="M285" s="538"/>
      <c r="N285" s="539">
        <v>819494</v>
      </c>
      <c r="O285" s="539">
        <v>5810459</v>
      </c>
      <c r="P285" s="539">
        <v>0</v>
      </c>
      <c r="Q285" s="538">
        <v>70759</v>
      </c>
      <c r="R285" s="538"/>
      <c r="S285" s="539">
        <v>702298</v>
      </c>
      <c r="T285" s="540">
        <v>2277</v>
      </c>
      <c r="U285" s="540">
        <v>704575</v>
      </c>
    </row>
    <row r="286" spans="1:21" x14ac:dyDescent="0.25">
      <c r="A286" s="535">
        <v>39501</v>
      </c>
      <c r="B286" s="536" t="s">
        <v>1055</v>
      </c>
      <c r="C286" s="542">
        <v>6.7199999999999994E-5</v>
      </c>
      <c r="D286" s="542">
        <v>7.0699999999999997E-5</v>
      </c>
      <c r="E286" s="538">
        <v>75282</v>
      </c>
      <c r="F286" s="538">
        <f t="shared" si="4"/>
        <v>82890</v>
      </c>
      <c r="G286" s="538">
        <v>247645</v>
      </c>
      <c r="H286" s="538"/>
      <c r="I286" s="539">
        <v>0</v>
      </c>
      <c r="J286" s="539">
        <v>172813</v>
      </c>
      <c r="K286" s="539">
        <v>0</v>
      </c>
      <c r="L286" s="538">
        <v>9458</v>
      </c>
      <c r="M286" s="538"/>
      <c r="N286" s="539">
        <v>28157</v>
      </c>
      <c r="O286" s="539">
        <v>199644</v>
      </c>
      <c r="P286" s="539">
        <v>0</v>
      </c>
      <c r="Q286" s="538">
        <v>22304</v>
      </c>
      <c r="R286" s="538"/>
      <c r="S286" s="539">
        <v>24131</v>
      </c>
      <c r="T286" s="540">
        <v>-2788</v>
      </c>
      <c r="U286" s="540">
        <v>21342</v>
      </c>
    </row>
    <row r="287" spans="1:21" x14ac:dyDescent="0.25">
      <c r="A287" s="535">
        <v>39600</v>
      </c>
      <c r="B287" s="536" t="s">
        <v>1056</v>
      </c>
      <c r="C287" s="542">
        <v>6.4853000000000003E-3</v>
      </c>
      <c r="D287" s="542">
        <v>6.476E-3</v>
      </c>
      <c r="E287" s="538">
        <v>8287714</v>
      </c>
      <c r="F287" s="538">
        <f t="shared" si="4"/>
        <v>7592599</v>
      </c>
      <c r="G287" s="538">
        <v>23899615</v>
      </c>
      <c r="H287" s="538"/>
      <c r="I287" s="539">
        <v>0</v>
      </c>
      <c r="J287" s="539">
        <v>16677766</v>
      </c>
      <c r="K287" s="539">
        <v>0</v>
      </c>
      <c r="L287" s="538">
        <v>117662</v>
      </c>
      <c r="M287" s="538"/>
      <c r="N287" s="539">
        <v>2717386</v>
      </c>
      <c r="O287" s="539">
        <v>19267087</v>
      </c>
      <c r="P287" s="539">
        <v>0</v>
      </c>
      <c r="Q287" s="538">
        <v>971701</v>
      </c>
      <c r="R287" s="538"/>
      <c r="S287" s="539">
        <v>2328774</v>
      </c>
      <c r="T287" s="540">
        <v>-315687</v>
      </c>
      <c r="U287" s="540">
        <v>2013087</v>
      </c>
    </row>
    <row r="288" spans="1:21" x14ac:dyDescent="0.25">
      <c r="A288" s="535">
        <v>39605</v>
      </c>
      <c r="B288" s="536" t="s">
        <v>1057</v>
      </c>
      <c r="C288" s="542">
        <v>9.5520000000000002E-4</v>
      </c>
      <c r="D288" s="542">
        <v>9.3320000000000002E-4</v>
      </c>
      <c r="E288" s="538">
        <v>1254446.01</v>
      </c>
      <c r="F288" s="538">
        <f t="shared" si="4"/>
        <v>1094103</v>
      </c>
      <c r="G288" s="538">
        <v>3520101</v>
      </c>
      <c r="H288" s="538"/>
      <c r="I288" s="539">
        <v>0</v>
      </c>
      <c r="J288" s="539">
        <v>2456417</v>
      </c>
      <c r="K288" s="539">
        <v>0</v>
      </c>
      <c r="L288" s="538">
        <v>246500</v>
      </c>
      <c r="M288" s="538"/>
      <c r="N288" s="539">
        <v>400235</v>
      </c>
      <c r="O288" s="539">
        <v>2837790</v>
      </c>
      <c r="P288" s="539">
        <v>0</v>
      </c>
      <c r="Q288" s="538">
        <v>0</v>
      </c>
      <c r="R288" s="538"/>
      <c r="S288" s="539">
        <v>342998</v>
      </c>
      <c r="T288" s="540">
        <v>77676</v>
      </c>
      <c r="U288" s="540">
        <v>420674</v>
      </c>
    </row>
    <row r="289" spans="1:25" x14ac:dyDescent="0.25">
      <c r="A289" s="535">
        <v>39700</v>
      </c>
      <c r="B289" s="536" t="s">
        <v>1058</v>
      </c>
      <c r="C289" s="542">
        <v>3.9490999999999997E-3</v>
      </c>
      <c r="D289" s="542">
        <v>3.8141E-3</v>
      </c>
      <c r="E289" s="538">
        <v>4730180.04</v>
      </c>
      <c r="F289" s="538">
        <f t="shared" si="4"/>
        <v>4471731</v>
      </c>
      <c r="G289" s="538">
        <v>14553215</v>
      </c>
      <c r="H289" s="538"/>
      <c r="I289" s="539">
        <v>0</v>
      </c>
      <c r="J289" s="539">
        <v>10155608</v>
      </c>
      <c r="K289" s="539">
        <v>0</v>
      </c>
      <c r="L289" s="538">
        <v>371446</v>
      </c>
      <c r="M289" s="538"/>
      <c r="N289" s="539">
        <v>1654701</v>
      </c>
      <c r="O289" s="539">
        <v>11732326</v>
      </c>
      <c r="P289" s="539">
        <v>0</v>
      </c>
      <c r="Q289" s="538">
        <v>269235</v>
      </c>
      <c r="R289" s="538"/>
      <c r="S289" s="539">
        <v>1418063</v>
      </c>
      <c r="T289" s="540">
        <v>6393</v>
      </c>
      <c r="U289" s="540">
        <v>1424456</v>
      </c>
    </row>
    <row r="290" spans="1:25" x14ac:dyDescent="0.25">
      <c r="A290" s="535">
        <v>39703</v>
      </c>
      <c r="B290" s="536" t="s">
        <v>1059</v>
      </c>
      <c r="C290" s="542">
        <v>8.6700000000000007E-5</v>
      </c>
      <c r="D290" s="542">
        <v>6.4399999999999993E-5</v>
      </c>
      <c r="E290" s="538">
        <v>92553.5</v>
      </c>
      <c r="F290" s="538">
        <f t="shared" si="4"/>
        <v>75504</v>
      </c>
      <c r="G290" s="538">
        <v>319507</v>
      </c>
      <c r="H290" s="538"/>
      <c r="I290" s="539">
        <v>0</v>
      </c>
      <c r="J290" s="539">
        <v>222960</v>
      </c>
      <c r="K290" s="539">
        <v>0</v>
      </c>
      <c r="L290" s="538">
        <v>304039</v>
      </c>
      <c r="M290" s="538"/>
      <c r="N290" s="539">
        <v>36328</v>
      </c>
      <c r="O290" s="539">
        <v>257576</v>
      </c>
      <c r="P290" s="539">
        <v>0</v>
      </c>
      <c r="Q290" s="538">
        <v>0</v>
      </c>
      <c r="R290" s="538"/>
      <c r="S290" s="539">
        <v>31133</v>
      </c>
      <c r="T290" s="540">
        <v>102365</v>
      </c>
      <c r="U290" s="540">
        <v>133498</v>
      </c>
    </row>
    <row r="291" spans="1:25" x14ac:dyDescent="0.25">
      <c r="A291" s="535">
        <v>39705</v>
      </c>
      <c r="B291" s="536" t="s">
        <v>1060</v>
      </c>
      <c r="C291" s="542">
        <v>9.142E-4</v>
      </c>
      <c r="D291" s="542">
        <v>8.8699999999999998E-4</v>
      </c>
      <c r="E291" s="538">
        <v>1197977.07</v>
      </c>
      <c r="F291" s="538">
        <f t="shared" si="4"/>
        <v>1039938</v>
      </c>
      <c r="G291" s="538">
        <v>3369008</v>
      </c>
      <c r="H291" s="538"/>
      <c r="I291" s="539">
        <v>0</v>
      </c>
      <c r="J291" s="539">
        <v>2350980</v>
      </c>
      <c r="K291" s="539">
        <v>0</v>
      </c>
      <c r="L291" s="538">
        <v>307594</v>
      </c>
      <c r="M291" s="538"/>
      <c r="N291" s="539">
        <v>383056</v>
      </c>
      <c r="O291" s="539">
        <v>2715984</v>
      </c>
      <c r="P291" s="539">
        <v>0</v>
      </c>
      <c r="Q291" s="538">
        <v>0</v>
      </c>
      <c r="R291" s="538"/>
      <c r="S291" s="539">
        <v>328276</v>
      </c>
      <c r="T291" s="540">
        <v>98081</v>
      </c>
      <c r="U291" s="540">
        <v>426356</v>
      </c>
    </row>
    <row r="292" spans="1:25" x14ac:dyDescent="0.25">
      <c r="A292" s="535">
        <v>39800</v>
      </c>
      <c r="B292" s="536" t="s">
        <v>1061</v>
      </c>
      <c r="C292" s="542">
        <v>4.3731000000000004E-3</v>
      </c>
      <c r="D292" s="542">
        <v>4.3539E-3</v>
      </c>
      <c r="E292" s="538">
        <v>5404374</v>
      </c>
      <c r="F292" s="538">
        <f t="shared" si="4"/>
        <v>5104604</v>
      </c>
      <c r="G292" s="538">
        <v>16115739</v>
      </c>
      <c r="H292" s="538"/>
      <c r="I292" s="539">
        <v>0</v>
      </c>
      <c r="J292" s="539">
        <v>11245978</v>
      </c>
      <c r="K292" s="539">
        <v>0</v>
      </c>
      <c r="L292" s="538">
        <v>0</v>
      </c>
      <c r="M292" s="538"/>
      <c r="N292" s="539">
        <v>1832360</v>
      </c>
      <c r="O292" s="539">
        <v>12991982</v>
      </c>
      <c r="P292" s="539">
        <v>0</v>
      </c>
      <c r="Q292" s="538">
        <v>751893</v>
      </c>
      <c r="R292" s="538"/>
      <c r="S292" s="539">
        <v>1570315</v>
      </c>
      <c r="T292" s="540">
        <v>-268674</v>
      </c>
      <c r="U292" s="540">
        <v>1301640</v>
      </c>
    </row>
    <row r="293" spans="1:25" x14ac:dyDescent="0.25">
      <c r="A293" s="535">
        <v>39805</v>
      </c>
      <c r="B293" s="536" t="s">
        <v>1062</v>
      </c>
      <c r="C293" s="542">
        <v>4.8930000000000002E-4</v>
      </c>
      <c r="D293" s="542">
        <v>4.9120000000000001E-4</v>
      </c>
      <c r="E293" s="538">
        <v>668351.77</v>
      </c>
      <c r="F293" s="538">
        <f t="shared" si="4"/>
        <v>575893</v>
      </c>
      <c r="G293" s="538">
        <v>1803167</v>
      </c>
      <c r="H293" s="538"/>
      <c r="I293" s="539">
        <v>0</v>
      </c>
      <c r="J293" s="539">
        <v>1258297</v>
      </c>
      <c r="K293" s="539">
        <v>0</v>
      </c>
      <c r="L293" s="538">
        <v>31584</v>
      </c>
      <c r="M293" s="538"/>
      <c r="N293" s="539">
        <v>205020</v>
      </c>
      <c r="O293" s="539">
        <v>1453655</v>
      </c>
      <c r="P293" s="539">
        <v>0</v>
      </c>
      <c r="Q293" s="538">
        <v>55524</v>
      </c>
      <c r="R293" s="538"/>
      <c r="S293" s="539">
        <v>175700</v>
      </c>
      <c r="T293" s="540">
        <v>-11152</v>
      </c>
      <c r="U293" s="540">
        <v>164548</v>
      </c>
    </row>
    <row r="294" spans="1:25" x14ac:dyDescent="0.25">
      <c r="A294" s="535">
        <v>39900</v>
      </c>
      <c r="B294" s="536" t="s">
        <v>1063</v>
      </c>
      <c r="C294" s="542">
        <v>2.1565E-3</v>
      </c>
      <c r="D294" s="542">
        <v>2.1189E-3</v>
      </c>
      <c r="E294" s="538">
        <v>2699442.55</v>
      </c>
      <c r="F294" s="538">
        <f t="shared" si="4"/>
        <v>2484243</v>
      </c>
      <c r="G294" s="538">
        <v>7947129</v>
      </c>
      <c r="H294" s="538"/>
      <c r="I294" s="539">
        <v>0</v>
      </c>
      <c r="J294" s="539">
        <v>5545711</v>
      </c>
      <c r="K294" s="539">
        <v>0</v>
      </c>
      <c r="L294" s="538">
        <v>141066</v>
      </c>
      <c r="M294" s="538"/>
      <c r="N294" s="539">
        <v>903589</v>
      </c>
      <c r="O294" s="539">
        <v>6406716</v>
      </c>
      <c r="P294" s="539">
        <v>0</v>
      </c>
      <c r="Q294" s="538">
        <v>346939</v>
      </c>
      <c r="R294" s="538"/>
      <c r="S294" s="539">
        <v>774367</v>
      </c>
      <c r="T294" s="540">
        <v>-85274</v>
      </c>
      <c r="U294" s="540">
        <v>689093</v>
      </c>
    </row>
    <row r="295" spans="1:25" x14ac:dyDescent="0.25">
      <c r="A295" s="535">
        <v>51000</v>
      </c>
      <c r="B295" s="536" t="s">
        <v>1064</v>
      </c>
      <c r="C295" s="542">
        <v>3.5939600000000002E-2</v>
      </c>
      <c r="D295" s="542">
        <v>3.7027900000000002E-2</v>
      </c>
      <c r="E295" s="538">
        <v>49463057</v>
      </c>
      <c r="F295" s="538">
        <f>D295*$F$298</f>
        <v>43412292</v>
      </c>
      <c r="G295" s="538">
        <v>132444542</v>
      </c>
      <c r="H295" s="538"/>
      <c r="I295" s="539">
        <v>0</v>
      </c>
      <c r="J295" s="539">
        <v>92423210</v>
      </c>
      <c r="K295" s="539">
        <v>0</v>
      </c>
      <c r="L295" s="538">
        <v>3686935</v>
      </c>
      <c r="M295" s="538"/>
      <c r="N295" s="539">
        <v>15058944</v>
      </c>
      <c r="O295" s="539">
        <v>106772454</v>
      </c>
      <c r="P295" s="539">
        <v>0</v>
      </c>
      <c r="Q295" s="538">
        <v>1405858</v>
      </c>
      <c r="R295" s="538"/>
      <c r="S295" s="539">
        <v>12905371</v>
      </c>
      <c r="T295" s="540">
        <v>932048</v>
      </c>
      <c r="U295" s="540">
        <v>13837419</v>
      </c>
    </row>
    <row r="297" spans="1:25" x14ac:dyDescent="0.25">
      <c r="A297" s="535" t="s">
        <v>1141</v>
      </c>
      <c r="B297" s="536" t="s">
        <v>1145</v>
      </c>
      <c r="C297" s="542">
        <v>4.0399999999999999E-5</v>
      </c>
      <c r="D297" s="542">
        <v>3.43E-5</v>
      </c>
      <c r="E297" s="538">
        <v>43611.76</v>
      </c>
      <c r="F297" s="538">
        <f>D297*$F$298</f>
        <v>40214</v>
      </c>
      <c r="G297" s="538">
        <v>148882</v>
      </c>
      <c r="H297" s="538"/>
      <c r="I297" s="539">
        <v>0</v>
      </c>
      <c r="J297" s="539">
        <v>103894</v>
      </c>
      <c r="K297" s="539">
        <v>0</v>
      </c>
      <c r="L297" s="538">
        <v>34271</v>
      </c>
      <c r="M297" s="538"/>
      <c r="N297" s="539">
        <v>16928</v>
      </c>
      <c r="O297" s="539">
        <v>120024</v>
      </c>
      <c r="P297" s="539">
        <v>0</v>
      </c>
      <c r="Q297" s="538">
        <v>0</v>
      </c>
      <c r="R297" s="538"/>
      <c r="S297" s="539">
        <v>14507</v>
      </c>
      <c r="T297" s="540">
        <v>10652</v>
      </c>
      <c r="U297" s="540">
        <v>25159</v>
      </c>
    </row>
    <row r="298" spans="1:25" s="530" customFormat="1" x14ac:dyDescent="0.25">
      <c r="B298" s="530" t="s">
        <v>1065</v>
      </c>
      <c r="E298" s="544">
        <f>SUM(E3:E296)</f>
        <v>1262508386</v>
      </c>
      <c r="F298" s="545">
        <v>1172421109</v>
      </c>
      <c r="G298" s="544">
        <f>SUM(G3:G295)</f>
        <v>3685197999</v>
      </c>
      <c r="H298" s="546"/>
      <c r="I298" s="544">
        <f>SUM(I3:I295)</f>
        <v>0</v>
      </c>
      <c r="J298" s="544">
        <f>SUM(J3:J295)</f>
        <v>2571626007</v>
      </c>
      <c r="K298" s="544">
        <f>SUM(K3:K295)</f>
        <v>0</v>
      </c>
      <c r="L298" s="544">
        <f>SUM(L3:L295)</f>
        <v>90295984</v>
      </c>
      <c r="M298" s="546"/>
      <c r="N298" s="544">
        <f>SUM(N3:N295)</f>
        <v>419007001</v>
      </c>
      <c r="O298" s="544">
        <f>SUM(O3:O295)</f>
        <v>2970886000</v>
      </c>
      <c r="P298" s="544">
        <f>SUM(P3:P295)</f>
        <v>0</v>
      </c>
      <c r="Q298" s="544">
        <f>SUM(Q3:Q295)</f>
        <v>90295817</v>
      </c>
      <c r="R298" s="546"/>
      <c r="S298" s="544">
        <f>SUM(S3:S295)</f>
        <v>359085000</v>
      </c>
      <c r="T298" s="544">
        <f>SUM(T3:T295)</f>
        <v>69</v>
      </c>
      <c r="U298" s="544">
        <f>SUM(U3:U295)</f>
        <v>359085071</v>
      </c>
      <c r="X298" s="544"/>
      <c r="Y298" s="544"/>
    </row>
    <row r="299" spans="1:25" x14ac:dyDescent="0.25">
      <c r="G299" s="547" t="s">
        <v>1120</v>
      </c>
      <c r="H299" s="547"/>
      <c r="I299" s="547" t="s">
        <v>1121</v>
      </c>
      <c r="J299" s="547" t="s">
        <v>1122</v>
      </c>
      <c r="K299" s="547" t="s">
        <v>1121</v>
      </c>
      <c r="L299" s="548" t="s">
        <v>1123</v>
      </c>
      <c r="M299" s="547"/>
      <c r="N299" s="547" t="s">
        <v>1124</v>
      </c>
      <c r="O299" s="547" t="s">
        <v>1122</v>
      </c>
      <c r="P299" s="547" t="s">
        <v>1121</v>
      </c>
      <c r="Q299" s="547" t="s">
        <v>1123</v>
      </c>
      <c r="R299" s="547"/>
      <c r="S299" s="547" t="s">
        <v>1125</v>
      </c>
      <c r="T299" s="547" t="s">
        <v>1121</v>
      </c>
      <c r="U299" s="547" t="s">
        <v>1126</v>
      </c>
      <c r="X299" s="534"/>
      <c r="Y299" s="534"/>
    </row>
    <row r="300" spans="1:25" x14ac:dyDescent="0.25">
      <c r="L300" s="534"/>
      <c r="Q300" s="549"/>
      <c r="X300" s="534"/>
    </row>
    <row r="301" spans="1:25" x14ac:dyDescent="0.25">
      <c r="Q301" s="549"/>
      <c r="X301" s="534"/>
      <c r="Y301" s="534"/>
    </row>
    <row r="302" spans="1:25" x14ac:dyDescent="0.25">
      <c r="A302" s="535"/>
      <c r="B302" s="536" t="s">
        <v>911</v>
      </c>
      <c r="C302" s="543">
        <v>33501</v>
      </c>
      <c r="L302" s="549"/>
      <c r="Q302" s="549"/>
      <c r="Y302" s="534"/>
    </row>
    <row r="303" spans="1:25" x14ac:dyDescent="0.25">
      <c r="A303" s="535"/>
      <c r="B303" s="536" t="s">
        <v>974</v>
      </c>
      <c r="C303" s="535">
        <v>36301</v>
      </c>
      <c r="L303" s="549"/>
      <c r="Q303" s="549"/>
    </row>
    <row r="304" spans="1:25" x14ac:dyDescent="0.25">
      <c r="A304" s="535"/>
      <c r="B304" s="536" t="s">
        <v>779</v>
      </c>
      <c r="C304" s="535">
        <v>10800</v>
      </c>
      <c r="L304" s="549"/>
      <c r="Q304" s="549"/>
    </row>
    <row r="305" spans="1:17" x14ac:dyDescent="0.25">
      <c r="A305" s="535"/>
      <c r="B305" s="536" t="s">
        <v>835</v>
      </c>
      <c r="C305" s="535">
        <v>30105</v>
      </c>
      <c r="L305" s="549"/>
      <c r="Q305" s="549"/>
    </row>
    <row r="306" spans="1:17" x14ac:dyDescent="0.25">
      <c r="A306" s="535"/>
      <c r="B306" s="536" t="s">
        <v>831</v>
      </c>
      <c r="C306" s="535">
        <v>30100</v>
      </c>
      <c r="L306" s="549"/>
      <c r="Q306" s="549"/>
    </row>
    <row r="307" spans="1:17" x14ac:dyDescent="0.25">
      <c r="A307" s="535"/>
      <c r="B307" s="536" t="s">
        <v>836</v>
      </c>
      <c r="C307" s="535">
        <v>30200</v>
      </c>
      <c r="L307" s="549"/>
      <c r="Q307" s="549"/>
    </row>
    <row r="308" spans="1:17" x14ac:dyDescent="0.25">
      <c r="A308" s="535"/>
      <c r="B308" s="536" t="s">
        <v>837</v>
      </c>
      <c r="C308" s="535">
        <v>30300</v>
      </c>
      <c r="L308" s="549"/>
      <c r="Q308" s="549"/>
    </row>
    <row r="309" spans="1:17" x14ac:dyDescent="0.25">
      <c r="A309" s="535"/>
      <c r="B309" s="536" t="s">
        <v>935</v>
      </c>
      <c r="C309" s="535">
        <v>34901</v>
      </c>
      <c r="L309" s="549"/>
      <c r="Q309" s="549"/>
    </row>
    <row r="310" spans="1:17" x14ac:dyDescent="0.25">
      <c r="A310" s="535"/>
      <c r="B310" s="536" t="s">
        <v>838</v>
      </c>
      <c r="C310" s="535">
        <v>30400</v>
      </c>
      <c r="L310" s="549"/>
    </row>
    <row r="311" spans="1:17" x14ac:dyDescent="0.25">
      <c r="A311" s="535"/>
      <c r="B311" s="536" t="s">
        <v>810</v>
      </c>
      <c r="C311" s="535">
        <v>20100</v>
      </c>
      <c r="L311" s="549"/>
    </row>
    <row r="312" spans="1:17" x14ac:dyDescent="0.25">
      <c r="A312" s="535"/>
      <c r="B312" s="536" t="s">
        <v>993</v>
      </c>
      <c r="C312" s="535">
        <v>36901</v>
      </c>
      <c r="G312" s="547" t="s">
        <v>1120</v>
      </c>
      <c r="I312" s="531" t="s">
        <v>1127</v>
      </c>
      <c r="L312" s="549"/>
      <c r="Q312" s="550"/>
    </row>
    <row r="313" spans="1:17" x14ac:dyDescent="0.25">
      <c r="A313" s="535"/>
      <c r="B313" s="536" t="s">
        <v>907</v>
      </c>
      <c r="C313" s="535">
        <v>33402</v>
      </c>
      <c r="G313" s="547" t="s">
        <v>1121</v>
      </c>
      <c r="I313" s="531" t="s">
        <v>1128</v>
      </c>
      <c r="L313" s="549"/>
    </row>
    <row r="314" spans="1:17" x14ac:dyDescent="0.25">
      <c r="A314" s="535"/>
      <c r="B314" s="536" t="s">
        <v>840</v>
      </c>
      <c r="C314" s="535">
        <v>30500</v>
      </c>
      <c r="G314" s="547" t="s">
        <v>1122</v>
      </c>
      <c r="I314" s="531" t="s">
        <v>1129</v>
      </c>
    </row>
    <row r="315" spans="1:17" x14ac:dyDescent="0.25">
      <c r="A315" s="535"/>
      <c r="B315" s="536" t="s">
        <v>1008</v>
      </c>
      <c r="C315" s="535">
        <v>37610</v>
      </c>
      <c r="G315" s="547" t="s">
        <v>1123</v>
      </c>
      <c r="I315" s="531" t="s">
        <v>1130</v>
      </c>
      <c r="K315" s="549"/>
      <c r="L315" s="549"/>
      <c r="M315" s="549"/>
      <c r="N315" s="549"/>
      <c r="O315" s="549"/>
    </row>
    <row r="316" spans="1:17" x14ac:dyDescent="0.25">
      <c r="A316" s="535"/>
      <c r="B316" s="536" t="s">
        <v>854</v>
      </c>
      <c r="C316" s="535">
        <v>31110</v>
      </c>
      <c r="G316" s="547" t="s">
        <v>1124</v>
      </c>
      <c r="I316" s="531" t="s">
        <v>1131</v>
      </c>
      <c r="K316" s="549"/>
      <c r="L316" s="549"/>
      <c r="M316" s="549"/>
      <c r="N316" s="549"/>
      <c r="O316" s="549"/>
    </row>
    <row r="317" spans="1:17" x14ac:dyDescent="0.25">
      <c r="A317" s="535"/>
      <c r="B317" s="536" t="s">
        <v>853</v>
      </c>
      <c r="C317" s="535">
        <v>31105</v>
      </c>
      <c r="G317" s="547" t="s">
        <v>1125</v>
      </c>
      <c r="I317" s="531" t="s">
        <v>1132</v>
      </c>
      <c r="K317" s="549"/>
      <c r="L317" s="549"/>
      <c r="M317" s="549"/>
      <c r="N317" s="549"/>
      <c r="O317" s="549"/>
    </row>
    <row r="318" spans="1:17" x14ac:dyDescent="0.25">
      <c r="A318" s="535"/>
      <c r="B318" s="536" t="s">
        <v>841</v>
      </c>
      <c r="C318" s="535">
        <v>30600</v>
      </c>
      <c r="G318" s="547" t="s">
        <v>1126</v>
      </c>
      <c r="I318" s="531" t="s">
        <v>1133</v>
      </c>
    </row>
    <row r="319" spans="1:17" x14ac:dyDescent="0.25">
      <c r="A319" s="535"/>
      <c r="B319" s="536" t="s">
        <v>802</v>
      </c>
      <c r="C319" s="535">
        <v>18600</v>
      </c>
      <c r="G319" s="547"/>
    </row>
    <row r="320" spans="1:17" x14ac:dyDescent="0.25">
      <c r="A320" s="535"/>
      <c r="B320" s="536" t="s">
        <v>903</v>
      </c>
      <c r="C320" s="535">
        <v>33206</v>
      </c>
    </row>
    <row r="321" spans="1:3" x14ac:dyDescent="0.25">
      <c r="A321" s="535"/>
      <c r="B321" s="536" t="s">
        <v>844</v>
      </c>
      <c r="C321" s="535">
        <v>30705</v>
      </c>
    </row>
    <row r="322" spans="1:3" x14ac:dyDescent="0.25">
      <c r="A322" s="535"/>
      <c r="B322" s="536" t="s">
        <v>843</v>
      </c>
      <c r="C322" s="535">
        <v>30700</v>
      </c>
    </row>
    <row r="323" spans="1:3" x14ac:dyDescent="0.25">
      <c r="A323" s="535"/>
      <c r="B323" s="536" t="s">
        <v>845</v>
      </c>
      <c r="C323" s="535">
        <v>30800</v>
      </c>
    </row>
    <row r="324" spans="1:3" x14ac:dyDescent="0.25">
      <c r="A324" s="535"/>
      <c r="B324" s="536" t="s">
        <v>1015</v>
      </c>
      <c r="C324" s="535">
        <v>37901</v>
      </c>
    </row>
    <row r="325" spans="1:3" x14ac:dyDescent="0.25">
      <c r="A325" s="535"/>
      <c r="B325" s="536" t="s">
        <v>847</v>
      </c>
      <c r="C325" s="535">
        <v>30905</v>
      </c>
    </row>
    <row r="326" spans="1:3" x14ac:dyDescent="0.25">
      <c r="A326" s="535"/>
      <c r="B326" s="536" t="s">
        <v>846</v>
      </c>
      <c r="C326" s="535">
        <v>30900</v>
      </c>
    </row>
    <row r="327" spans="1:3" x14ac:dyDescent="0.25">
      <c r="A327" s="535"/>
      <c r="B327" s="536" t="s">
        <v>929</v>
      </c>
      <c r="C327" s="535">
        <v>34505</v>
      </c>
    </row>
    <row r="328" spans="1:3" x14ac:dyDescent="0.25">
      <c r="A328" s="535"/>
      <c r="B328" s="536" t="s">
        <v>1038</v>
      </c>
      <c r="C328" s="535">
        <v>38801</v>
      </c>
    </row>
    <row r="329" spans="1:3" x14ac:dyDescent="0.25">
      <c r="A329" s="535"/>
      <c r="B329" s="536" t="s">
        <v>1030</v>
      </c>
      <c r="C329" s="535">
        <v>38601</v>
      </c>
    </row>
    <row r="330" spans="1:3" x14ac:dyDescent="0.25">
      <c r="A330" s="535"/>
      <c r="B330" s="536" t="s">
        <v>849</v>
      </c>
      <c r="C330" s="535">
        <v>31005</v>
      </c>
    </row>
    <row r="331" spans="1:3" x14ac:dyDescent="0.25">
      <c r="A331" s="535"/>
      <c r="B331" s="536" t="s">
        <v>848</v>
      </c>
      <c r="C331" s="535">
        <v>31000</v>
      </c>
    </row>
    <row r="332" spans="1:3" x14ac:dyDescent="0.25">
      <c r="A332" s="535"/>
      <c r="B332" s="536" t="s">
        <v>850</v>
      </c>
      <c r="C332" s="535">
        <v>31100</v>
      </c>
    </row>
    <row r="333" spans="1:3" x14ac:dyDescent="0.25">
      <c r="A333" s="535"/>
      <c r="B333" s="536" t="s">
        <v>855</v>
      </c>
      <c r="C333" s="535">
        <v>31200</v>
      </c>
    </row>
    <row r="334" spans="1:3" x14ac:dyDescent="0.25">
      <c r="A334" s="535"/>
      <c r="B334" s="536" t="s">
        <v>857</v>
      </c>
      <c r="C334" s="535">
        <v>31300</v>
      </c>
    </row>
    <row r="335" spans="1:3" x14ac:dyDescent="0.25">
      <c r="A335" s="535"/>
      <c r="B335" s="536" t="s">
        <v>861</v>
      </c>
      <c r="C335" s="535">
        <v>31405</v>
      </c>
    </row>
    <row r="336" spans="1:3" x14ac:dyDescent="0.25">
      <c r="A336" s="535"/>
      <c r="B336" s="536" t="s">
        <v>860</v>
      </c>
      <c r="C336" s="535">
        <v>31400</v>
      </c>
    </row>
    <row r="337" spans="1:3" x14ac:dyDescent="0.25">
      <c r="A337" s="535"/>
      <c r="B337" s="536" t="s">
        <v>862</v>
      </c>
      <c r="C337" s="535">
        <v>31500</v>
      </c>
    </row>
    <row r="338" spans="1:3" x14ac:dyDescent="0.25">
      <c r="A338" s="535"/>
      <c r="B338" s="536" t="s">
        <v>982</v>
      </c>
      <c r="C338" s="535">
        <v>36505</v>
      </c>
    </row>
    <row r="339" spans="1:3" x14ac:dyDescent="0.25">
      <c r="A339" s="535"/>
      <c r="B339" s="536" t="s">
        <v>980</v>
      </c>
      <c r="C339" s="535">
        <v>36501</v>
      </c>
    </row>
    <row r="340" spans="1:3" x14ac:dyDescent="0.25">
      <c r="A340" s="535"/>
      <c r="B340" s="536" t="s">
        <v>864</v>
      </c>
      <c r="C340" s="535">
        <v>31601</v>
      </c>
    </row>
    <row r="341" spans="1:3" x14ac:dyDescent="0.25">
      <c r="A341" s="535"/>
      <c r="B341" s="536" t="s">
        <v>858</v>
      </c>
      <c r="C341" s="535">
        <v>31301</v>
      </c>
    </row>
    <row r="342" spans="1:3" x14ac:dyDescent="0.25">
      <c r="A342" s="535"/>
      <c r="B342" s="536" t="s">
        <v>865</v>
      </c>
      <c r="C342" s="535">
        <v>31605</v>
      </c>
    </row>
    <row r="343" spans="1:3" x14ac:dyDescent="0.25">
      <c r="A343" s="535"/>
      <c r="B343" s="536" t="s">
        <v>863</v>
      </c>
      <c r="C343" s="535">
        <v>31600</v>
      </c>
    </row>
    <row r="344" spans="1:3" x14ac:dyDescent="0.25">
      <c r="A344" s="535"/>
      <c r="B344" s="536" t="s">
        <v>1049</v>
      </c>
      <c r="C344" s="535">
        <v>39209</v>
      </c>
    </row>
    <row r="345" spans="1:3" x14ac:dyDescent="0.25">
      <c r="A345" s="535"/>
      <c r="B345" s="536" t="s">
        <v>866</v>
      </c>
      <c r="C345" s="535">
        <v>31700</v>
      </c>
    </row>
    <row r="346" spans="1:3" x14ac:dyDescent="0.25">
      <c r="A346" s="535"/>
      <c r="B346" s="536" t="s">
        <v>867</v>
      </c>
      <c r="C346" s="535">
        <v>31800</v>
      </c>
    </row>
    <row r="347" spans="1:3" x14ac:dyDescent="0.25">
      <c r="A347" s="535"/>
      <c r="B347" s="536" t="s">
        <v>868</v>
      </c>
      <c r="C347" s="535">
        <v>31805</v>
      </c>
    </row>
    <row r="348" spans="1:3" x14ac:dyDescent="0.25">
      <c r="A348" s="535"/>
      <c r="B348" s="536" t="s">
        <v>946</v>
      </c>
      <c r="C348" s="535">
        <v>35305</v>
      </c>
    </row>
    <row r="349" spans="1:3" x14ac:dyDescent="0.25">
      <c r="A349" s="535"/>
      <c r="B349" s="536" t="s">
        <v>899</v>
      </c>
      <c r="C349" s="535">
        <v>33202</v>
      </c>
    </row>
    <row r="350" spans="1:3" x14ac:dyDescent="0.25">
      <c r="A350" s="535"/>
      <c r="B350" s="536" t="s">
        <v>963</v>
      </c>
      <c r="C350" s="535">
        <v>36005</v>
      </c>
    </row>
    <row r="351" spans="1:3" x14ac:dyDescent="0.25">
      <c r="A351" s="535"/>
      <c r="B351" s="536" t="s">
        <v>991</v>
      </c>
      <c r="C351" s="535">
        <v>36810</v>
      </c>
    </row>
    <row r="352" spans="1:3" x14ac:dyDescent="0.25">
      <c r="A352" s="535"/>
      <c r="B352" s="536" t="s">
        <v>967</v>
      </c>
      <c r="C352" s="535">
        <v>36009</v>
      </c>
    </row>
    <row r="353" spans="1:3" x14ac:dyDescent="0.25">
      <c r="A353" s="535"/>
      <c r="B353" s="536" t="s">
        <v>958</v>
      </c>
      <c r="C353" s="535">
        <v>36000</v>
      </c>
    </row>
    <row r="354" spans="1:3" x14ac:dyDescent="0.25">
      <c r="A354" s="535"/>
      <c r="B354" s="536" t="s">
        <v>871</v>
      </c>
      <c r="C354" s="535">
        <v>31900</v>
      </c>
    </row>
    <row r="355" spans="1:3" x14ac:dyDescent="0.25">
      <c r="A355" s="535"/>
      <c r="B355" s="536" t="s">
        <v>872</v>
      </c>
      <c r="C355" s="535">
        <v>32000</v>
      </c>
    </row>
    <row r="356" spans="1:3" x14ac:dyDescent="0.25">
      <c r="A356" s="535"/>
      <c r="B356" s="536" t="s">
        <v>948</v>
      </c>
      <c r="C356" s="535">
        <v>35401</v>
      </c>
    </row>
    <row r="357" spans="1:3" x14ac:dyDescent="0.25">
      <c r="A357" s="535"/>
      <c r="B357" s="536" t="s">
        <v>875</v>
      </c>
      <c r="C357" s="535">
        <v>32200</v>
      </c>
    </row>
    <row r="358" spans="1:3" x14ac:dyDescent="0.25">
      <c r="A358" s="535"/>
      <c r="B358" s="536" t="s">
        <v>876</v>
      </c>
      <c r="C358" s="535">
        <v>32300</v>
      </c>
    </row>
    <row r="359" spans="1:3" x14ac:dyDescent="0.25">
      <c r="A359" s="535"/>
      <c r="B359" s="536" t="s">
        <v>877</v>
      </c>
      <c r="C359" s="535">
        <v>32305</v>
      </c>
    </row>
    <row r="360" spans="1:3" x14ac:dyDescent="0.25">
      <c r="A360" s="535"/>
      <c r="B360" s="536" t="s">
        <v>1023</v>
      </c>
      <c r="C360" s="535">
        <v>38210</v>
      </c>
    </row>
    <row r="361" spans="1:3" x14ac:dyDescent="0.25">
      <c r="A361" s="535"/>
      <c r="B361" s="536" t="s">
        <v>832</v>
      </c>
      <c r="C361" s="535">
        <v>30102</v>
      </c>
    </row>
    <row r="362" spans="1:3" x14ac:dyDescent="0.25">
      <c r="A362" s="535"/>
      <c r="B362" s="536" t="s">
        <v>987</v>
      </c>
      <c r="C362" s="535">
        <v>36705</v>
      </c>
    </row>
    <row r="363" spans="1:3" x14ac:dyDescent="0.25">
      <c r="A363" s="535"/>
      <c r="B363" s="536" t="s">
        <v>996</v>
      </c>
      <c r="C363" s="535">
        <v>37005</v>
      </c>
    </row>
    <row r="364" spans="1:3" x14ac:dyDescent="0.25">
      <c r="A364" s="535"/>
      <c r="B364" s="536" t="s">
        <v>878</v>
      </c>
      <c r="C364" s="535">
        <v>32400</v>
      </c>
    </row>
    <row r="365" spans="1:3" x14ac:dyDescent="0.25">
      <c r="A365" s="535"/>
      <c r="B365" s="536" t="s">
        <v>959</v>
      </c>
      <c r="C365" s="535">
        <v>36001</v>
      </c>
    </row>
    <row r="366" spans="1:3" x14ac:dyDescent="0.25">
      <c r="A366" s="535"/>
      <c r="B366" s="536" t="s">
        <v>808</v>
      </c>
      <c r="C366" s="535">
        <v>19005</v>
      </c>
    </row>
    <row r="367" spans="1:3" x14ac:dyDescent="0.25">
      <c r="A367" s="535"/>
      <c r="B367" s="536" t="s">
        <v>961</v>
      </c>
      <c r="C367" s="535">
        <v>36003</v>
      </c>
    </row>
    <row r="368" spans="1:3" x14ac:dyDescent="0.25">
      <c r="A368" s="535"/>
      <c r="B368" s="536" t="s">
        <v>895</v>
      </c>
      <c r="C368" s="535">
        <v>33027</v>
      </c>
    </row>
    <row r="369" spans="1:3" x14ac:dyDescent="0.25">
      <c r="A369" s="535"/>
      <c r="B369" s="536" t="s">
        <v>962</v>
      </c>
      <c r="C369" s="535">
        <v>36004</v>
      </c>
    </row>
    <row r="370" spans="1:3" x14ac:dyDescent="0.25">
      <c r="A370" s="535"/>
      <c r="B370" s="536" t="s">
        <v>883</v>
      </c>
      <c r="C370" s="535">
        <v>32505</v>
      </c>
    </row>
    <row r="371" spans="1:3" x14ac:dyDescent="0.25">
      <c r="A371" s="535"/>
      <c r="B371" s="536" t="s">
        <v>884</v>
      </c>
      <c r="C371" s="535">
        <v>32600</v>
      </c>
    </row>
    <row r="372" spans="1:3" x14ac:dyDescent="0.25">
      <c r="A372" s="535"/>
      <c r="B372" s="536" t="s">
        <v>886</v>
      </c>
      <c r="C372" s="535">
        <v>32700</v>
      </c>
    </row>
    <row r="373" spans="1:3" x14ac:dyDescent="0.25">
      <c r="A373" s="535"/>
      <c r="B373" s="536" t="s">
        <v>887</v>
      </c>
      <c r="C373" s="535">
        <v>32800</v>
      </c>
    </row>
    <row r="374" spans="1:3" x14ac:dyDescent="0.25">
      <c r="A374" s="535"/>
      <c r="B374" s="536" t="s">
        <v>890</v>
      </c>
      <c r="C374" s="535">
        <v>32905</v>
      </c>
    </row>
    <row r="375" spans="1:3" x14ac:dyDescent="0.25">
      <c r="A375" s="535"/>
      <c r="B375" s="536" t="s">
        <v>888</v>
      </c>
      <c r="C375" s="535">
        <v>32900</v>
      </c>
    </row>
    <row r="376" spans="1:3" x14ac:dyDescent="0.25">
      <c r="A376" s="535"/>
      <c r="B376" s="536" t="s">
        <v>893</v>
      </c>
      <c r="C376" s="535">
        <v>33000</v>
      </c>
    </row>
    <row r="377" spans="1:3" x14ac:dyDescent="0.25">
      <c r="A377" s="535"/>
      <c r="B377" s="536" t="s">
        <v>781</v>
      </c>
      <c r="C377" s="535">
        <v>10900</v>
      </c>
    </row>
    <row r="378" spans="1:3" x14ac:dyDescent="0.25">
      <c r="A378" s="535"/>
      <c r="B378" s="536" t="s">
        <v>801</v>
      </c>
      <c r="C378" s="535">
        <v>18400</v>
      </c>
    </row>
    <row r="379" spans="1:3" x14ac:dyDescent="0.25">
      <c r="A379" s="535"/>
      <c r="B379" s="536" t="s">
        <v>794</v>
      </c>
      <c r="C379" s="535">
        <v>12510</v>
      </c>
    </row>
    <row r="380" spans="1:3" x14ac:dyDescent="0.25">
      <c r="A380" s="535"/>
      <c r="B380" s="536" t="s">
        <v>778</v>
      </c>
      <c r="C380" s="535">
        <v>10700</v>
      </c>
    </row>
    <row r="381" spans="1:3" x14ac:dyDescent="0.25">
      <c r="A381" s="535"/>
      <c r="B381" s="536" t="s">
        <v>776</v>
      </c>
      <c r="C381" s="535">
        <v>10400</v>
      </c>
    </row>
    <row r="382" spans="1:3" x14ac:dyDescent="0.25">
      <c r="A382" s="535"/>
      <c r="B382" s="536" t="s">
        <v>826</v>
      </c>
      <c r="C382" s="535">
        <v>22000</v>
      </c>
    </row>
    <row r="383" spans="1:3" x14ac:dyDescent="0.25">
      <c r="A383" s="535"/>
      <c r="B383" s="536" t="s">
        <v>809</v>
      </c>
      <c r="C383" s="535">
        <v>19100</v>
      </c>
    </row>
    <row r="384" spans="1:3" x14ac:dyDescent="0.25">
      <c r="A384" s="535"/>
      <c r="B384" s="536" t="s">
        <v>908</v>
      </c>
      <c r="C384" s="535">
        <v>33403</v>
      </c>
    </row>
    <row r="385" spans="1:3" x14ac:dyDescent="0.25">
      <c r="A385" s="535"/>
      <c r="B385" s="536" t="s">
        <v>896</v>
      </c>
      <c r="C385" s="535">
        <v>33100</v>
      </c>
    </row>
    <row r="386" spans="1:3" x14ac:dyDescent="0.25">
      <c r="A386" s="535"/>
      <c r="B386" s="536" t="s">
        <v>898</v>
      </c>
      <c r="C386" s="535">
        <v>33200</v>
      </c>
    </row>
    <row r="387" spans="1:3" x14ac:dyDescent="0.25">
      <c r="A387" s="535"/>
      <c r="B387" s="536" t="s">
        <v>902</v>
      </c>
      <c r="C387" s="535">
        <v>33205</v>
      </c>
    </row>
    <row r="388" spans="1:3" x14ac:dyDescent="0.25">
      <c r="A388" s="535"/>
      <c r="B388" s="536" t="s">
        <v>812</v>
      </c>
      <c r="C388" s="535">
        <v>20300</v>
      </c>
    </row>
    <row r="389" spans="1:3" x14ac:dyDescent="0.25">
      <c r="A389" s="535"/>
      <c r="B389" s="536" t="s">
        <v>1048</v>
      </c>
      <c r="C389" s="535">
        <v>39208</v>
      </c>
    </row>
    <row r="390" spans="1:3" x14ac:dyDescent="0.25">
      <c r="A390" s="535"/>
      <c r="B390" s="536" t="s">
        <v>874</v>
      </c>
      <c r="C390" s="535">
        <v>32100</v>
      </c>
    </row>
    <row r="391" spans="1:3" x14ac:dyDescent="0.25">
      <c r="A391" s="535"/>
      <c r="B391" s="536" t="s">
        <v>904</v>
      </c>
      <c r="C391" s="535">
        <v>33300</v>
      </c>
    </row>
    <row r="392" spans="1:3" x14ac:dyDescent="0.25">
      <c r="A392" s="535"/>
      <c r="B392" s="536" t="s">
        <v>905</v>
      </c>
      <c r="C392" s="535">
        <v>33305</v>
      </c>
    </row>
    <row r="393" spans="1:3" x14ac:dyDescent="0.25">
      <c r="A393" s="535"/>
      <c r="B393" s="536" t="s">
        <v>995</v>
      </c>
      <c r="C393" s="535">
        <v>37000</v>
      </c>
    </row>
    <row r="394" spans="1:3" x14ac:dyDescent="0.25">
      <c r="A394" s="535"/>
      <c r="B394" s="536" t="s">
        <v>813</v>
      </c>
      <c r="C394" s="535">
        <v>20400</v>
      </c>
    </row>
    <row r="395" spans="1:3" x14ac:dyDescent="0.25">
      <c r="A395" s="535"/>
      <c r="B395" s="536" t="s">
        <v>1034</v>
      </c>
      <c r="C395" s="535">
        <v>38620</v>
      </c>
    </row>
    <row r="396" spans="1:3" x14ac:dyDescent="0.25">
      <c r="A396" s="535"/>
      <c r="B396" s="536" t="s">
        <v>1045</v>
      </c>
      <c r="C396" s="535">
        <v>39201</v>
      </c>
    </row>
    <row r="397" spans="1:3" x14ac:dyDescent="0.25">
      <c r="A397" s="535"/>
      <c r="B397" s="536" t="s">
        <v>786</v>
      </c>
      <c r="C397" s="535">
        <v>11300</v>
      </c>
    </row>
    <row r="398" spans="1:3" x14ac:dyDescent="0.25">
      <c r="A398" s="535"/>
      <c r="B398" s="536" t="s">
        <v>852</v>
      </c>
      <c r="C398" s="535">
        <v>31102</v>
      </c>
    </row>
    <row r="399" spans="1:3" x14ac:dyDescent="0.25">
      <c r="A399" s="535"/>
      <c r="B399" s="536" t="s">
        <v>851</v>
      </c>
      <c r="C399" s="535">
        <v>31101</v>
      </c>
    </row>
    <row r="400" spans="1:3" x14ac:dyDescent="0.25">
      <c r="A400" s="535"/>
      <c r="B400" s="536" t="s">
        <v>814</v>
      </c>
      <c r="C400" s="535">
        <v>20600</v>
      </c>
    </row>
    <row r="401" spans="1:3" x14ac:dyDescent="0.25">
      <c r="A401" s="535"/>
      <c r="B401" s="536" t="s">
        <v>885</v>
      </c>
      <c r="C401" s="535">
        <v>32605</v>
      </c>
    </row>
    <row r="402" spans="1:3" x14ac:dyDescent="0.25">
      <c r="A402" s="535"/>
      <c r="B402" s="536" t="s">
        <v>909</v>
      </c>
      <c r="C402" s="535">
        <v>33405</v>
      </c>
    </row>
    <row r="403" spans="1:3" x14ac:dyDescent="0.25">
      <c r="A403" s="535"/>
      <c r="B403" s="536" t="s">
        <v>910</v>
      </c>
      <c r="C403" s="543">
        <v>33500</v>
      </c>
    </row>
    <row r="404" spans="1:3" x14ac:dyDescent="0.25">
      <c r="A404" s="535"/>
      <c r="B404" s="536" t="s">
        <v>913</v>
      </c>
      <c r="C404" s="535">
        <v>33605</v>
      </c>
    </row>
    <row r="405" spans="1:3" x14ac:dyDescent="0.25">
      <c r="A405" s="535"/>
      <c r="B405" s="536" t="s">
        <v>984</v>
      </c>
      <c r="C405" s="535">
        <v>36601</v>
      </c>
    </row>
    <row r="406" spans="1:3" x14ac:dyDescent="0.25">
      <c r="A406" s="535"/>
      <c r="B406" s="536" t="s">
        <v>912</v>
      </c>
      <c r="C406" s="543">
        <v>33600</v>
      </c>
    </row>
    <row r="407" spans="1:3" x14ac:dyDescent="0.25">
      <c r="A407" s="535"/>
      <c r="B407" s="536" t="s">
        <v>914</v>
      </c>
      <c r="C407" s="535">
        <v>33700</v>
      </c>
    </row>
    <row r="408" spans="1:3" x14ac:dyDescent="0.25">
      <c r="A408" s="535"/>
      <c r="B408" s="536" t="s">
        <v>792</v>
      </c>
      <c r="C408" s="535">
        <v>12160</v>
      </c>
    </row>
    <row r="409" spans="1:3" x14ac:dyDescent="0.25">
      <c r="A409" s="535"/>
      <c r="B409" s="536" t="s">
        <v>790</v>
      </c>
      <c r="C409" s="535">
        <v>12100</v>
      </c>
    </row>
    <row r="410" spans="1:3" x14ac:dyDescent="0.25">
      <c r="A410" s="535"/>
      <c r="B410" s="536" t="s">
        <v>915</v>
      </c>
      <c r="C410" s="535">
        <v>33800</v>
      </c>
    </row>
    <row r="411" spans="1:3" x14ac:dyDescent="0.25">
      <c r="A411" s="535"/>
      <c r="B411" s="536" t="s">
        <v>842</v>
      </c>
      <c r="C411" s="535">
        <v>30601</v>
      </c>
    </row>
    <row r="412" spans="1:3" x14ac:dyDescent="0.25">
      <c r="A412" s="535"/>
      <c r="B412" s="536" t="s">
        <v>916</v>
      </c>
      <c r="C412" s="535">
        <v>33900</v>
      </c>
    </row>
    <row r="413" spans="1:3" x14ac:dyDescent="0.25">
      <c r="A413" s="535"/>
      <c r="B413" s="536" t="s">
        <v>1026</v>
      </c>
      <c r="C413" s="535">
        <v>38402</v>
      </c>
    </row>
    <row r="414" spans="1:3" x14ac:dyDescent="0.25">
      <c r="A414" s="535"/>
      <c r="B414" s="536" t="s">
        <v>917</v>
      </c>
      <c r="C414" s="535">
        <v>34000</v>
      </c>
    </row>
    <row r="415" spans="1:3" x14ac:dyDescent="0.25">
      <c r="A415" s="535"/>
      <c r="B415" s="536" t="s">
        <v>918</v>
      </c>
      <c r="C415" s="535">
        <v>34100</v>
      </c>
    </row>
    <row r="416" spans="1:3" x14ac:dyDescent="0.25">
      <c r="A416" s="535"/>
      <c r="B416" s="536" t="s">
        <v>919</v>
      </c>
      <c r="C416" s="535">
        <v>34105</v>
      </c>
    </row>
    <row r="417" spans="1:3" x14ac:dyDescent="0.25">
      <c r="A417" s="535"/>
      <c r="B417" s="536" t="s">
        <v>921</v>
      </c>
      <c r="C417" s="535">
        <v>34205</v>
      </c>
    </row>
    <row r="418" spans="1:3" x14ac:dyDescent="0.25">
      <c r="A418" s="535"/>
      <c r="B418" s="536" t="s">
        <v>920</v>
      </c>
      <c r="C418" s="535">
        <v>34200</v>
      </c>
    </row>
    <row r="419" spans="1:3" x14ac:dyDescent="0.25">
      <c r="A419" s="535"/>
      <c r="B419" s="536" t="s">
        <v>1051</v>
      </c>
      <c r="C419" s="535">
        <v>39301</v>
      </c>
    </row>
    <row r="420" spans="1:3" x14ac:dyDescent="0.25">
      <c r="A420" s="535"/>
      <c r="B420" s="536" t="s">
        <v>924</v>
      </c>
      <c r="C420" s="535">
        <v>34300</v>
      </c>
    </row>
    <row r="421" spans="1:3" x14ac:dyDescent="0.25">
      <c r="A421" s="535"/>
      <c r="B421" s="536" t="s">
        <v>925</v>
      </c>
      <c r="C421" s="535">
        <v>34400</v>
      </c>
    </row>
    <row r="422" spans="1:3" x14ac:dyDescent="0.25">
      <c r="A422" s="535"/>
      <c r="B422" s="536" t="s">
        <v>926</v>
      </c>
      <c r="C422" s="535">
        <v>34405</v>
      </c>
    </row>
    <row r="423" spans="1:3" x14ac:dyDescent="0.25">
      <c r="A423" s="535"/>
      <c r="B423" s="536" t="s">
        <v>793</v>
      </c>
      <c r="C423" s="535">
        <v>12220</v>
      </c>
    </row>
    <row r="424" spans="1:3" x14ac:dyDescent="0.25">
      <c r="A424" s="535"/>
      <c r="B424" s="536" t="s">
        <v>900</v>
      </c>
      <c r="C424" s="535">
        <v>33203</v>
      </c>
    </row>
    <row r="425" spans="1:3" x14ac:dyDescent="0.25">
      <c r="A425" s="535"/>
      <c r="B425" s="536" t="s">
        <v>1053</v>
      </c>
      <c r="C425" s="535">
        <v>39401</v>
      </c>
    </row>
    <row r="426" spans="1:3" x14ac:dyDescent="0.25">
      <c r="A426" s="535"/>
      <c r="B426" s="536" t="s">
        <v>927</v>
      </c>
      <c r="C426" s="535">
        <v>34500</v>
      </c>
    </row>
    <row r="427" spans="1:3" x14ac:dyDescent="0.25">
      <c r="A427" s="535"/>
      <c r="B427" s="536" t="s">
        <v>930</v>
      </c>
      <c r="C427" s="535">
        <v>34600</v>
      </c>
    </row>
    <row r="428" spans="1:3" x14ac:dyDescent="0.25">
      <c r="A428" s="535"/>
      <c r="B428" s="536" t="s">
        <v>869</v>
      </c>
      <c r="C428" s="535">
        <v>31810</v>
      </c>
    </row>
    <row r="429" spans="1:3" x14ac:dyDescent="0.25">
      <c r="A429" s="535"/>
      <c r="B429" s="536" t="s">
        <v>1064</v>
      </c>
      <c r="C429" s="535">
        <v>51000</v>
      </c>
    </row>
    <row r="430" spans="1:3" x14ac:dyDescent="0.25">
      <c r="A430" s="535"/>
      <c r="B430" s="536" t="s">
        <v>932</v>
      </c>
      <c r="C430" s="535">
        <v>34700</v>
      </c>
    </row>
    <row r="431" spans="1:3" x14ac:dyDescent="0.25">
      <c r="A431" s="535"/>
      <c r="B431" s="536" t="s">
        <v>933</v>
      </c>
      <c r="C431" s="535">
        <v>34800</v>
      </c>
    </row>
    <row r="432" spans="1:3" x14ac:dyDescent="0.25">
      <c r="A432" s="535"/>
      <c r="B432" s="536" t="s">
        <v>783</v>
      </c>
      <c r="C432" s="535">
        <v>10930</v>
      </c>
    </row>
    <row r="433" spans="1:3" x14ac:dyDescent="0.25">
      <c r="A433" s="535"/>
      <c r="B433" s="536" t="s">
        <v>795</v>
      </c>
      <c r="C433" s="535">
        <v>12600</v>
      </c>
    </row>
    <row r="434" spans="1:3" x14ac:dyDescent="0.25">
      <c r="A434" s="535"/>
      <c r="B434" s="536" t="s">
        <v>1117</v>
      </c>
      <c r="C434" s="535">
        <v>33207</v>
      </c>
    </row>
    <row r="435" spans="1:3" x14ac:dyDescent="0.25">
      <c r="A435" s="535"/>
      <c r="B435" s="536" t="s">
        <v>889</v>
      </c>
      <c r="C435" s="535">
        <v>32901</v>
      </c>
    </row>
    <row r="436" spans="1:3" x14ac:dyDescent="0.25">
      <c r="A436" s="535"/>
      <c r="B436" s="536" t="s">
        <v>934</v>
      </c>
      <c r="C436" s="535">
        <v>34900</v>
      </c>
    </row>
    <row r="437" spans="1:3" x14ac:dyDescent="0.25">
      <c r="A437" s="535"/>
      <c r="B437" s="536" t="s">
        <v>1020</v>
      </c>
      <c r="C437" s="535">
        <v>38105</v>
      </c>
    </row>
    <row r="438" spans="1:3" x14ac:dyDescent="0.25">
      <c r="A438" s="535"/>
      <c r="B438" s="536" t="s">
        <v>939</v>
      </c>
      <c r="C438" s="535">
        <v>35000</v>
      </c>
    </row>
    <row r="439" spans="1:3" x14ac:dyDescent="0.25">
      <c r="A439" s="535"/>
      <c r="B439" s="536" t="s">
        <v>897</v>
      </c>
      <c r="C439" s="535">
        <v>33105</v>
      </c>
    </row>
    <row r="440" spans="1:3" x14ac:dyDescent="0.25">
      <c r="A440" s="543"/>
      <c r="B440" s="536" t="s">
        <v>941</v>
      </c>
      <c r="C440" s="535">
        <v>35100</v>
      </c>
    </row>
    <row r="441" spans="1:3" x14ac:dyDescent="0.25">
      <c r="A441" s="543"/>
      <c r="B441" s="536" t="s">
        <v>942</v>
      </c>
      <c r="C441" s="535">
        <v>35105</v>
      </c>
    </row>
    <row r="442" spans="1:3" x14ac:dyDescent="0.25">
      <c r="A442" s="543"/>
      <c r="B442" s="536" t="s">
        <v>944</v>
      </c>
      <c r="C442" s="535">
        <v>35200</v>
      </c>
    </row>
    <row r="443" spans="1:3" x14ac:dyDescent="0.25">
      <c r="A443" s="535"/>
      <c r="B443" s="536" t="s">
        <v>859</v>
      </c>
      <c r="C443" s="535">
        <v>31320</v>
      </c>
    </row>
    <row r="444" spans="1:3" x14ac:dyDescent="0.25">
      <c r="A444" s="535"/>
      <c r="B444" s="536" t="s">
        <v>960</v>
      </c>
      <c r="C444" s="535">
        <v>36002</v>
      </c>
    </row>
    <row r="445" spans="1:3" x14ac:dyDescent="0.25">
      <c r="A445" s="535"/>
      <c r="B445" s="536" t="s">
        <v>949</v>
      </c>
      <c r="C445" s="535">
        <v>35402</v>
      </c>
    </row>
    <row r="446" spans="1:3" x14ac:dyDescent="0.25">
      <c r="A446" s="535"/>
      <c r="B446" s="536" t="s">
        <v>969</v>
      </c>
      <c r="C446" s="535">
        <v>36102</v>
      </c>
    </row>
    <row r="447" spans="1:3" x14ac:dyDescent="0.25">
      <c r="A447" s="535"/>
      <c r="B447" s="536" t="s">
        <v>1118</v>
      </c>
      <c r="C447" s="535">
        <v>33208</v>
      </c>
    </row>
    <row r="448" spans="1:3" x14ac:dyDescent="0.25">
      <c r="A448" s="535"/>
      <c r="B448" s="536" t="s">
        <v>796</v>
      </c>
      <c r="C448" s="535">
        <v>12700</v>
      </c>
    </row>
    <row r="449" spans="1:3" x14ac:dyDescent="0.25">
      <c r="A449" s="535"/>
      <c r="B449" s="536" t="s">
        <v>964</v>
      </c>
      <c r="C449" s="535">
        <v>36006</v>
      </c>
    </row>
    <row r="450" spans="1:3" x14ac:dyDescent="0.25">
      <c r="A450" s="535"/>
      <c r="B450" s="536" t="s">
        <v>950</v>
      </c>
      <c r="C450" s="535">
        <v>35405</v>
      </c>
    </row>
    <row r="451" spans="1:3" x14ac:dyDescent="0.25">
      <c r="A451" s="535"/>
      <c r="B451" s="536" t="s">
        <v>947</v>
      </c>
      <c r="C451" s="535">
        <v>35400</v>
      </c>
    </row>
    <row r="452" spans="1:3" x14ac:dyDescent="0.25">
      <c r="A452" s="535"/>
      <c r="B452" s="536" t="s">
        <v>891</v>
      </c>
      <c r="C452" s="535">
        <v>32910</v>
      </c>
    </row>
    <row r="453" spans="1:3" x14ac:dyDescent="0.25">
      <c r="A453" s="535"/>
      <c r="B453" s="536" t="s">
        <v>951</v>
      </c>
      <c r="C453" s="535">
        <v>35500</v>
      </c>
    </row>
    <row r="454" spans="1:3" x14ac:dyDescent="0.25">
      <c r="A454" s="535"/>
      <c r="B454" s="536" t="s">
        <v>791</v>
      </c>
      <c r="C454" s="535">
        <v>12150</v>
      </c>
    </row>
    <row r="455" spans="1:3" x14ac:dyDescent="0.25">
      <c r="A455" s="535"/>
      <c r="B455" s="536" t="s">
        <v>952</v>
      </c>
      <c r="C455" s="535">
        <v>35600</v>
      </c>
    </row>
    <row r="456" spans="1:3" x14ac:dyDescent="0.25">
      <c r="A456" s="535"/>
      <c r="B456" s="536" t="s">
        <v>953</v>
      </c>
      <c r="C456" s="535">
        <v>35700</v>
      </c>
    </row>
    <row r="457" spans="1:3" x14ac:dyDescent="0.25">
      <c r="A457" s="535"/>
      <c r="B457" s="536" t="s">
        <v>955</v>
      </c>
      <c r="C457" s="535">
        <v>35805</v>
      </c>
    </row>
    <row r="458" spans="1:3" x14ac:dyDescent="0.25">
      <c r="A458" s="535"/>
      <c r="B458" s="536" t="s">
        <v>954</v>
      </c>
      <c r="C458" s="535">
        <v>35800</v>
      </c>
    </row>
    <row r="459" spans="1:3" x14ac:dyDescent="0.25">
      <c r="A459" s="535"/>
      <c r="B459" s="536" t="s">
        <v>970</v>
      </c>
      <c r="C459" s="535">
        <v>36105</v>
      </c>
    </row>
    <row r="460" spans="1:3" x14ac:dyDescent="0.25">
      <c r="A460" s="535"/>
      <c r="B460" s="536" t="s">
        <v>956</v>
      </c>
      <c r="C460" s="535">
        <v>35900</v>
      </c>
    </row>
    <row r="461" spans="1:3" x14ac:dyDescent="0.25">
      <c r="A461" s="535"/>
      <c r="B461" s="536" t="s">
        <v>957</v>
      </c>
      <c r="C461" s="535">
        <v>35905</v>
      </c>
    </row>
    <row r="462" spans="1:3" x14ac:dyDescent="0.25">
      <c r="A462" s="535"/>
      <c r="B462" s="536" t="s">
        <v>1031</v>
      </c>
      <c r="C462" s="535">
        <v>38602</v>
      </c>
    </row>
    <row r="463" spans="1:3" x14ac:dyDescent="0.25">
      <c r="A463" s="535"/>
      <c r="B463" s="536" t="s">
        <v>937</v>
      </c>
      <c r="C463" s="535">
        <v>34905</v>
      </c>
    </row>
    <row r="464" spans="1:3" x14ac:dyDescent="0.25">
      <c r="A464" s="535"/>
      <c r="B464" s="536" t="s">
        <v>968</v>
      </c>
      <c r="C464" s="535">
        <v>36100</v>
      </c>
    </row>
    <row r="465" spans="1:3" x14ac:dyDescent="0.25">
      <c r="A465" s="535"/>
      <c r="B465" s="536" t="s">
        <v>972</v>
      </c>
      <c r="C465" s="535">
        <v>36205</v>
      </c>
    </row>
    <row r="466" spans="1:3" x14ac:dyDescent="0.25">
      <c r="A466" s="535"/>
      <c r="B466" s="536" t="s">
        <v>971</v>
      </c>
      <c r="C466" s="535">
        <v>36200</v>
      </c>
    </row>
    <row r="467" spans="1:3" x14ac:dyDescent="0.25">
      <c r="A467" s="535"/>
      <c r="B467" s="536" t="s">
        <v>973</v>
      </c>
      <c r="C467" s="535">
        <v>36300</v>
      </c>
    </row>
    <row r="468" spans="1:3" x14ac:dyDescent="0.25">
      <c r="A468" s="535"/>
      <c r="B468" s="536" t="s">
        <v>938</v>
      </c>
      <c r="C468" s="535">
        <v>34910</v>
      </c>
    </row>
    <row r="469" spans="1:3" x14ac:dyDescent="0.25">
      <c r="A469" s="535"/>
      <c r="B469" s="536" t="s">
        <v>1033</v>
      </c>
      <c r="C469" s="535">
        <v>38610</v>
      </c>
    </row>
    <row r="470" spans="1:3" x14ac:dyDescent="0.25">
      <c r="A470" s="535"/>
      <c r="B470" s="536" t="s">
        <v>928</v>
      </c>
      <c r="C470" s="535">
        <v>34501</v>
      </c>
    </row>
    <row r="471" spans="1:3" x14ac:dyDescent="0.25">
      <c r="A471" s="535"/>
      <c r="B471" s="536" t="s">
        <v>1036</v>
      </c>
      <c r="C471" s="535">
        <v>38701</v>
      </c>
    </row>
    <row r="472" spans="1:3" x14ac:dyDescent="0.25">
      <c r="A472" s="535"/>
      <c r="B472" s="536" t="s">
        <v>806</v>
      </c>
      <c r="C472" s="535">
        <v>18740</v>
      </c>
    </row>
    <row r="473" spans="1:3" x14ac:dyDescent="0.25">
      <c r="A473" s="535"/>
      <c r="B473" s="536" t="s">
        <v>816</v>
      </c>
      <c r="C473" s="535">
        <v>20800</v>
      </c>
    </row>
    <row r="474" spans="1:3" x14ac:dyDescent="0.25">
      <c r="A474" s="535"/>
      <c r="B474" s="536" t="s">
        <v>805</v>
      </c>
      <c r="C474" s="535">
        <v>18690</v>
      </c>
    </row>
    <row r="475" spans="1:3" x14ac:dyDescent="0.25">
      <c r="A475" s="535"/>
      <c r="B475" s="536" t="s">
        <v>785</v>
      </c>
      <c r="C475" s="535">
        <v>10950</v>
      </c>
    </row>
    <row r="476" spans="1:3" x14ac:dyDescent="0.25">
      <c r="A476" s="535"/>
      <c r="B476" s="536" t="s">
        <v>811</v>
      </c>
      <c r="C476" s="535">
        <v>20200</v>
      </c>
    </row>
    <row r="477" spans="1:3" x14ac:dyDescent="0.25">
      <c r="A477" s="535"/>
      <c r="B477" s="536" t="s">
        <v>807</v>
      </c>
      <c r="C477" s="535">
        <v>18780</v>
      </c>
    </row>
    <row r="478" spans="1:3" x14ac:dyDescent="0.25">
      <c r="A478" s="535"/>
      <c r="B478" s="536" t="s">
        <v>819</v>
      </c>
      <c r="C478" s="535">
        <v>21300</v>
      </c>
    </row>
    <row r="479" spans="1:3" x14ac:dyDescent="0.25">
      <c r="A479" s="535"/>
      <c r="B479" s="536" t="s">
        <v>894</v>
      </c>
      <c r="C479" s="535">
        <v>33001</v>
      </c>
    </row>
    <row r="480" spans="1:3" x14ac:dyDescent="0.25">
      <c r="A480" s="535"/>
      <c r="B480" s="536" t="s">
        <v>978</v>
      </c>
      <c r="C480" s="535">
        <v>36405</v>
      </c>
    </row>
    <row r="481" spans="1:3" x14ac:dyDescent="0.25">
      <c r="A481" s="535"/>
      <c r="B481" s="536" t="s">
        <v>977</v>
      </c>
      <c r="C481" s="535">
        <v>36400</v>
      </c>
    </row>
    <row r="482" spans="1:3" x14ac:dyDescent="0.25">
      <c r="A482" s="535"/>
      <c r="B482" s="536" t="s">
        <v>815</v>
      </c>
      <c r="C482" s="535">
        <v>20700</v>
      </c>
    </row>
    <row r="483" spans="1:3" x14ac:dyDescent="0.25">
      <c r="A483" s="535"/>
      <c r="B483" s="536" t="s">
        <v>799</v>
      </c>
      <c r="C483" s="535">
        <v>14200</v>
      </c>
    </row>
    <row r="484" spans="1:3" x14ac:dyDescent="0.25">
      <c r="A484" s="535"/>
      <c r="B484" s="536" t="s">
        <v>787</v>
      </c>
      <c r="C484" s="535">
        <v>11310</v>
      </c>
    </row>
    <row r="485" spans="1:3" x14ac:dyDescent="0.25">
      <c r="A485" s="535"/>
      <c r="B485" s="536" t="s">
        <v>943</v>
      </c>
      <c r="C485" s="535">
        <v>35106</v>
      </c>
    </row>
    <row r="486" spans="1:3" x14ac:dyDescent="0.25">
      <c r="A486" s="535"/>
      <c r="B486" s="536" t="s">
        <v>882</v>
      </c>
      <c r="C486" s="535">
        <v>32500</v>
      </c>
    </row>
    <row r="487" spans="1:3" x14ac:dyDescent="0.25">
      <c r="A487" s="535"/>
      <c r="B487" s="536" t="s">
        <v>979</v>
      </c>
      <c r="C487" s="535">
        <v>36500</v>
      </c>
    </row>
    <row r="488" spans="1:3" x14ac:dyDescent="0.25">
      <c r="A488" s="535"/>
      <c r="B488" s="536" t="s">
        <v>870</v>
      </c>
      <c r="C488" s="535">
        <v>31820</v>
      </c>
    </row>
    <row r="489" spans="1:3" x14ac:dyDescent="0.25">
      <c r="A489" s="535"/>
      <c r="B489" s="536" t="s">
        <v>803</v>
      </c>
      <c r="C489" s="535">
        <v>18640</v>
      </c>
    </row>
    <row r="490" spans="1:3" x14ac:dyDescent="0.25">
      <c r="A490" s="535"/>
      <c r="B490" s="536" t="s">
        <v>775</v>
      </c>
      <c r="C490" s="535">
        <v>10200</v>
      </c>
    </row>
    <row r="491" spans="1:3" x14ac:dyDescent="0.25">
      <c r="A491" s="535"/>
      <c r="B491" s="536" t="s">
        <v>983</v>
      </c>
      <c r="C491" s="535">
        <v>36600</v>
      </c>
    </row>
    <row r="492" spans="1:3" x14ac:dyDescent="0.25">
      <c r="A492" s="535"/>
      <c r="B492" s="536" t="s">
        <v>780</v>
      </c>
      <c r="C492" s="535">
        <v>10850</v>
      </c>
    </row>
    <row r="493" spans="1:3" x14ac:dyDescent="0.25">
      <c r="A493" s="535"/>
      <c r="B493" s="536" t="s">
        <v>782</v>
      </c>
      <c r="C493" s="535">
        <v>10910</v>
      </c>
    </row>
    <row r="494" spans="1:3" x14ac:dyDescent="0.25">
      <c r="A494" s="535"/>
      <c r="B494" s="536" t="s">
        <v>784</v>
      </c>
      <c r="C494" s="535">
        <v>10940</v>
      </c>
    </row>
    <row r="495" spans="1:3" x14ac:dyDescent="0.25">
      <c r="A495" s="535"/>
      <c r="B495" s="536" t="s">
        <v>985</v>
      </c>
      <c r="C495" s="535">
        <v>36700</v>
      </c>
    </row>
    <row r="496" spans="1:3" x14ac:dyDescent="0.25">
      <c r="A496" s="535"/>
      <c r="B496" s="536" t="s">
        <v>990</v>
      </c>
      <c r="C496" s="535">
        <v>36802</v>
      </c>
    </row>
    <row r="497" spans="1:3" x14ac:dyDescent="0.25">
      <c r="A497" s="535"/>
      <c r="B497" s="536" t="s">
        <v>988</v>
      </c>
      <c r="C497" s="535">
        <v>36800</v>
      </c>
    </row>
    <row r="498" spans="1:3" x14ac:dyDescent="0.25">
      <c r="A498" s="535"/>
      <c r="B498" s="536" t="s">
        <v>989</v>
      </c>
      <c r="C498" s="535">
        <v>36801</v>
      </c>
    </row>
    <row r="499" spans="1:3" x14ac:dyDescent="0.25">
      <c r="A499" s="535"/>
      <c r="B499" s="536" t="s">
        <v>994</v>
      </c>
      <c r="C499" s="535">
        <v>36905</v>
      </c>
    </row>
    <row r="500" spans="1:3" x14ac:dyDescent="0.25">
      <c r="A500" s="535"/>
      <c r="B500" s="536" t="s">
        <v>992</v>
      </c>
      <c r="C500" s="535">
        <v>36900</v>
      </c>
    </row>
    <row r="501" spans="1:3" x14ac:dyDescent="0.25">
      <c r="A501" s="535"/>
      <c r="B501" s="536" t="s">
        <v>997</v>
      </c>
      <c r="C501" s="535">
        <v>37100</v>
      </c>
    </row>
    <row r="502" spans="1:3" x14ac:dyDescent="0.25">
      <c r="A502" s="535"/>
      <c r="B502" s="536" t="s">
        <v>998</v>
      </c>
      <c r="C502" s="535">
        <v>37200</v>
      </c>
    </row>
    <row r="503" spans="1:3" x14ac:dyDescent="0.25">
      <c r="A503" s="535"/>
      <c r="B503" s="536" t="s">
        <v>999</v>
      </c>
      <c r="C503" s="535">
        <v>37300</v>
      </c>
    </row>
    <row r="504" spans="1:3" x14ac:dyDescent="0.25">
      <c r="A504" s="535"/>
      <c r="B504" s="536" t="s">
        <v>1001</v>
      </c>
      <c r="C504" s="535">
        <v>37305</v>
      </c>
    </row>
    <row r="505" spans="1:3" x14ac:dyDescent="0.25">
      <c r="A505" s="535"/>
      <c r="B505" s="536" t="s">
        <v>966</v>
      </c>
      <c r="C505" s="535">
        <v>36008</v>
      </c>
    </row>
    <row r="506" spans="1:3" x14ac:dyDescent="0.25">
      <c r="A506" s="535"/>
      <c r="B506" s="536" t="s">
        <v>1059</v>
      </c>
      <c r="C506" s="535">
        <v>39703</v>
      </c>
    </row>
    <row r="507" spans="1:3" x14ac:dyDescent="0.25">
      <c r="A507" s="535"/>
      <c r="B507" s="536" t="s">
        <v>1119</v>
      </c>
      <c r="C507" s="535">
        <v>33209</v>
      </c>
    </row>
    <row r="508" spans="1:3" x14ac:dyDescent="0.25">
      <c r="A508" s="535"/>
      <c r="B508" s="536" t="s">
        <v>1003</v>
      </c>
      <c r="C508" s="535">
        <v>37405</v>
      </c>
    </row>
    <row r="509" spans="1:3" x14ac:dyDescent="0.25">
      <c r="A509" s="535"/>
      <c r="B509" s="536" t="s">
        <v>1002</v>
      </c>
      <c r="C509" s="535">
        <v>37400</v>
      </c>
    </row>
    <row r="510" spans="1:3" x14ac:dyDescent="0.25">
      <c r="A510" s="535"/>
      <c r="B510" s="536" t="s">
        <v>1004</v>
      </c>
      <c r="C510" s="535">
        <v>37500</v>
      </c>
    </row>
    <row r="511" spans="1:3" x14ac:dyDescent="0.25">
      <c r="A511" s="535"/>
      <c r="B511" s="536" t="s">
        <v>1007</v>
      </c>
      <c r="C511" s="535">
        <v>37605</v>
      </c>
    </row>
    <row r="512" spans="1:3" x14ac:dyDescent="0.25">
      <c r="A512" s="535"/>
      <c r="B512" s="536" t="s">
        <v>1005</v>
      </c>
      <c r="C512" s="535">
        <v>37600</v>
      </c>
    </row>
    <row r="513" spans="1:3" x14ac:dyDescent="0.25">
      <c r="A513" s="535"/>
      <c r="B513" s="536" t="s">
        <v>797</v>
      </c>
      <c r="C513" s="535">
        <v>13500</v>
      </c>
    </row>
    <row r="514" spans="1:3" x14ac:dyDescent="0.25">
      <c r="A514" s="535"/>
      <c r="B514" s="536" t="s">
        <v>1009</v>
      </c>
      <c r="C514" s="535">
        <v>37700</v>
      </c>
    </row>
    <row r="515" spans="1:3" x14ac:dyDescent="0.25">
      <c r="A515" s="535"/>
      <c r="B515" s="536" t="s">
        <v>1010</v>
      </c>
      <c r="C515" s="535">
        <v>37705</v>
      </c>
    </row>
    <row r="516" spans="1:3" x14ac:dyDescent="0.25">
      <c r="A516" s="535"/>
      <c r="B516" s="536" t="s">
        <v>833</v>
      </c>
      <c r="C516" s="535">
        <v>30103</v>
      </c>
    </row>
    <row r="517" spans="1:3" x14ac:dyDescent="0.25">
      <c r="A517" s="535"/>
      <c r="B517" s="536" t="s">
        <v>922</v>
      </c>
      <c r="C517" s="535">
        <v>34220</v>
      </c>
    </row>
    <row r="518" spans="1:3" x14ac:dyDescent="0.25">
      <c r="A518" s="535"/>
      <c r="B518" s="536" t="s">
        <v>931</v>
      </c>
      <c r="C518" s="535">
        <v>34605</v>
      </c>
    </row>
    <row r="519" spans="1:3" x14ac:dyDescent="0.25">
      <c r="A519" s="535"/>
      <c r="B519" s="536" t="s">
        <v>1013</v>
      </c>
      <c r="C519" s="535">
        <v>37805</v>
      </c>
    </row>
    <row r="520" spans="1:3" x14ac:dyDescent="0.25">
      <c r="A520" s="535"/>
      <c r="B520" s="536" t="s">
        <v>1011</v>
      </c>
      <c r="C520" s="535">
        <v>37800</v>
      </c>
    </row>
    <row r="521" spans="1:3" x14ac:dyDescent="0.25">
      <c r="A521" s="535"/>
      <c r="B521" s="536" t="s">
        <v>1016</v>
      </c>
      <c r="C521" s="535">
        <v>37905</v>
      </c>
    </row>
    <row r="522" spans="1:3" x14ac:dyDescent="0.25">
      <c r="A522" s="535"/>
      <c r="B522" s="536" t="s">
        <v>1014</v>
      </c>
      <c r="C522" s="535">
        <v>37900</v>
      </c>
    </row>
    <row r="523" spans="1:3" x14ac:dyDescent="0.25">
      <c r="A523" s="535"/>
      <c r="B523" s="536" t="s">
        <v>1018</v>
      </c>
      <c r="C523" s="535">
        <v>38005</v>
      </c>
    </row>
    <row r="524" spans="1:3" x14ac:dyDescent="0.25">
      <c r="A524" s="535"/>
      <c r="B524" s="536" t="s">
        <v>1017</v>
      </c>
      <c r="C524" s="535">
        <v>38000</v>
      </c>
    </row>
    <row r="525" spans="1:3" x14ac:dyDescent="0.25">
      <c r="A525" s="535"/>
      <c r="B525" s="536" t="s">
        <v>1000</v>
      </c>
      <c r="C525" s="535">
        <v>37301</v>
      </c>
    </row>
    <row r="526" spans="1:3" x14ac:dyDescent="0.25">
      <c r="A526" s="535"/>
      <c r="B526" s="536" t="s">
        <v>1019</v>
      </c>
      <c r="C526" s="535">
        <v>38100</v>
      </c>
    </row>
    <row r="527" spans="1:3" x14ac:dyDescent="0.25">
      <c r="A527" s="535"/>
      <c r="B527" s="536" t="s">
        <v>1022</v>
      </c>
      <c r="C527" s="535">
        <v>38205</v>
      </c>
    </row>
    <row r="528" spans="1:3" x14ac:dyDescent="0.25">
      <c r="A528" s="535"/>
      <c r="B528" s="536" t="s">
        <v>1021</v>
      </c>
      <c r="C528" s="535">
        <v>38200</v>
      </c>
    </row>
    <row r="529" spans="1:3" x14ac:dyDescent="0.25">
      <c r="A529" s="535"/>
      <c r="B529" s="536" t="s">
        <v>976</v>
      </c>
      <c r="C529" s="535">
        <v>36305</v>
      </c>
    </row>
    <row r="530" spans="1:3" x14ac:dyDescent="0.25">
      <c r="A530" s="535"/>
      <c r="B530" s="536" t="s">
        <v>945</v>
      </c>
      <c r="C530" s="535">
        <v>35300</v>
      </c>
    </row>
    <row r="531" spans="1:3" x14ac:dyDescent="0.25">
      <c r="A531" s="535"/>
      <c r="B531" s="536" t="s">
        <v>1024</v>
      </c>
      <c r="C531" s="535">
        <v>38300</v>
      </c>
    </row>
    <row r="532" spans="1:3" x14ac:dyDescent="0.25">
      <c r="A532" s="535"/>
      <c r="B532" s="536" t="s">
        <v>798</v>
      </c>
      <c r="C532" s="535">
        <v>13700</v>
      </c>
    </row>
    <row r="533" spans="1:3" x14ac:dyDescent="0.25">
      <c r="A533" s="535"/>
      <c r="B533" s="536" t="s">
        <v>881</v>
      </c>
      <c r="C533" s="535">
        <v>32420</v>
      </c>
    </row>
    <row r="534" spans="1:3" x14ac:dyDescent="0.25">
      <c r="A534" s="535"/>
      <c r="B534" s="536" t="s">
        <v>965</v>
      </c>
      <c r="C534" s="535">
        <v>36007</v>
      </c>
    </row>
    <row r="535" spans="1:3" x14ac:dyDescent="0.25">
      <c r="A535" s="535"/>
      <c r="B535" s="536" t="s">
        <v>839</v>
      </c>
      <c r="C535" s="535">
        <v>30405</v>
      </c>
    </row>
    <row r="536" spans="1:3" x14ac:dyDescent="0.25">
      <c r="A536" s="535"/>
      <c r="B536" s="536" t="s">
        <v>1012</v>
      </c>
      <c r="C536" s="535">
        <v>37801</v>
      </c>
    </row>
    <row r="537" spans="1:3" x14ac:dyDescent="0.25">
      <c r="A537" s="535"/>
      <c r="B537" s="536" t="s">
        <v>879</v>
      </c>
      <c r="C537" s="535">
        <v>32405</v>
      </c>
    </row>
    <row r="538" spans="1:3" x14ac:dyDescent="0.25">
      <c r="A538" s="535"/>
      <c r="B538" s="536" t="s">
        <v>1046</v>
      </c>
      <c r="C538" s="535">
        <v>39204</v>
      </c>
    </row>
    <row r="539" spans="1:3" x14ac:dyDescent="0.25">
      <c r="A539" s="535"/>
      <c r="B539" s="536" t="s">
        <v>940</v>
      </c>
      <c r="C539" s="535">
        <v>35005</v>
      </c>
    </row>
    <row r="540" spans="1:3" x14ac:dyDescent="0.25">
      <c r="A540" s="535"/>
      <c r="B540" s="536" t="s">
        <v>1027</v>
      </c>
      <c r="C540" s="535">
        <v>38405</v>
      </c>
    </row>
    <row r="541" spans="1:3" x14ac:dyDescent="0.25">
      <c r="A541" s="535"/>
      <c r="B541" s="536" t="s">
        <v>1025</v>
      </c>
      <c r="C541" s="535">
        <v>38400</v>
      </c>
    </row>
    <row r="542" spans="1:3" x14ac:dyDescent="0.25">
      <c r="A542" s="535"/>
      <c r="B542" s="536" t="s">
        <v>975</v>
      </c>
      <c r="C542" s="535">
        <v>36302</v>
      </c>
    </row>
    <row r="543" spans="1:3" x14ac:dyDescent="0.25">
      <c r="A543" s="535"/>
      <c r="B543" s="536" t="s">
        <v>777</v>
      </c>
      <c r="C543" s="535">
        <v>10500</v>
      </c>
    </row>
    <row r="544" spans="1:3" x14ac:dyDescent="0.25">
      <c r="A544" s="535"/>
      <c r="B544" s="536" t="s">
        <v>789</v>
      </c>
      <c r="C544" s="535">
        <v>11900</v>
      </c>
    </row>
    <row r="545" spans="1:3" x14ac:dyDescent="0.25">
      <c r="A545" s="535"/>
      <c r="B545" s="536" t="s">
        <v>804</v>
      </c>
      <c r="C545" s="535">
        <v>18670</v>
      </c>
    </row>
    <row r="546" spans="1:3" x14ac:dyDescent="0.25">
      <c r="A546" s="535"/>
      <c r="B546" s="536" t="s">
        <v>800</v>
      </c>
      <c r="C546" s="535">
        <v>14300</v>
      </c>
    </row>
    <row r="547" spans="1:3" x14ac:dyDescent="0.25">
      <c r="A547" s="535"/>
      <c r="B547" s="536" t="s">
        <v>1028</v>
      </c>
      <c r="C547" s="535">
        <v>38500</v>
      </c>
    </row>
    <row r="548" spans="1:3" x14ac:dyDescent="0.25">
      <c r="A548" s="535"/>
      <c r="B548" s="536" t="s">
        <v>936</v>
      </c>
      <c r="C548" s="535">
        <v>34903</v>
      </c>
    </row>
    <row r="549" spans="1:3" x14ac:dyDescent="0.25">
      <c r="A549" s="535"/>
      <c r="B549" s="536" t="s">
        <v>1032</v>
      </c>
      <c r="C549" s="535">
        <v>38605</v>
      </c>
    </row>
    <row r="550" spans="1:3" x14ac:dyDescent="0.25">
      <c r="A550" s="535"/>
      <c r="B550" s="536" t="s">
        <v>1029</v>
      </c>
      <c r="C550" s="535">
        <v>38600</v>
      </c>
    </row>
    <row r="551" spans="1:3" x14ac:dyDescent="0.25">
      <c r="A551" s="535"/>
      <c r="B551" s="536" t="s">
        <v>1035</v>
      </c>
      <c r="C551" s="535">
        <v>38700</v>
      </c>
    </row>
    <row r="552" spans="1:3" x14ac:dyDescent="0.25">
      <c r="A552" s="535"/>
      <c r="B552" s="536" t="s">
        <v>834</v>
      </c>
      <c r="C552" s="535">
        <v>30104</v>
      </c>
    </row>
    <row r="553" spans="1:3" x14ac:dyDescent="0.25">
      <c r="A553" s="535"/>
      <c r="B553" s="536" t="s">
        <v>892</v>
      </c>
      <c r="C553" s="535">
        <v>32920</v>
      </c>
    </row>
    <row r="554" spans="1:3" x14ac:dyDescent="0.25">
      <c r="A554" s="535"/>
      <c r="B554" s="536" t="s">
        <v>1037</v>
      </c>
      <c r="C554" s="535">
        <v>38800</v>
      </c>
    </row>
    <row r="555" spans="1:3" x14ac:dyDescent="0.25">
      <c r="A555" s="535"/>
      <c r="B555" s="536" t="s">
        <v>873</v>
      </c>
      <c r="C555" s="535">
        <v>32005</v>
      </c>
    </row>
    <row r="556" spans="1:3" x14ac:dyDescent="0.25">
      <c r="A556" s="535"/>
      <c r="B556" s="536" t="s">
        <v>1055</v>
      </c>
      <c r="C556" s="535">
        <v>39501</v>
      </c>
    </row>
    <row r="557" spans="1:3" x14ac:dyDescent="0.25">
      <c r="A557" s="535"/>
      <c r="B557" s="536" t="s">
        <v>1039</v>
      </c>
      <c r="C557" s="535">
        <v>38900</v>
      </c>
    </row>
    <row r="558" spans="1:3" x14ac:dyDescent="0.25">
      <c r="A558" s="535"/>
      <c r="B558" s="536" t="s">
        <v>818</v>
      </c>
      <c r="C558" s="535">
        <v>21200</v>
      </c>
    </row>
    <row r="559" spans="1:3" x14ac:dyDescent="0.25">
      <c r="A559" s="535"/>
      <c r="B559" s="536" t="s">
        <v>822</v>
      </c>
      <c r="C559" s="535">
        <v>21550</v>
      </c>
    </row>
    <row r="560" spans="1:3" x14ac:dyDescent="0.25">
      <c r="A560" s="535"/>
      <c r="B560" s="536" t="s">
        <v>820</v>
      </c>
      <c r="C560" s="535">
        <v>21520</v>
      </c>
    </row>
    <row r="561" spans="1:3" x14ac:dyDescent="0.25">
      <c r="A561" s="535"/>
      <c r="B561" s="536" t="s">
        <v>821</v>
      </c>
      <c r="C561" s="535">
        <v>21525</v>
      </c>
    </row>
    <row r="562" spans="1:3" x14ac:dyDescent="0.25">
      <c r="A562" s="535"/>
      <c r="B562" s="536" t="s">
        <v>1040</v>
      </c>
      <c r="C562" s="535">
        <v>39000</v>
      </c>
    </row>
    <row r="563" spans="1:3" x14ac:dyDescent="0.25">
      <c r="A563" s="535"/>
      <c r="B563" s="536" t="s">
        <v>827</v>
      </c>
      <c r="C563" s="535">
        <v>23000</v>
      </c>
    </row>
    <row r="564" spans="1:3" x14ac:dyDescent="0.25">
      <c r="A564" s="535"/>
      <c r="B564" s="536" t="s">
        <v>828</v>
      </c>
      <c r="C564" s="535">
        <v>23100</v>
      </c>
    </row>
    <row r="565" spans="1:3" x14ac:dyDescent="0.25">
      <c r="A565" s="535"/>
      <c r="B565" s="536" t="s">
        <v>817</v>
      </c>
      <c r="C565" s="535">
        <v>20900</v>
      </c>
    </row>
    <row r="566" spans="1:3" x14ac:dyDescent="0.25">
      <c r="A566" s="535"/>
      <c r="B566" s="536" t="s">
        <v>829</v>
      </c>
      <c r="C566" s="535">
        <v>23200</v>
      </c>
    </row>
    <row r="567" spans="1:3" x14ac:dyDescent="0.25">
      <c r="A567" s="535"/>
      <c r="B567" s="536" t="s">
        <v>823</v>
      </c>
      <c r="C567" s="535">
        <v>21570</v>
      </c>
    </row>
    <row r="568" spans="1:3" x14ac:dyDescent="0.25">
      <c r="A568" s="535"/>
      <c r="B568" s="536" t="s">
        <v>1006</v>
      </c>
      <c r="C568" s="535">
        <v>37601</v>
      </c>
    </row>
    <row r="569" spans="1:3" x14ac:dyDescent="0.25">
      <c r="A569" s="535"/>
      <c r="B569" s="536" t="s">
        <v>1042</v>
      </c>
      <c r="C569" s="535">
        <v>39101</v>
      </c>
    </row>
    <row r="570" spans="1:3" x14ac:dyDescent="0.25">
      <c r="A570" s="535"/>
      <c r="B570" s="536" t="s">
        <v>1041</v>
      </c>
      <c r="C570" s="535">
        <v>39100</v>
      </c>
    </row>
    <row r="571" spans="1:3" x14ac:dyDescent="0.25">
      <c r="A571" s="535"/>
      <c r="B571" s="536" t="s">
        <v>1043</v>
      </c>
      <c r="C571" s="535">
        <v>39105</v>
      </c>
    </row>
    <row r="572" spans="1:3" x14ac:dyDescent="0.25">
      <c r="A572" s="535"/>
      <c r="B572" s="536" t="s">
        <v>901</v>
      </c>
      <c r="C572" s="535">
        <v>33204</v>
      </c>
    </row>
    <row r="573" spans="1:3" x14ac:dyDescent="0.25">
      <c r="A573" s="535"/>
      <c r="B573" s="536" t="s">
        <v>1044</v>
      </c>
      <c r="C573" s="535">
        <v>39200</v>
      </c>
    </row>
    <row r="574" spans="1:3" x14ac:dyDescent="0.25">
      <c r="A574" s="535"/>
      <c r="B574" s="536" t="s">
        <v>1047</v>
      </c>
      <c r="C574" s="535">
        <v>39205</v>
      </c>
    </row>
    <row r="575" spans="1:3" x14ac:dyDescent="0.25">
      <c r="A575" s="535"/>
      <c r="B575" s="536" t="s">
        <v>1050</v>
      </c>
      <c r="C575" s="535">
        <v>39300</v>
      </c>
    </row>
    <row r="576" spans="1:3" x14ac:dyDescent="0.25">
      <c r="A576" s="535"/>
      <c r="B576" s="536" t="s">
        <v>1052</v>
      </c>
      <c r="C576" s="535">
        <v>39400</v>
      </c>
    </row>
    <row r="577" spans="1:3" x14ac:dyDescent="0.25">
      <c r="A577" s="535"/>
      <c r="B577" s="536" t="s">
        <v>1054</v>
      </c>
      <c r="C577" s="535">
        <v>39500</v>
      </c>
    </row>
    <row r="578" spans="1:3" x14ac:dyDescent="0.25">
      <c r="A578" s="535"/>
      <c r="B578" s="536" t="s">
        <v>1057</v>
      </c>
      <c r="C578" s="535">
        <v>39605</v>
      </c>
    </row>
    <row r="579" spans="1:3" x14ac:dyDescent="0.25">
      <c r="A579" s="535"/>
      <c r="B579" s="536" t="s">
        <v>1056</v>
      </c>
      <c r="C579" s="535">
        <v>39600</v>
      </c>
    </row>
    <row r="580" spans="1:3" x14ac:dyDescent="0.25">
      <c r="A580" s="535"/>
      <c r="B580" s="536" t="s">
        <v>923</v>
      </c>
      <c r="C580" s="535">
        <v>34230</v>
      </c>
    </row>
    <row r="581" spans="1:3" x14ac:dyDescent="0.25">
      <c r="A581" s="535"/>
      <c r="B581" s="536" t="s">
        <v>824</v>
      </c>
      <c r="C581" s="535">
        <v>21800</v>
      </c>
    </row>
    <row r="582" spans="1:3" x14ac:dyDescent="0.25">
      <c r="A582" s="535"/>
      <c r="B582" s="536" t="s">
        <v>856</v>
      </c>
      <c r="C582" s="535">
        <v>31205</v>
      </c>
    </row>
    <row r="583" spans="1:3" x14ac:dyDescent="0.25">
      <c r="A583" s="535"/>
      <c r="B583" s="536" t="s">
        <v>880</v>
      </c>
      <c r="C583" s="535">
        <v>32410</v>
      </c>
    </row>
    <row r="584" spans="1:3" x14ac:dyDescent="0.25">
      <c r="A584" s="535"/>
      <c r="B584" s="536" t="s">
        <v>788</v>
      </c>
      <c r="C584" s="535">
        <v>11600</v>
      </c>
    </row>
    <row r="585" spans="1:3" x14ac:dyDescent="0.25">
      <c r="A585" s="535"/>
      <c r="B585" s="536" t="s">
        <v>1060</v>
      </c>
      <c r="C585" s="535">
        <v>39705</v>
      </c>
    </row>
    <row r="586" spans="1:3" x14ac:dyDescent="0.25">
      <c r="A586" s="535"/>
      <c r="B586" s="536" t="s">
        <v>1058</v>
      </c>
      <c r="C586" s="535">
        <v>39700</v>
      </c>
    </row>
    <row r="587" spans="1:3" x14ac:dyDescent="0.25">
      <c r="A587" s="535"/>
      <c r="B587" s="536" t="s">
        <v>981</v>
      </c>
      <c r="C587" s="535">
        <v>36502</v>
      </c>
    </row>
    <row r="588" spans="1:3" x14ac:dyDescent="0.25">
      <c r="A588" s="535"/>
      <c r="B588" s="536" t="s">
        <v>1062</v>
      </c>
      <c r="C588" s="535">
        <v>39805</v>
      </c>
    </row>
    <row r="589" spans="1:3" x14ac:dyDescent="0.25">
      <c r="A589" s="535"/>
      <c r="B589" s="536" t="s">
        <v>1061</v>
      </c>
      <c r="C589" s="535">
        <v>39800</v>
      </c>
    </row>
    <row r="590" spans="1:3" x14ac:dyDescent="0.25">
      <c r="A590" s="535"/>
      <c r="B590" s="536" t="s">
        <v>825</v>
      </c>
      <c r="C590" s="535">
        <v>21900</v>
      </c>
    </row>
    <row r="591" spans="1:3" x14ac:dyDescent="0.25">
      <c r="A591" s="535"/>
      <c r="B591" s="536" t="s">
        <v>906</v>
      </c>
      <c r="C591" s="535">
        <v>33400</v>
      </c>
    </row>
    <row r="592" spans="1:3" x14ac:dyDescent="0.25">
      <c r="A592" s="535"/>
      <c r="B592" s="536" t="s">
        <v>1063</v>
      </c>
      <c r="C592" s="535">
        <v>39900</v>
      </c>
    </row>
    <row r="593" spans="1:3" x14ac:dyDescent="0.25">
      <c r="A593" s="535"/>
      <c r="B593" s="536" t="s">
        <v>830</v>
      </c>
      <c r="C593" s="535">
        <v>30000</v>
      </c>
    </row>
    <row r="594" spans="1:3" x14ac:dyDescent="0.25">
      <c r="A594" s="535"/>
      <c r="B594" s="536" t="s">
        <v>986</v>
      </c>
      <c r="C594" s="535">
        <v>36701</v>
      </c>
    </row>
    <row r="595" spans="1:3" x14ac:dyDescent="0.25">
      <c r="B595" s="531" t="s">
        <v>1140</v>
      </c>
      <c r="C595" s="556" t="s">
        <v>1141</v>
      </c>
    </row>
  </sheetData>
  <autoFilter ref="A2:U295"/>
  <pageMargins left="0.25" right="0.25" top="0.5" bottom="0.5" header="0.3" footer="0.3"/>
  <pageSetup paperSize="5" scale="54" fitToHeight="10" orientation="landscape" r:id="rId1"/>
  <headerFooter>
    <oddFooter>&amp;C&amp;Z&amp;F&amp;R&amp;F</oddFooter>
  </headerFooter>
  <rowBreaks count="1" manualBreakCount="1">
    <brk id="237" max="1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83"/>
  <sheetViews>
    <sheetView workbookViewId="0">
      <selection sqref="A1:O1"/>
    </sheetView>
  </sheetViews>
  <sheetFormatPr defaultColWidth="9.140625" defaultRowHeight="12.75" x14ac:dyDescent="0.2"/>
  <cols>
    <col min="1" max="1" width="3.85546875" style="303" customWidth="1"/>
    <col min="2" max="2" width="2.140625" style="303" customWidth="1"/>
    <col min="3" max="6" width="9.140625" style="303"/>
    <col min="7" max="7" width="10.42578125" style="303" customWidth="1"/>
    <col min="8" max="8" width="13.7109375" style="303" bestFit="1" customWidth="1"/>
    <col min="9" max="9" width="13" style="303" bestFit="1" customWidth="1"/>
    <col min="10" max="10" width="3.140625" style="303" customWidth="1"/>
    <col min="11" max="11" width="13.28515625" style="303" bestFit="1" customWidth="1"/>
    <col min="12" max="12" width="9.140625" style="303"/>
    <col min="13" max="13" width="1.5703125" style="303" customWidth="1"/>
    <col min="14" max="14" width="9.140625" style="303"/>
    <col min="15" max="15" width="5.140625" style="303" customWidth="1"/>
    <col min="16" max="16384" width="9.140625" style="303"/>
  </cols>
  <sheetData>
    <row r="1" spans="1:16" ht="33.75" customHeight="1" x14ac:dyDescent="0.2">
      <c r="A1" s="950" t="s">
        <v>211</v>
      </c>
      <c r="B1" s="951"/>
      <c r="C1" s="951"/>
      <c r="D1" s="951"/>
      <c r="E1" s="951"/>
      <c r="F1" s="951"/>
      <c r="G1" s="951"/>
      <c r="H1" s="951"/>
      <c r="I1" s="951"/>
      <c r="J1" s="951"/>
      <c r="K1" s="951"/>
      <c r="L1" s="951"/>
      <c r="M1" s="951"/>
      <c r="N1" s="951"/>
      <c r="O1" s="952"/>
    </row>
    <row r="3" spans="1:16" ht="90.75" customHeight="1" x14ac:dyDescent="0.2">
      <c r="B3" s="961" t="s">
        <v>732</v>
      </c>
      <c r="C3" s="962"/>
      <c r="D3" s="962"/>
      <c r="E3" s="962"/>
      <c r="F3" s="962"/>
      <c r="G3" s="962"/>
      <c r="H3" s="962"/>
      <c r="I3" s="962"/>
      <c r="J3" s="962"/>
      <c r="K3" s="962"/>
      <c r="L3" s="962"/>
      <c r="M3" s="962"/>
      <c r="N3" s="962"/>
      <c r="O3" s="962"/>
    </row>
    <row r="4" spans="1:16" ht="3.75" customHeight="1" x14ac:dyDescent="0.2">
      <c r="B4" s="304"/>
      <c r="C4" s="304"/>
      <c r="D4" s="304"/>
      <c r="E4" s="304"/>
      <c r="F4" s="304"/>
      <c r="G4" s="304"/>
      <c r="H4" s="304"/>
      <c r="I4" s="304"/>
      <c r="J4" s="304"/>
      <c r="K4" s="304"/>
      <c r="L4" s="304"/>
      <c r="M4" s="304"/>
      <c r="N4" s="304"/>
      <c r="O4" s="304"/>
    </row>
    <row r="5" spans="1:16" ht="5.25" customHeight="1" x14ac:dyDescent="0.2"/>
    <row r="6" spans="1:16" x14ac:dyDescent="0.2">
      <c r="B6" s="308" t="s">
        <v>649</v>
      </c>
      <c r="C6" s="959" t="s">
        <v>630</v>
      </c>
      <c r="D6" s="959"/>
      <c r="E6" s="959"/>
      <c r="F6" s="959"/>
      <c r="G6" s="959"/>
      <c r="H6" s="959"/>
      <c r="I6" s="959"/>
      <c r="J6" s="959"/>
      <c r="K6" s="959"/>
      <c r="L6" s="959"/>
      <c r="M6" s="959"/>
      <c r="N6" s="959"/>
      <c r="O6" s="304"/>
    </row>
    <row r="7" spans="1:16" x14ac:dyDescent="0.2">
      <c r="B7" s="308"/>
      <c r="C7" s="959"/>
      <c r="D7" s="959"/>
      <c r="E7" s="959"/>
      <c r="F7" s="959"/>
      <c r="G7" s="959"/>
      <c r="H7" s="959"/>
      <c r="I7" s="959"/>
      <c r="J7" s="959"/>
      <c r="K7" s="959"/>
      <c r="L7" s="959"/>
      <c r="M7" s="959"/>
      <c r="N7" s="959"/>
      <c r="O7" s="304"/>
    </row>
    <row r="8" spans="1:16" ht="6" customHeight="1" x14ac:dyDescent="0.2"/>
    <row r="9" spans="1:16" ht="12.75" customHeight="1" x14ac:dyDescent="0.2">
      <c r="B9" s="308" t="s">
        <v>650</v>
      </c>
      <c r="C9" s="960" t="s">
        <v>631</v>
      </c>
      <c r="D9" s="960"/>
      <c r="E9" s="960"/>
      <c r="F9" s="960"/>
      <c r="G9" s="960"/>
      <c r="H9" s="960"/>
      <c r="I9" s="960"/>
      <c r="J9" s="960"/>
      <c r="K9" s="960"/>
      <c r="L9" s="960"/>
      <c r="M9" s="960"/>
      <c r="N9" s="960"/>
      <c r="O9" s="960"/>
    </row>
    <row r="10" spans="1:16" ht="5.25" customHeight="1" x14ac:dyDescent="0.2"/>
    <row r="11" spans="1:16" x14ac:dyDescent="0.2">
      <c r="B11" s="308" t="s">
        <v>651</v>
      </c>
      <c r="C11" s="960" t="s">
        <v>654</v>
      </c>
      <c r="D11" s="960"/>
      <c r="E11" s="960"/>
      <c r="F11" s="960"/>
      <c r="G11" s="960"/>
      <c r="H11" s="960"/>
      <c r="I11" s="960"/>
      <c r="J11" s="960"/>
      <c r="K11" s="960"/>
      <c r="L11" s="960"/>
      <c r="M11" s="960"/>
      <c r="N11" s="960"/>
      <c r="O11" s="960"/>
    </row>
    <row r="12" spans="1:16" ht="30" customHeight="1" x14ac:dyDescent="0.2"/>
    <row r="13" spans="1:16" ht="28.5" customHeight="1" x14ac:dyDescent="0.2">
      <c r="A13" s="763" t="s">
        <v>333</v>
      </c>
      <c r="B13" s="953" t="s">
        <v>176</v>
      </c>
      <c r="C13" s="954"/>
      <c r="D13" s="954"/>
      <c r="E13" s="954"/>
      <c r="F13" s="954"/>
      <c r="G13" s="954"/>
      <c r="H13" s="954"/>
      <c r="I13" s="954"/>
      <c r="J13" s="954"/>
      <c r="K13" s="954"/>
      <c r="L13" s="954"/>
      <c r="M13" s="954"/>
      <c r="N13" s="954"/>
      <c r="O13" s="955"/>
      <c r="P13" s="305"/>
    </row>
    <row r="15" spans="1:16" x14ac:dyDescent="0.2">
      <c r="C15" s="764" t="s">
        <v>313</v>
      </c>
      <c r="D15" s="345"/>
      <c r="E15" s="345"/>
      <c r="F15" s="345"/>
      <c r="H15" s="310" t="s">
        <v>644</v>
      </c>
      <c r="I15" s="310" t="s">
        <v>644</v>
      </c>
    </row>
    <row r="16" spans="1:16" ht="4.5" customHeight="1" x14ac:dyDescent="0.2"/>
    <row r="17" spans="3:11" ht="12.75" customHeight="1" x14ac:dyDescent="0.2">
      <c r="C17" s="311" t="str">
        <f>'Conversion Worksheet'!C25</f>
        <v>Land</v>
      </c>
      <c r="H17" s="220">
        <v>0</v>
      </c>
    </row>
    <row r="18" spans="3:11" ht="12.75" customHeight="1" x14ac:dyDescent="0.2">
      <c r="C18" s="311" t="str">
        <f>'Conversion Worksheet'!C28</f>
        <v>Construction in progress</v>
      </c>
      <c r="H18" s="220">
        <v>0</v>
      </c>
    </row>
    <row r="19" spans="3:11" ht="12.75" customHeight="1" x14ac:dyDescent="0.2">
      <c r="C19" s="311" t="str">
        <f>'Conversion Worksheet'!C29</f>
        <v>Buildings</v>
      </c>
      <c r="H19" s="829">
        <v>0</v>
      </c>
    </row>
    <row r="20" spans="3:11" ht="12.75" customHeight="1" x14ac:dyDescent="0.2">
      <c r="C20" s="312" t="str">
        <f>CONCATENATE("Accum. Depreciation - ", C19)</f>
        <v>Accum. Depreciation - Buildings</v>
      </c>
      <c r="I20" s="220">
        <v>0</v>
      </c>
    </row>
    <row r="21" spans="3:11" ht="12.75" customHeight="1" x14ac:dyDescent="0.2">
      <c r="C21" s="311" t="str">
        <f>'Conversion Worksheet'!C34</f>
        <v>Equipment and Furniture</v>
      </c>
      <c r="H21" s="220">
        <v>607214</v>
      </c>
    </row>
    <row r="22" spans="3:11" ht="12.75" customHeight="1" x14ac:dyDescent="0.2">
      <c r="C22" s="312" t="str">
        <f>CONCATENATE("Accum. Depreciation - ", C21)</f>
        <v>Accum. Depreciation - Equipment and Furniture</v>
      </c>
      <c r="I22" s="220">
        <v>55111</v>
      </c>
    </row>
    <row r="23" spans="3:11" ht="12.75" customHeight="1" x14ac:dyDescent="0.2">
      <c r="C23" s="311" t="str">
        <f>'Conversion Worksheet'!C39</f>
        <v>Vehicles &amp; Motorized Equipment</v>
      </c>
      <c r="H23" s="220">
        <v>0</v>
      </c>
    </row>
    <row r="24" spans="3:11" ht="12.75" customHeight="1" x14ac:dyDescent="0.2">
      <c r="C24" s="312" t="str">
        <f>CONCATENATE("Accum. Depreciation - ", C23)</f>
        <v>Accum. Depreciation - Vehicles &amp; Motorized Equipment</v>
      </c>
      <c r="I24" s="220">
        <v>0</v>
      </c>
    </row>
    <row r="25" spans="3:11" ht="12.75" customHeight="1" x14ac:dyDescent="0.2">
      <c r="C25" s="311" t="str">
        <f>'Conversion Worksheet'!C44</f>
        <v>Library Books</v>
      </c>
      <c r="H25" s="220">
        <v>0</v>
      </c>
    </row>
    <row r="26" spans="3:11" ht="12.75" customHeight="1" x14ac:dyDescent="0.2">
      <c r="C26" s="312" t="str">
        <f>CONCATENATE("Accum. Depreciation - ", C25)</f>
        <v>Accum. Depreciation - Library Books</v>
      </c>
      <c r="D26" s="311"/>
      <c r="I26" s="220">
        <v>0</v>
      </c>
    </row>
    <row r="27" spans="3:11" ht="12.75" customHeight="1" x14ac:dyDescent="0.2">
      <c r="C27" s="311" t="str">
        <f>'Conversion Worksheet'!C49</f>
        <v>Computer equipment</v>
      </c>
      <c r="D27" s="311"/>
      <c r="H27" s="220">
        <v>20568</v>
      </c>
    </row>
    <row r="28" spans="3:11" ht="12.75" customHeight="1" x14ac:dyDescent="0.2">
      <c r="C28" s="312" t="str">
        <f>CONCATENATE("Accum. Depreciation - ", C27)</f>
        <v>Accum. Depreciation - Computer equipment</v>
      </c>
      <c r="D28" s="311"/>
      <c r="I28" s="220">
        <v>5735</v>
      </c>
    </row>
    <row r="29" spans="3:11" ht="12.75" customHeight="1" x14ac:dyDescent="0.2">
      <c r="C29" s="311" t="str">
        <f>'Conversion Worksheet'!C54</f>
        <v>Other Asset Class 1</v>
      </c>
      <c r="D29" s="311"/>
      <c r="H29" s="220">
        <v>0</v>
      </c>
    </row>
    <row r="30" spans="3:11" ht="12.75" customHeight="1" x14ac:dyDescent="0.2">
      <c r="C30" s="312" t="str">
        <f>CONCATENATE("Accum. Depreciation - ", C29)</f>
        <v>Accum. Depreciation - Other Asset Class 1</v>
      </c>
      <c r="D30" s="311"/>
      <c r="I30" s="220">
        <v>0</v>
      </c>
    </row>
    <row r="31" spans="3:11" ht="12.75" customHeight="1" x14ac:dyDescent="0.2">
      <c r="H31" s="313"/>
      <c r="I31" s="313"/>
    </row>
    <row r="32" spans="3:11" ht="13.5" thickBot="1" x14ac:dyDescent="0.25">
      <c r="C32" s="347" t="s">
        <v>314</v>
      </c>
      <c r="H32" s="314">
        <f>SUM(H17:H31)</f>
        <v>627782</v>
      </c>
      <c r="I32" s="314">
        <f>SUM(I17:I31)</f>
        <v>60846</v>
      </c>
      <c r="K32" s="344">
        <f>H32-I32</f>
        <v>566936</v>
      </c>
    </row>
    <row r="33" spans="1:15" ht="26.25" customHeight="1" thickTop="1" x14ac:dyDescent="0.2">
      <c r="H33" s="315"/>
    </row>
    <row r="34" spans="1:15" ht="28.5" customHeight="1" x14ac:dyDescent="0.2">
      <c r="A34" s="763" t="s">
        <v>334</v>
      </c>
      <c r="B34" s="953" t="s">
        <v>177</v>
      </c>
      <c r="C34" s="954"/>
      <c r="D34" s="954"/>
      <c r="E34" s="954"/>
      <c r="F34" s="954"/>
      <c r="G34" s="954"/>
      <c r="H34" s="954"/>
      <c r="I34" s="954"/>
      <c r="J34" s="954"/>
      <c r="K34" s="954"/>
      <c r="L34" s="954"/>
      <c r="M34" s="954"/>
      <c r="N34" s="954"/>
      <c r="O34" s="955"/>
    </row>
    <row r="35" spans="1:15" x14ac:dyDescent="0.2">
      <c r="H35" s="315"/>
    </row>
    <row r="36" spans="1:15" x14ac:dyDescent="0.2">
      <c r="C36" s="764" t="s">
        <v>476</v>
      </c>
      <c r="D36" s="346"/>
      <c r="E36" s="346"/>
      <c r="H36" s="316" t="s">
        <v>644</v>
      </c>
    </row>
    <row r="37" spans="1:15" ht="4.5" customHeight="1" x14ac:dyDescent="0.2">
      <c r="H37" s="315"/>
    </row>
    <row r="38" spans="1:15" x14ac:dyDescent="0.2">
      <c r="C38" s="445" t="s">
        <v>115</v>
      </c>
      <c r="H38" s="220">
        <v>155177</v>
      </c>
    </row>
    <row r="39" spans="1:15" x14ac:dyDescent="0.2">
      <c r="C39" s="303" t="s">
        <v>146</v>
      </c>
      <c r="H39" s="220">
        <v>0</v>
      </c>
    </row>
    <row r="40" spans="1:15" x14ac:dyDescent="0.2">
      <c r="C40" s="311" t="s">
        <v>359</v>
      </c>
      <c r="H40" s="221">
        <v>0</v>
      </c>
    </row>
    <row r="41" spans="1:15" x14ac:dyDescent="0.2">
      <c r="C41" s="311" t="s">
        <v>147</v>
      </c>
      <c r="H41" s="220">
        <v>0</v>
      </c>
    </row>
    <row r="42" spans="1:15" x14ac:dyDescent="0.2">
      <c r="C42" s="311" t="s">
        <v>4</v>
      </c>
      <c r="H42" s="220">
        <v>0</v>
      </c>
    </row>
    <row r="43" spans="1:15" x14ac:dyDescent="0.2">
      <c r="C43" s="311" t="s">
        <v>360</v>
      </c>
      <c r="H43" s="220">
        <v>0</v>
      </c>
    </row>
    <row r="44" spans="1:15" x14ac:dyDescent="0.2">
      <c r="C44" s="311" t="s">
        <v>610</v>
      </c>
      <c r="H44" s="220">
        <v>0</v>
      </c>
    </row>
    <row r="45" spans="1:15" x14ac:dyDescent="0.2">
      <c r="C45" s="311" t="str">
        <f>'Conversion Worksheet'!C100</f>
        <v>Other long-term liability #1</v>
      </c>
      <c r="D45" s="311"/>
      <c r="E45" s="311"/>
      <c r="H45" s="220">
        <v>0</v>
      </c>
      <c r="K45" s="436" t="s">
        <v>5</v>
      </c>
      <c r="L45" s="437"/>
      <c r="M45" s="437"/>
      <c r="N45" s="437"/>
      <c r="O45" s="438"/>
    </row>
    <row r="46" spans="1:15" x14ac:dyDescent="0.2">
      <c r="C46" s="311" t="str">
        <f>'Conversion Worksheet'!C101</f>
        <v>Other long-term liability #2</v>
      </c>
      <c r="D46" s="311"/>
      <c r="E46" s="311"/>
      <c r="H46" s="220">
        <v>0</v>
      </c>
      <c r="K46" s="439" t="s">
        <v>6</v>
      </c>
      <c r="L46" s="324"/>
      <c r="M46" s="324"/>
      <c r="N46" s="324"/>
      <c r="O46" s="440"/>
    </row>
    <row r="47" spans="1:15" x14ac:dyDescent="0.2">
      <c r="K47" s="439" t="s">
        <v>7</v>
      </c>
      <c r="L47" s="324"/>
      <c r="M47" s="324"/>
      <c r="N47" s="324"/>
      <c r="O47" s="440"/>
    </row>
    <row r="48" spans="1:15" ht="13.5" thickBot="1" x14ac:dyDescent="0.25">
      <c r="C48" s="347" t="s">
        <v>314</v>
      </c>
      <c r="H48" s="314">
        <f>SUM(H38:H46)</f>
        <v>155177</v>
      </c>
      <c r="K48" s="441" t="s">
        <v>8</v>
      </c>
      <c r="L48" s="346"/>
      <c r="M48" s="346"/>
      <c r="N48" s="346"/>
      <c r="O48" s="442"/>
    </row>
    <row r="49" spans="1:15" ht="13.5" thickTop="1" x14ac:dyDescent="0.2"/>
    <row r="51" spans="1:15" ht="28.5" customHeight="1" x14ac:dyDescent="0.2">
      <c r="A51" s="763" t="s">
        <v>515</v>
      </c>
      <c r="B51" s="956" t="s">
        <v>315</v>
      </c>
      <c r="C51" s="957"/>
      <c r="D51" s="957"/>
      <c r="E51" s="957"/>
      <c r="F51" s="957"/>
      <c r="G51" s="957"/>
      <c r="H51" s="957"/>
      <c r="I51" s="957"/>
      <c r="J51" s="957"/>
      <c r="K51" s="957"/>
      <c r="L51" s="957"/>
      <c r="M51" s="957"/>
      <c r="N51" s="957"/>
      <c r="O51" s="958"/>
    </row>
    <row r="52" spans="1:15" ht="12.75" customHeight="1" x14ac:dyDescent="0.2">
      <c r="A52" s="306"/>
      <c r="B52" s="317"/>
      <c r="C52" s="317"/>
      <c r="D52" s="317"/>
      <c r="E52" s="317"/>
      <c r="F52" s="317"/>
      <c r="G52" s="317"/>
      <c r="H52" s="317"/>
      <c r="I52" s="317"/>
      <c r="J52" s="317"/>
      <c r="K52" s="317"/>
      <c r="L52" s="317"/>
      <c r="M52" s="317"/>
      <c r="N52" s="317"/>
      <c r="O52" s="317"/>
    </row>
    <row r="53" spans="1:15" x14ac:dyDescent="0.2">
      <c r="I53" s="318" t="s">
        <v>645</v>
      </c>
      <c r="K53" s="318" t="s">
        <v>646</v>
      </c>
    </row>
    <row r="54" spans="1:15" ht="6" customHeight="1" x14ac:dyDescent="0.2">
      <c r="I54" s="319"/>
      <c r="K54" s="319"/>
    </row>
    <row r="55" spans="1:15" ht="12.75" customHeight="1" x14ac:dyDescent="0.2">
      <c r="C55" s="311" t="str">
        <f>C17</f>
        <v>Land</v>
      </c>
      <c r="I55" s="320">
        <f>H17</f>
        <v>0</v>
      </c>
      <c r="K55" s="320"/>
    </row>
    <row r="56" spans="1:15" ht="12.75" customHeight="1" x14ac:dyDescent="0.2">
      <c r="C56" s="311" t="str">
        <f t="shared" ref="C56:C68" si="0">C18</f>
        <v>Construction in progress</v>
      </c>
      <c r="I56" s="320">
        <f>H18</f>
        <v>0</v>
      </c>
      <c r="K56" s="320"/>
    </row>
    <row r="57" spans="1:15" x14ac:dyDescent="0.2">
      <c r="C57" s="311" t="str">
        <f t="shared" si="0"/>
        <v>Buildings</v>
      </c>
      <c r="I57" s="321">
        <f>H19</f>
        <v>0</v>
      </c>
      <c r="K57" s="321"/>
    </row>
    <row r="58" spans="1:15" x14ac:dyDescent="0.2">
      <c r="C58" s="311" t="str">
        <f t="shared" si="0"/>
        <v>Accum. Depreciation - Buildings</v>
      </c>
      <c r="I58" s="321"/>
      <c r="K58" s="321">
        <f>I20</f>
        <v>0</v>
      </c>
    </row>
    <row r="59" spans="1:15" x14ac:dyDescent="0.2">
      <c r="C59" s="311" t="str">
        <f t="shared" si="0"/>
        <v>Equipment and Furniture</v>
      </c>
      <c r="I59" s="321">
        <f>H21</f>
        <v>607214</v>
      </c>
      <c r="K59" s="321"/>
    </row>
    <row r="60" spans="1:15" x14ac:dyDescent="0.2">
      <c r="C60" s="311" t="str">
        <f t="shared" si="0"/>
        <v>Accum. Depreciation - Equipment and Furniture</v>
      </c>
      <c r="I60" s="321"/>
      <c r="K60" s="321">
        <f>I22</f>
        <v>55111</v>
      </c>
    </row>
    <row r="61" spans="1:15" x14ac:dyDescent="0.2">
      <c r="C61" s="311" t="str">
        <f t="shared" si="0"/>
        <v>Vehicles &amp; Motorized Equipment</v>
      </c>
      <c r="I61" s="321">
        <f>H23</f>
        <v>0</v>
      </c>
      <c r="K61" s="321"/>
    </row>
    <row r="62" spans="1:15" x14ac:dyDescent="0.2">
      <c r="C62" s="311" t="str">
        <f t="shared" si="0"/>
        <v>Accum. Depreciation - Vehicles &amp; Motorized Equipment</v>
      </c>
      <c r="I62" s="321"/>
      <c r="K62" s="321">
        <f>I24</f>
        <v>0</v>
      </c>
    </row>
    <row r="63" spans="1:15" x14ac:dyDescent="0.2">
      <c r="C63" s="311" t="str">
        <f t="shared" si="0"/>
        <v>Library Books</v>
      </c>
      <c r="I63" s="321">
        <f>H25</f>
        <v>0</v>
      </c>
      <c r="K63" s="321"/>
    </row>
    <row r="64" spans="1:15" x14ac:dyDescent="0.2">
      <c r="C64" s="311" t="str">
        <f t="shared" si="0"/>
        <v>Accum. Depreciation - Library Books</v>
      </c>
      <c r="I64" s="320"/>
      <c r="K64" s="320">
        <f>I26</f>
        <v>0</v>
      </c>
    </row>
    <row r="65" spans="3:11" ht="12.75" customHeight="1" x14ac:dyDescent="0.2">
      <c r="C65" s="311" t="str">
        <f t="shared" si="0"/>
        <v>Computer equipment</v>
      </c>
      <c r="F65" s="322"/>
      <c r="I65" s="320">
        <f>H27</f>
        <v>20568</v>
      </c>
      <c r="K65" s="320"/>
    </row>
    <row r="66" spans="3:11" ht="12.75" customHeight="1" x14ac:dyDescent="0.2">
      <c r="C66" s="311" t="str">
        <f t="shared" si="0"/>
        <v>Accum. Depreciation - Computer equipment</v>
      </c>
      <c r="F66" s="322"/>
      <c r="I66" s="320"/>
      <c r="K66" s="320">
        <f>I28</f>
        <v>5735</v>
      </c>
    </row>
    <row r="67" spans="3:11" ht="12.75" customHeight="1" x14ac:dyDescent="0.2">
      <c r="C67" s="311" t="str">
        <f t="shared" si="0"/>
        <v>Other Asset Class 1</v>
      </c>
      <c r="F67" s="322"/>
      <c r="I67" s="320">
        <f>H29</f>
        <v>0</v>
      </c>
      <c r="K67" s="320"/>
    </row>
    <row r="68" spans="3:11" x14ac:dyDescent="0.2">
      <c r="C68" s="311" t="str">
        <f t="shared" si="0"/>
        <v>Accum. Depreciation - Other Asset Class 1</v>
      </c>
      <c r="F68" s="322"/>
      <c r="I68" s="320"/>
      <c r="K68" s="320">
        <f>I30</f>
        <v>0</v>
      </c>
    </row>
    <row r="69" spans="3:11" ht="12.75" customHeight="1" x14ac:dyDescent="0.2">
      <c r="C69" s="311" t="s">
        <v>316</v>
      </c>
      <c r="F69" s="322"/>
      <c r="I69" s="323"/>
      <c r="J69" s="324"/>
      <c r="K69" s="323">
        <f>I55+I56+I57+I59+I61+I63+I65+I67-K58-K60-K62-K64-K66-K68</f>
        <v>566936</v>
      </c>
    </row>
    <row r="70" spans="3:11" ht="12.75" customHeight="1" thickBot="1" x14ac:dyDescent="0.25">
      <c r="C70" s="311"/>
      <c r="F70" s="322"/>
      <c r="H70" s="309">
        <f>I70-K70</f>
        <v>0</v>
      </c>
      <c r="I70" s="325">
        <f>SUM(I55:I69)</f>
        <v>627782</v>
      </c>
      <c r="K70" s="325">
        <f>SUM(K55:K69)</f>
        <v>627782</v>
      </c>
    </row>
    <row r="71" spans="3:11" ht="15" thickTop="1" x14ac:dyDescent="0.2">
      <c r="C71" s="311"/>
      <c r="F71" s="322"/>
      <c r="I71" s="311"/>
      <c r="J71" s="326"/>
      <c r="K71" s="311"/>
    </row>
    <row r="72" spans="3:11" ht="12.75" customHeight="1" x14ac:dyDescent="0.2">
      <c r="C72" s="311" t="s">
        <v>228</v>
      </c>
      <c r="F72" s="322"/>
      <c r="I72" s="321"/>
      <c r="K72" s="321">
        <f t="shared" ref="K72:K80" si="1">H38</f>
        <v>155177</v>
      </c>
    </row>
    <row r="73" spans="3:11" x14ac:dyDescent="0.2">
      <c r="C73" s="311" t="s">
        <v>146</v>
      </c>
      <c r="F73" s="322"/>
      <c r="I73" s="321"/>
      <c r="K73" s="321">
        <f t="shared" si="1"/>
        <v>0</v>
      </c>
    </row>
    <row r="74" spans="3:11" x14ac:dyDescent="0.2">
      <c r="C74" s="311" t="s">
        <v>359</v>
      </c>
      <c r="I74" s="321"/>
      <c r="K74" s="321">
        <f t="shared" si="1"/>
        <v>0</v>
      </c>
    </row>
    <row r="75" spans="3:11" x14ac:dyDescent="0.2">
      <c r="C75" s="311" t="s">
        <v>147</v>
      </c>
      <c r="I75" s="321"/>
      <c r="K75" s="321">
        <f t="shared" si="1"/>
        <v>0</v>
      </c>
    </row>
    <row r="76" spans="3:11" x14ac:dyDescent="0.2">
      <c r="C76" s="311" t="s">
        <v>423</v>
      </c>
      <c r="I76" s="321"/>
      <c r="K76" s="321">
        <f t="shared" si="1"/>
        <v>0</v>
      </c>
    </row>
    <row r="77" spans="3:11" x14ac:dyDescent="0.2">
      <c r="C77" s="311" t="s">
        <v>360</v>
      </c>
      <c r="I77" s="321"/>
      <c r="K77" s="321">
        <f t="shared" si="1"/>
        <v>0</v>
      </c>
    </row>
    <row r="78" spans="3:11" x14ac:dyDescent="0.2">
      <c r="C78" s="311" t="s">
        <v>610</v>
      </c>
      <c r="I78" s="321"/>
      <c r="K78" s="321">
        <f t="shared" si="1"/>
        <v>0</v>
      </c>
    </row>
    <row r="79" spans="3:11" x14ac:dyDescent="0.2">
      <c r="C79" s="311" t="str">
        <f>C45</f>
        <v>Other long-term liability #1</v>
      </c>
      <c r="I79" s="321"/>
      <c r="K79" s="321">
        <f t="shared" si="1"/>
        <v>0</v>
      </c>
    </row>
    <row r="80" spans="3:11" x14ac:dyDescent="0.2">
      <c r="C80" s="311" t="str">
        <f>C46</f>
        <v>Other long-term liability #2</v>
      </c>
      <c r="I80" s="321"/>
      <c r="K80" s="321">
        <f t="shared" si="1"/>
        <v>0</v>
      </c>
    </row>
    <row r="81" spans="3:11" x14ac:dyDescent="0.2">
      <c r="C81" s="311" t="s">
        <v>316</v>
      </c>
      <c r="I81" s="321">
        <f>SUM(K72:K80)</f>
        <v>155177</v>
      </c>
      <c r="K81" s="321"/>
    </row>
    <row r="82" spans="3:11" ht="13.5" thickBot="1" x14ac:dyDescent="0.25">
      <c r="H82" s="309">
        <f>I82-K82</f>
        <v>0</v>
      </c>
      <c r="I82" s="325">
        <f>SUM(I72:I81)</f>
        <v>155177</v>
      </c>
      <c r="K82" s="325">
        <f>SUM(K72:K81)</f>
        <v>155177</v>
      </c>
    </row>
    <row r="83" spans="3:11" ht="13.5" thickTop="1" x14ac:dyDescent="0.2"/>
  </sheetData>
  <sheetProtection algorithmName="SHA-512" hashValue="AhKgtyNf6oQbE5XnRcRSbV8vamefPqxRc4Li52g67MEy0+OjsKEyq+OyuOdXH1fnA8j8gl8NYfOq07TfkEDL1w==" saltValue="MdO9mCpRaesQvb96uvMoHw==" spinCount="100000" sheet="1" objects="1" scenarios="1"/>
  <mergeCells count="8">
    <mergeCell ref="A1:O1"/>
    <mergeCell ref="B13:O13"/>
    <mergeCell ref="B34:O34"/>
    <mergeCell ref="B51:O51"/>
    <mergeCell ref="C6:N7"/>
    <mergeCell ref="C9:O9"/>
    <mergeCell ref="C11:O11"/>
    <mergeCell ref="B3:O3"/>
  </mergeCells>
  <phoneticPr fontId="0" type="noConversion"/>
  <pageMargins left="0.75" right="0.75" top="0.7" bottom="0.51" header="0.5" footer="0.5"/>
  <pageSetup scale="75" fitToHeight="0" orientation="portrait" r:id="rId1"/>
  <headerFooter alignWithMargins="0">
    <oddHeader>&amp;RBeginning CA &amp;  LTD</oddHeader>
    <oddFooter>&amp;R&amp;P</oddFooter>
  </headerFooter>
  <rowBreaks count="1" manualBreakCount="1">
    <brk id="49" max="16383" man="1"/>
  </row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P241"/>
  <sheetViews>
    <sheetView zoomScaleNormal="100" workbookViewId="0">
      <selection activeCell="A2" sqref="A2:O2"/>
    </sheetView>
  </sheetViews>
  <sheetFormatPr defaultRowHeight="12.75" x14ac:dyDescent="0.2"/>
  <cols>
    <col min="1" max="1" width="6" customWidth="1"/>
    <col min="2" max="2" width="3.42578125" customWidth="1"/>
    <col min="3" max="3" width="3.7109375" customWidth="1"/>
    <col min="5" max="5" width="16.7109375" customWidth="1"/>
    <col min="6" max="6" width="16" customWidth="1"/>
    <col min="7" max="7" width="6.5703125" customWidth="1"/>
    <col min="8" max="8" width="13.5703125" bestFit="1" customWidth="1"/>
    <col min="9" max="9" width="1.5703125" customWidth="1"/>
    <col min="10" max="10" width="15.28515625" customWidth="1"/>
    <col min="11" max="11" width="1.140625" customWidth="1"/>
    <col min="12" max="12" width="15.28515625" customWidth="1"/>
    <col min="13" max="13" width="1.28515625" customWidth="1"/>
    <col min="14" max="14" width="15.28515625" customWidth="1"/>
    <col min="15" max="15" width="13.42578125" customWidth="1"/>
    <col min="16" max="16" width="1.140625" customWidth="1"/>
  </cols>
  <sheetData>
    <row r="1" spans="1:16" x14ac:dyDescent="0.2">
      <c r="A1" s="2"/>
    </row>
    <row r="2" spans="1:16" ht="33.75" customHeight="1" x14ac:dyDescent="0.2">
      <c r="A2" s="963" t="s">
        <v>514</v>
      </c>
      <c r="B2" s="964"/>
      <c r="C2" s="964"/>
      <c r="D2" s="964"/>
      <c r="E2" s="964"/>
      <c r="F2" s="964"/>
      <c r="G2" s="964"/>
      <c r="H2" s="964"/>
      <c r="I2" s="964"/>
      <c r="J2" s="964"/>
      <c r="K2" s="964"/>
      <c r="L2" s="964"/>
      <c r="M2" s="964"/>
      <c r="N2" s="964"/>
      <c r="O2" s="965"/>
    </row>
    <row r="4" spans="1:16" ht="63.75" customHeight="1" x14ac:dyDescent="0.2">
      <c r="B4" s="858" t="s">
        <v>306</v>
      </c>
      <c r="C4" s="966"/>
      <c r="D4" s="966"/>
      <c r="E4" s="966"/>
      <c r="F4" s="966"/>
      <c r="G4" s="966"/>
      <c r="H4" s="966"/>
      <c r="I4" s="966"/>
      <c r="J4" s="966"/>
      <c r="K4" s="966"/>
      <c r="L4" s="966"/>
      <c r="M4" s="966"/>
      <c r="N4" s="966"/>
      <c r="O4" s="966"/>
      <c r="P4" s="966"/>
    </row>
    <row r="5" spans="1:16" ht="7.5" customHeight="1" x14ac:dyDescent="0.2">
      <c r="B5" s="34"/>
      <c r="C5" s="35"/>
      <c r="D5" s="35"/>
      <c r="E5" s="35"/>
      <c r="F5" s="35"/>
      <c r="G5" s="35"/>
      <c r="H5" s="35"/>
      <c r="I5" s="35"/>
      <c r="J5" s="35"/>
      <c r="K5" s="35"/>
      <c r="L5" s="35"/>
      <c r="M5" s="35"/>
      <c r="N5" s="35"/>
      <c r="O5" s="35"/>
      <c r="P5" s="35"/>
    </row>
    <row r="6" spans="1:16" ht="12" customHeight="1" x14ac:dyDescent="0.2">
      <c r="B6" s="354" t="s">
        <v>649</v>
      </c>
      <c r="C6" s="966" t="s">
        <v>87</v>
      </c>
      <c r="D6" s="966"/>
      <c r="E6" s="966"/>
      <c r="F6" s="966"/>
      <c r="G6" s="966"/>
      <c r="H6" s="966"/>
      <c r="I6" s="966"/>
      <c r="J6" s="966"/>
      <c r="K6" s="966"/>
      <c r="L6" s="966"/>
      <c r="M6" s="966"/>
      <c r="N6" s="966"/>
      <c r="O6" s="966"/>
      <c r="P6" s="35"/>
    </row>
    <row r="7" spans="1:16" ht="4.5" customHeight="1" x14ac:dyDescent="0.2">
      <c r="B7" s="354"/>
      <c r="C7" s="34"/>
      <c r="D7" s="34"/>
      <c r="E7" s="34"/>
      <c r="F7" s="34"/>
      <c r="G7" s="34"/>
      <c r="H7" s="34"/>
      <c r="I7" s="34"/>
      <c r="J7" s="34"/>
      <c r="K7" s="34"/>
      <c r="L7" s="34"/>
      <c r="M7" s="34"/>
      <c r="N7" s="34"/>
      <c r="O7" s="34"/>
      <c r="P7" s="35"/>
    </row>
    <row r="8" spans="1:16" ht="12.75" customHeight="1" x14ac:dyDescent="0.2">
      <c r="B8" s="354" t="s">
        <v>650</v>
      </c>
      <c r="C8" s="859" t="s">
        <v>88</v>
      </c>
      <c r="D8" s="859"/>
      <c r="E8" s="859"/>
      <c r="F8" s="859"/>
      <c r="G8" s="859"/>
      <c r="H8" s="859"/>
      <c r="I8" s="859"/>
      <c r="J8" s="859"/>
      <c r="K8" s="859"/>
      <c r="L8" s="859"/>
      <c r="M8" s="859"/>
      <c r="N8" s="859"/>
      <c r="O8" s="859"/>
      <c r="P8" s="35"/>
    </row>
    <row r="9" spans="1:16" ht="12.75" customHeight="1" x14ac:dyDescent="0.2">
      <c r="B9" s="354"/>
      <c r="C9" s="859"/>
      <c r="D9" s="859"/>
      <c r="E9" s="859"/>
      <c r="F9" s="859"/>
      <c r="G9" s="859"/>
      <c r="H9" s="859"/>
      <c r="I9" s="859"/>
      <c r="J9" s="859"/>
      <c r="K9" s="859"/>
      <c r="L9" s="859"/>
      <c r="M9" s="859"/>
      <c r="N9" s="859"/>
      <c r="O9" s="859"/>
      <c r="P9" s="35"/>
    </row>
    <row r="10" spans="1:16" ht="4.5" customHeight="1" x14ac:dyDescent="0.2">
      <c r="B10" s="354"/>
      <c r="C10" s="35"/>
      <c r="D10" s="35"/>
      <c r="E10" s="35"/>
      <c r="F10" s="35"/>
      <c r="G10" s="35"/>
      <c r="H10" s="35"/>
      <c r="I10" s="35"/>
      <c r="J10" s="35"/>
      <c r="K10" s="35"/>
      <c r="L10" s="35"/>
      <c r="M10" s="35"/>
      <c r="N10" s="35"/>
      <c r="O10" s="35"/>
      <c r="P10" s="35"/>
    </row>
    <row r="11" spans="1:16" ht="12.75" customHeight="1" x14ac:dyDescent="0.2">
      <c r="B11" s="354" t="s">
        <v>651</v>
      </c>
      <c r="C11" s="858" t="s">
        <v>89</v>
      </c>
      <c r="D11" s="858"/>
      <c r="E11" s="858"/>
      <c r="F11" s="858"/>
      <c r="G11" s="858"/>
      <c r="H11" s="858"/>
      <c r="I11" s="858"/>
      <c r="J11" s="858"/>
      <c r="K11" s="858"/>
      <c r="L11" s="858"/>
      <c r="M11" s="858"/>
      <c r="N11" s="858"/>
      <c r="O11" s="858"/>
      <c r="P11" s="35"/>
    </row>
    <row r="12" spans="1:16" ht="24.75" customHeight="1" x14ac:dyDescent="0.2">
      <c r="B12" s="354"/>
      <c r="C12" s="858"/>
      <c r="D12" s="858"/>
      <c r="E12" s="858"/>
      <c r="F12" s="858"/>
      <c r="G12" s="858"/>
      <c r="H12" s="858"/>
      <c r="I12" s="858"/>
      <c r="J12" s="858"/>
      <c r="K12" s="858"/>
      <c r="L12" s="858"/>
      <c r="M12" s="858"/>
      <c r="N12" s="858"/>
      <c r="O12" s="858"/>
      <c r="P12" s="35"/>
    </row>
    <row r="13" spans="1:16" ht="4.5" customHeight="1" x14ac:dyDescent="0.2">
      <c r="B13" s="354"/>
      <c r="C13" s="34"/>
      <c r="D13" s="35"/>
      <c r="E13" s="35"/>
      <c r="F13" s="35"/>
      <c r="G13" s="35"/>
      <c r="H13" s="35"/>
      <c r="I13" s="35"/>
      <c r="J13" s="35"/>
      <c r="K13" s="35"/>
      <c r="L13" s="35"/>
      <c r="M13" s="35"/>
      <c r="N13" s="35"/>
      <c r="O13" s="35"/>
      <c r="P13" s="35"/>
    </row>
    <row r="14" spans="1:16" ht="12.75" customHeight="1" x14ac:dyDescent="0.2">
      <c r="B14" s="354" t="s">
        <v>335</v>
      </c>
      <c r="C14" s="970" t="s">
        <v>733</v>
      </c>
      <c r="D14" s="858"/>
      <c r="E14" s="858"/>
      <c r="F14" s="858"/>
      <c r="G14" s="858"/>
      <c r="H14" s="858"/>
      <c r="I14" s="858"/>
      <c r="J14" s="858"/>
      <c r="K14" s="858"/>
      <c r="L14" s="858"/>
      <c r="M14" s="858"/>
      <c r="N14" s="858"/>
      <c r="O14" s="858"/>
      <c r="P14" s="35"/>
    </row>
    <row r="15" spans="1:16" ht="37.5" customHeight="1" x14ac:dyDescent="0.2">
      <c r="B15" s="354"/>
      <c r="C15" s="858"/>
      <c r="D15" s="858"/>
      <c r="E15" s="858"/>
      <c r="F15" s="858"/>
      <c r="G15" s="858"/>
      <c r="H15" s="858"/>
      <c r="I15" s="858"/>
      <c r="J15" s="858"/>
      <c r="K15" s="858"/>
      <c r="L15" s="858"/>
      <c r="M15" s="858"/>
      <c r="N15" s="858"/>
      <c r="O15" s="858"/>
      <c r="P15" s="35"/>
    </row>
    <row r="16" spans="1:16" ht="5.25" customHeight="1" x14ac:dyDescent="0.2">
      <c r="B16" s="354"/>
      <c r="C16" s="34"/>
      <c r="D16" s="35"/>
      <c r="E16" s="35"/>
      <c r="F16" s="35"/>
      <c r="G16" s="35"/>
      <c r="H16" s="35"/>
      <c r="I16" s="35"/>
      <c r="J16" s="35"/>
      <c r="K16" s="35"/>
      <c r="L16" s="35"/>
      <c r="M16" s="35"/>
      <c r="N16" s="35"/>
      <c r="O16" s="35"/>
      <c r="P16" s="35"/>
    </row>
    <row r="17" spans="1:16" ht="12.75" customHeight="1" x14ac:dyDescent="0.2">
      <c r="B17" s="354" t="s">
        <v>336</v>
      </c>
      <c r="C17" s="859" t="s">
        <v>73</v>
      </c>
      <c r="D17" s="859"/>
      <c r="E17" s="859"/>
      <c r="F17" s="859"/>
      <c r="G17" s="859"/>
      <c r="H17" s="859"/>
      <c r="I17" s="859"/>
      <c r="J17" s="859"/>
      <c r="K17" s="859"/>
      <c r="L17" s="859"/>
      <c r="M17" s="859"/>
      <c r="N17" s="859"/>
      <c r="O17" s="859"/>
      <c r="P17" s="35"/>
    </row>
    <row r="18" spans="1:16" ht="15.75" customHeight="1" x14ac:dyDescent="0.2">
      <c r="B18" s="354"/>
      <c r="C18" s="859"/>
      <c r="D18" s="859"/>
      <c r="E18" s="859"/>
      <c r="F18" s="859"/>
      <c r="G18" s="859"/>
      <c r="H18" s="859"/>
      <c r="I18" s="859"/>
      <c r="J18" s="859"/>
      <c r="K18" s="859"/>
      <c r="L18" s="859"/>
      <c r="M18" s="859"/>
      <c r="N18" s="859"/>
      <c r="O18" s="859"/>
      <c r="P18" s="35"/>
    </row>
    <row r="19" spans="1:16" ht="4.5" customHeight="1" x14ac:dyDescent="0.2">
      <c r="B19" s="354"/>
      <c r="C19" s="35"/>
      <c r="D19" s="35"/>
      <c r="E19" s="35"/>
      <c r="F19" s="35"/>
      <c r="G19" s="35"/>
      <c r="H19" s="35"/>
      <c r="I19" s="35"/>
      <c r="J19" s="35"/>
      <c r="K19" s="35"/>
      <c r="L19" s="35"/>
      <c r="M19" s="35"/>
      <c r="N19" s="35"/>
      <c r="O19" s="35"/>
      <c r="P19" s="35"/>
    </row>
    <row r="20" spans="1:16" ht="12.75" customHeight="1" x14ac:dyDescent="0.2">
      <c r="B20" s="354" t="s">
        <v>182</v>
      </c>
      <c r="C20" s="859" t="s">
        <v>139</v>
      </c>
      <c r="D20" s="859"/>
      <c r="E20" s="859"/>
      <c r="F20" s="859"/>
      <c r="G20" s="859"/>
      <c r="H20" s="859"/>
      <c r="I20" s="859"/>
      <c r="J20" s="859"/>
      <c r="K20" s="859"/>
      <c r="L20" s="859"/>
      <c r="M20" s="859"/>
      <c r="N20" s="859"/>
      <c r="O20" s="859"/>
      <c r="P20" s="35"/>
    </row>
    <row r="21" spans="1:16" ht="15" customHeight="1" x14ac:dyDescent="0.2">
      <c r="B21" s="39"/>
      <c r="C21" s="859"/>
      <c r="D21" s="859"/>
      <c r="E21" s="859"/>
      <c r="F21" s="859"/>
      <c r="G21" s="859"/>
      <c r="H21" s="859"/>
      <c r="I21" s="859"/>
      <c r="J21" s="859"/>
      <c r="K21" s="859"/>
      <c r="L21" s="859"/>
      <c r="M21" s="859"/>
      <c r="N21" s="859"/>
      <c r="O21" s="859"/>
      <c r="P21" s="35"/>
    </row>
    <row r="22" spans="1:16" ht="12" customHeight="1" x14ac:dyDescent="0.2">
      <c r="B22" s="34"/>
      <c r="C22" s="35"/>
      <c r="D22" s="35"/>
      <c r="E22" s="35"/>
      <c r="F22" s="35"/>
      <c r="G22" s="35"/>
      <c r="H22" s="35"/>
      <c r="I22" s="35"/>
      <c r="J22" s="35"/>
      <c r="K22" s="35"/>
      <c r="L22" s="35"/>
      <c r="M22" s="35"/>
      <c r="N22" s="35"/>
      <c r="O22" s="35"/>
      <c r="P22" s="35"/>
    </row>
    <row r="23" spans="1:16" ht="45.75" customHeight="1" x14ac:dyDescent="0.2">
      <c r="A23" s="765" t="s">
        <v>333</v>
      </c>
      <c r="B23" s="967" t="s">
        <v>668</v>
      </c>
      <c r="C23" s="968"/>
      <c r="D23" s="968"/>
      <c r="E23" s="968"/>
      <c r="F23" s="968"/>
      <c r="G23" s="968"/>
      <c r="H23" s="968"/>
      <c r="I23" s="968"/>
      <c r="J23" s="968"/>
      <c r="K23" s="968"/>
      <c r="L23" s="968"/>
      <c r="M23" s="968"/>
      <c r="N23" s="968"/>
      <c r="O23" s="969"/>
      <c r="P23" s="35"/>
    </row>
    <row r="25" spans="1:16" x14ac:dyDescent="0.2">
      <c r="C25" s="7" t="s">
        <v>53</v>
      </c>
      <c r="D25" s="7"/>
      <c r="E25" s="7"/>
      <c r="H25" s="3" t="s">
        <v>644</v>
      </c>
    </row>
    <row r="26" spans="1:16" ht="4.5" customHeight="1" x14ac:dyDescent="0.2"/>
    <row r="27" spans="1:16" ht="12.75" customHeight="1" x14ac:dyDescent="0.2">
      <c r="C27" t="s">
        <v>393</v>
      </c>
      <c r="H27" s="220">
        <v>364636</v>
      </c>
    </row>
    <row r="28" spans="1:16" ht="12.75" customHeight="1" x14ac:dyDescent="0.2">
      <c r="C28" t="s">
        <v>394</v>
      </c>
      <c r="H28" s="220">
        <v>125000</v>
      </c>
      <c r="L28" s="830"/>
    </row>
    <row r="29" spans="1:16" x14ac:dyDescent="0.2">
      <c r="C29" t="s">
        <v>395</v>
      </c>
      <c r="H29" s="220">
        <v>56961</v>
      </c>
    </row>
    <row r="30" spans="1:16" ht="15" customHeight="1" x14ac:dyDescent="0.2">
      <c r="C30" t="s">
        <v>567</v>
      </c>
      <c r="H30" s="220">
        <v>7725</v>
      </c>
    </row>
    <row r="31" spans="1:16" ht="17.25" customHeight="1" x14ac:dyDescent="0.2">
      <c r="C31" t="s">
        <v>543</v>
      </c>
      <c r="H31" s="220">
        <v>16087</v>
      </c>
    </row>
    <row r="32" spans="1:16" ht="18" customHeight="1" x14ac:dyDescent="0.2">
      <c r="C32" s="208" t="str">
        <f>'Conversion Worksheet'!C159</f>
        <v>Other revenue source #1</v>
      </c>
      <c r="H32" s="220">
        <v>0</v>
      </c>
    </row>
    <row r="33" spans="1:15" x14ac:dyDescent="0.2">
      <c r="C33" s="208" t="str">
        <f>'Conversion Worksheet'!C160</f>
        <v>Other revenue source #2</v>
      </c>
      <c r="H33" s="220">
        <v>0</v>
      </c>
    </row>
    <row r="34" spans="1:15" x14ac:dyDescent="0.2">
      <c r="C34" s="862" t="s">
        <v>16</v>
      </c>
      <c r="D34" s="862"/>
      <c r="E34" s="862"/>
      <c r="F34" s="862"/>
      <c r="H34" s="220">
        <v>0</v>
      </c>
    </row>
    <row r="35" spans="1:15" x14ac:dyDescent="0.2">
      <c r="C35" s="862" t="s">
        <v>17</v>
      </c>
      <c r="D35" s="862"/>
      <c r="E35" s="862"/>
      <c r="F35" s="862"/>
      <c r="H35" s="220">
        <v>0</v>
      </c>
    </row>
    <row r="36" spans="1:15" ht="12.75" customHeight="1" x14ac:dyDescent="0.2">
      <c r="H36" s="36"/>
    </row>
    <row r="37" spans="1:15" ht="15" thickBot="1" x14ac:dyDescent="0.25">
      <c r="D37" t="s">
        <v>647</v>
      </c>
      <c r="G37" s="48" t="s">
        <v>141</v>
      </c>
      <c r="H37" s="67">
        <f>SUM(H27:H36)</f>
        <v>570409</v>
      </c>
      <c r="L37" s="189"/>
    </row>
    <row r="38" spans="1:15" ht="13.5" thickTop="1" x14ac:dyDescent="0.2">
      <c r="H38" s="49"/>
    </row>
    <row r="39" spans="1:15" ht="36.75" customHeight="1" x14ac:dyDescent="0.2">
      <c r="A39" s="765" t="s">
        <v>334</v>
      </c>
      <c r="B39" s="974" t="s">
        <v>86</v>
      </c>
      <c r="C39" s="972"/>
      <c r="D39" s="972"/>
      <c r="E39" s="972"/>
      <c r="F39" s="972"/>
      <c r="G39" s="972"/>
      <c r="H39" s="972"/>
      <c r="I39" s="972"/>
      <c r="J39" s="972"/>
      <c r="K39" s="972"/>
      <c r="L39" s="972"/>
      <c r="M39" s="972"/>
      <c r="N39" s="972"/>
      <c r="O39" s="973"/>
    </row>
    <row r="40" spans="1:15" x14ac:dyDescent="0.2">
      <c r="H40" s="49"/>
    </row>
    <row r="41" spans="1:15" x14ac:dyDescent="0.2">
      <c r="H41" s="51" t="s">
        <v>644</v>
      </c>
    </row>
    <row r="42" spans="1:15" ht="4.5" customHeight="1" x14ac:dyDescent="0.2">
      <c r="H42" s="49"/>
    </row>
    <row r="43" spans="1:15" x14ac:dyDescent="0.2">
      <c r="C43" t="s">
        <v>54</v>
      </c>
      <c r="H43" s="68"/>
    </row>
    <row r="44" spans="1:15" x14ac:dyDescent="0.2">
      <c r="D44" t="s">
        <v>362</v>
      </c>
      <c r="H44" s="220">
        <v>0</v>
      </c>
    </row>
    <row r="45" spans="1:15" x14ac:dyDescent="0.2">
      <c r="D45" t="s">
        <v>363</v>
      </c>
      <c r="H45" s="221">
        <v>22657</v>
      </c>
    </row>
    <row r="46" spans="1:15" x14ac:dyDescent="0.2">
      <c r="D46" t="s">
        <v>364</v>
      </c>
      <c r="H46" s="221">
        <v>0</v>
      </c>
    </row>
    <row r="47" spans="1:15" ht="4.5" customHeight="1" x14ac:dyDescent="0.2">
      <c r="H47" s="45"/>
    </row>
    <row r="48" spans="1:15" x14ac:dyDescent="0.2">
      <c r="C48" t="s">
        <v>229</v>
      </c>
      <c r="H48" s="68"/>
    </row>
    <row r="49" spans="3:8" x14ac:dyDescent="0.2">
      <c r="D49" t="s">
        <v>362</v>
      </c>
      <c r="H49" s="221">
        <v>0</v>
      </c>
    </row>
    <row r="50" spans="3:8" x14ac:dyDescent="0.2">
      <c r="D50" t="s">
        <v>363</v>
      </c>
      <c r="H50" s="220">
        <v>0</v>
      </c>
    </row>
    <row r="51" spans="3:8" x14ac:dyDescent="0.2">
      <c r="D51" t="s">
        <v>364</v>
      </c>
      <c r="H51" s="221">
        <v>0</v>
      </c>
    </row>
    <row r="52" spans="3:8" ht="4.5" customHeight="1" x14ac:dyDescent="0.2">
      <c r="H52" s="45"/>
    </row>
    <row r="53" spans="3:8" x14ac:dyDescent="0.2">
      <c r="C53" s="154" t="s">
        <v>230</v>
      </c>
      <c r="H53" s="68"/>
    </row>
    <row r="54" spans="3:8" x14ac:dyDescent="0.2">
      <c r="D54" t="s">
        <v>362</v>
      </c>
      <c r="H54" s="221">
        <v>0</v>
      </c>
    </row>
    <row r="55" spans="3:8" x14ac:dyDescent="0.2">
      <c r="D55" t="s">
        <v>363</v>
      </c>
      <c r="H55" s="221">
        <v>0</v>
      </c>
    </row>
    <row r="56" spans="3:8" x14ac:dyDescent="0.2">
      <c r="D56" t="s">
        <v>364</v>
      </c>
      <c r="H56" s="221">
        <v>0</v>
      </c>
    </row>
    <row r="57" spans="3:8" ht="4.5" customHeight="1" x14ac:dyDescent="0.2">
      <c r="H57" s="44"/>
    </row>
    <row r="58" spans="3:8" x14ac:dyDescent="0.2">
      <c r="C58" s="154" t="s">
        <v>231</v>
      </c>
      <c r="H58" s="44"/>
    </row>
    <row r="59" spans="3:8" x14ac:dyDescent="0.2">
      <c r="D59" t="s">
        <v>362</v>
      </c>
      <c r="H59" s="221">
        <v>0</v>
      </c>
    </row>
    <row r="60" spans="3:8" x14ac:dyDescent="0.2">
      <c r="D60" t="s">
        <v>363</v>
      </c>
      <c r="H60" s="221">
        <v>0</v>
      </c>
    </row>
    <row r="61" spans="3:8" x14ac:dyDescent="0.2">
      <c r="D61" t="s">
        <v>364</v>
      </c>
      <c r="H61" s="221">
        <v>0</v>
      </c>
    </row>
    <row r="62" spans="3:8" ht="4.5" customHeight="1" x14ac:dyDescent="0.2">
      <c r="H62" s="44"/>
    </row>
    <row r="63" spans="3:8" x14ac:dyDescent="0.2">
      <c r="C63" t="s">
        <v>232</v>
      </c>
      <c r="H63" s="44"/>
    </row>
    <row r="64" spans="3:8" x14ac:dyDescent="0.2">
      <c r="D64" t="s">
        <v>362</v>
      </c>
      <c r="H64" s="221">
        <v>0</v>
      </c>
    </row>
    <row r="65" spans="3:8" x14ac:dyDescent="0.2">
      <c r="D65" t="s">
        <v>363</v>
      </c>
      <c r="H65" s="221">
        <v>0</v>
      </c>
    </row>
    <row r="66" spans="3:8" x14ac:dyDescent="0.2">
      <c r="D66" t="s">
        <v>364</v>
      </c>
      <c r="H66" s="221">
        <v>0</v>
      </c>
    </row>
    <row r="67" spans="3:8" ht="4.5" customHeight="1" x14ac:dyDescent="0.2">
      <c r="H67" s="44"/>
    </row>
    <row r="68" spans="3:8" x14ac:dyDescent="0.2">
      <c r="C68" s="154" t="s">
        <v>233</v>
      </c>
      <c r="H68" s="68"/>
    </row>
    <row r="69" spans="3:8" x14ac:dyDescent="0.2">
      <c r="D69" t="s">
        <v>362</v>
      </c>
      <c r="H69" s="221">
        <v>0</v>
      </c>
    </row>
    <row r="70" spans="3:8" x14ac:dyDescent="0.2">
      <c r="D70" t="s">
        <v>363</v>
      </c>
      <c r="H70" s="221">
        <v>0</v>
      </c>
    </row>
    <row r="71" spans="3:8" x14ac:dyDescent="0.2">
      <c r="D71" t="s">
        <v>364</v>
      </c>
      <c r="H71" s="221">
        <v>0</v>
      </c>
    </row>
    <row r="72" spans="3:8" ht="5.25" customHeight="1" x14ac:dyDescent="0.2">
      <c r="H72" s="45"/>
    </row>
    <row r="73" spans="3:8" x14ac:dyDescent="0.2">
      <c r="C73" s="838" t="s">
        <v>234</v>
      </c>
      <c r="D73" s="831"/>
      <c r="E73" s="831"/>
      <c r="F73" s="831"/>
      <c r="H73" s="68"/>
    </row>
    <row r="74" spans="3:8" x14ac:dyDescent="0.2">
      <c r="D74" t="s">
        <v>362</v>
      </c>
      <c r="H74" s="221">
        <v>0</v>
      </c>
    </row>
    <row r="75" spans="3:8" x14ac:dyDescent="0.2">
      <c r="D75" t="s">
        <v>363</v>
      </c>
      <c r="H75" s="221">
        <v>22357</v>
      </c>
    </row>
    <row r="76" spans="3:8" x14ac:dyDescent="0.2">
      <c r="D76" t="s">
        <v>364</v>
      </c>
      <c r="H76" s="221">
        <v>0</v>
      </c>
    </row>
    <row r="77" spans="3:8" ht="4.5" customHeight="1" x14ac:dyDescent="0.2">
      <c r="H77" s="45"/>
    </row>
    <row r="78" spans="3:8" x14ac:dyDescent="0.2">
      <c r="C78" s="154" t="s">
        <v>235</v>
      </c>
      <c r="H78" s="68"/>
    </row>
    <row r="79" spans="3:8" x14ac:dyDescent="0.2">
      <c r="D79" t="s">
        <v>362</v>
      </c>
      <c r="H79" s="221">
        <v>0</v>
      </c>
    </row>
    <row r="80" spans="3:8" x14ac:dyDescent="0.2">
      <c r="D80" t="s">
        <v>363</v>
      </c>
      <c r="H80" s="221">
        <v>0</v>
      </c>
    </row>
    <row r="81" spans="3:10" x14ac:dyDescent="0.2">
      <c r="D81" t="s">
        <v>364</v>
      </c>
      <c r="H81" s="221">
        <v>0</v>
      </c>
    </row>
    <row r="82" spans="3:10" ht="4.5" customHeight="1" x14ac:dyDescent="0.2">
      <c r="H82" s="45"/>
    </row>
    <row r="83" spans="3:10" ht="12.75" customHeight="1" x14ac:dyDescent="0.2">
      <c r="C83" s="154" t="s">
        <v>236</v>
      </c>
      <c r="H83" s="45"/>
    </row>
    <row r="84" spans="3:10" ht="12.75" customHeight="1" x14ac:dyDescent="0.2">
      <c r="D84" t="s">
        <v>362</v>
      </c>
      <c r="H84" s="221">
        <v>0</v>
      </c>
    </row>
    <row r="85" spans="3:10" ht="12.75" customHeight="1" x14ac:dyDescent="0.2">
      <c r="D85" t="s">
        <v>363</v>
      </c>
      <c r="H85" s="221">
        <v>0</v>
      </c>
    </row>
    <row r="86" spans="3:10" ht="12.75" customHeight="1" x14ac:dyDescent="0.2">
      <c r="D86" t="s">
        <v>364</v>
      </c>
      <c r="H86" s="221">
        <v>0</v>
      </c>
    </row>
    <row r="87" spans="3:10" ht="4.5" customHeight="1" x14ac:dyDescent="0.2">
      <c r="H87" s="45"/>
    </row>
    <row r="88" spans="3:10" ht="12.75" customHeight="1" x14ac:dyDescent="0.2">
      <c r="C88" s="154" t="s">
        <v>237</v>
      </c>
      <c r="H88" s="45"/>
    </row>
    <row r="89" spans="3:10" ht="12.75" customHeight="1" x14ac:dyDescent="0.2">
      <c r="D89" t="s">
        <v>362</v>
      </c>
      <c r="H89" s="221">
        <v>0</v>
      </c>
    </row>
    <row r="90" spans="3:10" ht="12.75" customHeight="1" x14ac:dyDescent="0.2">
      <c r="D90" t="s">
        <v>363</v>
      </c>
      <c r="H90" s="221">
        <v>0</v>
      </c>
    </row>
    <row r="91" spans="3:10" ht="12.75" customHeight="1" x14ac:dyDescent="0.2">
      <c r="D91" t="s">
        <v>364</v>
      </c>
      <c r="H91" s="221">
        <v>0</v>
      </c>
    </row>
    <row r="92" spans="3:10" ht="4.5" customHeight="1" x14ac:dyDescent="0.2">
      <c r="H92" s="44"/>
    </row>
    <row r="93" spans="3:10" ht="12.75" customHeight="1" x14ac:dyDescent="0.2">
      <c r="C93" s="154" t="s">
        <v>238</v>
      </c>
      <c r="H93" s="44"/>
    </row>
    <row r="94" spans="3:10" ht="12.75" customHeight="1" x14ac:dyDescent="0.2">
      <c r="D94" t="s">
        <v>362</v>
      </c>
      <c r="H94" s="221">
        <v>0</v>
      </c>
      <c r="J94" s="564"/>
    </row>
    <row r="95" spans="3:10" ht="12.75" customHeight="1" x14ac:dyDescent="0.2">
      <c r="D95" t="s">
        <v>363</v>
      </c>
      <c r="H95" s="221">
        <v>0</v>
      </c>
    </row>
    <row r="96" spans="3:10" ht="12.75" customHeight="1" x14ac:dyDescent="0.2">
      <c r="D96" t="s">
        <v>364</v>
      </c>
      <c r="H96" s="221">
        <v>0</v>
      </c>
    </row>
    <row r="97" spans="3:8" ht="4.5" customHeight="1" x14ac:dyDescent="0.2">
      <c r="H97" s="44"/>
    </row>
    <row r="98" spans="3:8" ht="12.75" customHeight="1" x14ac:dyDescent="0.2">
      <c r="C98" s="154" t="s">
        <v>239</v>
      </c>
      <c r="H98" s="44"/>
    </row>
    <row r="99" spans="3:8" ht="12.75" customHeight="1" x14ac:dyDescent="0.2">
      <c r="D99" t="s">
        <v>362</v>
      </c>
      <c r="H99" s="221">
        <v>0</v>
      </c>
    </row>
    <row r="100" spans="3:8" ht="12.75" customHeight="1" x14ac:dyDescent="0.2">
      <c r="D100" t="s">
        <v>363</v>
      </c>
      <c r="H100" s="221">
        <v>0</v>
      </c>
    </row>
    <row r="101" spans="3:8" ht="12.75" customHeight="1" x14ac:dyDescent="0.2">
      <c r="D101" t="s">
        <v>364</v>
      </c>
      <c r="H101" s="221">
        <v>0</v>
      </c>
    </row>
    <row r="102" spans="3:8" ht="4.5" customHeight="1" x14ac:dyDescent="0.2">
      <c r="H102" s="44"/>
    </row>
    <row r="103" spans="3:8" ht="12.75" customHeight="1" x14ac:dyDescent="0.2">
      <c r="C103" s="154" t="s">
        <v>243</v>
      </c>
      <c r="H103" s="44"/>
    </row>
    <row r="104" spans="3:8" ht="12.75" customHeight="1" x14ac:dyDescent="0.2">
      <c r="D104" t="s">
        <v>362</v>
      </c>
      <c r="H104" s="221">
        <v>0</v>
      </c>
    </row>
    <row r="105" spans="3:8" ht="12.75" customHeight="1" x14ac:dyDescent="0.2">
      <c r="D105" t="s">
        <v>363</v>
      </c>
      <c r="H105" s="221">
        <v>0</v>
      </c>
    </row>
    <row r="106" spans="3:8" ht="12.75" customHeight="1" x14ac:dyDescent="0.2">
      <c r="D106" t="s">
        <v>364</v>
      </c>
      <c r="H106" s="221">
        <v>0</v>
      </c>
    </row>
    <row r="107" spans="3:8" ht="4.5" customHeight="1" x14ac:dyDescent="0.2">
      <c r="H107" s="44"/>
    </row>
    <row r="108" spans="3:8" ht="12.75" customHeight="1" x14ac:dyDescent="0.2">
      <c r="C108" s="154" t="s">
        <v>244</v>
      </c>
      <c r="H108" s="44"/>
    </row>
    <row r="109" spans="3:8" ht="12.75" customHeight="1" x14ac:dyDescent="0.2">
      <c r="D109" t="s">
        <v>362</v>
      </c>
      <c r="H109" s="221">
        <v>0</v>
      </c>
    </row>
    <row r="110" spans="3:8" ht="12.75" customHeight="1" x14ac:dyDescent="0.2">
      <c r="D110" t="s">
        <v>363</v>
      </c>
      <c r="H110" s="221">
        <v>0</v>
      </c>
    </row>
    <row r="111" spans="3:8" ht="12.75" customHeight="1" x14ac:dyDescent="0.2">
      <c r="D111" t="s">
        <v>364</v>
      </c>
      <c r="H111" s="221">
        <v>0</v>
      </c>
    </row>
    <row r="112" spans="3:8" ht="4.5" customHeight="1" x14ac:dyDescent="0.2">
      <c r="H112" s="44"/>
    </row>
    <row r="113" spans="3:8" ht="12.75" customHeight="1" x14ac:dyDescent="0.2">
      <c r="C113" s="154" t="s">
        <v>240</v>
      </c>
      <c r="H113" s="44"/>
    </row>
    <row r="114" spans="3:8" ht="12.75" customHeight="1" x14ac:dyDescent="0.2">
      <c r="D114" t="s">
        <v>362</v>
      </c>
      <c r="H114" s="221">
        <v>0</v>
      </c>
    </row>
    <row r="115" spans="3:8" ht="12.75" customHeight="1" x14ac:dyDescent="0.2">
      <c r="D115" t="s">
        <v>363</v>
      </c>
      <c r="H115" s="221">
        <v>0</v>
      </c>
    </row>
    <row r="116" spans="3:8" ht="12.75" customHeight="1" x14ac:dyDescent="0.2">
      <c r="D116" t="s">
        <v>364</v>
      </c>
      <c r="H116" s="221">
        <v>0</v>
      </c>
    </row>
    <row r="117" spans="3:8" ht="4.5" customHeight="1" x14ac:dyDescent="0.2">
      <c r="H117" s="45"/>
    </row>
    <row r="118" spans="3:8" ht="12.75" customHeight="1" x14ac:dyDescent="0.2">
      <c r="C118" t="s">
        <v>241</v>
      </c>
      <c r="H118" s="45"/>
    </row>
    <row r="119" spans="3:8" ht="12.75" customHeight="1" x14ac:dyDescent="0.2">
      <c r="D119" t="s">
        <v>362</v>
      </c>
      <c r="H119" s="221">
        <v>0</v>
      </c>
    </row>
    <row r="120" spans="3:8" ht="12.75" customHeight="1" x14ac:dyDescent="0.2">
      <c r="D120" t="s">
        <v>363</v>
      </c>
      <c r="H120" s="221">
        <v>0</v>
      </c>
    </row>
    <row r="121" spans="3:8" ht="12.75" customHeight="1" x14ac:dyDescent="0.2">
      <c r="D121" t="s">
        <v>364</v>
      </c>
      <c r="H121" s="221">
        <v>0</v>
      </c>
    </row>
    <row r="122" spans="3:8" ht="4.5" customHeight="1" x14ac:dyDescent="0.2">
      <c r="H122" s="45"/>
    </row>
    <row r="123" spans="3:8" ht="12.75" customHeight="1" x14ac:dyDescent="0.2">
      <c r="C123" t="s">
        <v>242</v>
      </c>
      <c r="H123" s="45"/>
    </row>
    <row r="124" spans="3:8" ht="12.75" customHeight="1" x14ac:dyDescent="0.2">
      <c r="D124" t="s">
        <v>362</v>
      </c>
      <c r="H124" s="221">
        <v>0</v>
      </c>
    </row>
    <row r="125" spans="3:8" ht="12.75" customHeight="1" x14ac:dyDescent="0.2">
      <c r="D125" t="s">
        <v>363</v>
      </c>
      <c r="H125" s="221">
        <v>1111</v>
      </c>
    </row>
    <row r="126" spans="3:8" ht="12.75" customHeight="1" x14ac:dyDescent="0.2">
      <c r="D126" t="s">
        <v>364</v>
      </c>
      <c r="H126" s="221">
        <v>0</v>
      </c>
    </row>
    <row r="127" spans="3:8" ht="4.5" customHeight="1" x14ac:dyDescent="0.2">
      <c r="H127" s="44"/>
    </row>
    <row r="128" spans="3:8" ht="12.75" customHeight="1" x14ac:dyDescent="0.2">
      <c r="C128" t="s">
        <v>216</v>
      </c>
      <c r="H128" s="44"/>
    </row>
    <row r="129" spans="1:15" ht="12.75" customHeight="1" x14ac:dyDescent="0.2">
      <c r="D129" t="s">
        <v>203</v>
      </c>
      <c r="H129" s="221">
        <v>125000</v>
      </c>
    </row>
    <row r="130" spans="1:15" ht="12.75" customHeight="1" x14ac:dyDescent="0.2">
      <c r="D130" t="s">
        <v>660</v>
      </c>
      <c r="H130" s="221">
        <v>0</v>
      </c>
    </row>
    <row r="131" spans="1:15" ht="12.75" customHeight="1" x14ac:dyDescent="0.2">
      <c r="D131" t="s">
        <v>204</v>
      </c>
      <c r="H131" s="221">
        <v>347531</v>
      </c>
    </row>
    <row r="132" spans="1:15" ht="12.75" customHeight="1" x14ac:dyDescent="0.2">
      <c r="D132" t="s">
        <v>200</v>
      </c>
      <c r="H132" s="221">
        <v>0</v>
      </c>
    </row>
    <row r="133" spans="1:15" ht="12.75" customHeight="1" x14ac:dyDescent="0.2">
      <c r="D133" t="s">
        <v>217</v>
      </c>
      <c r="H133" s="221">
        <v>27941</v>
      </c>
      <c r="N133" s="5"/>
    </row>
    <row r="134" spans="1:15" ht="12.75" customHeight="1" x14ac:dyDescent="0.2">
      <c r="D134" t="s">
        <v>201</v>
      </c>
      <c r="H134" s="221">
        <v>7725</v>
      </c>
    </row>
    <row r="135" spans="1:15" ht="12.75" customHeight="1" x14ac:dyDescent="0.2">
      <c r="D135" t="s">
        <v>202</v>
      </c>
      <c r="H135" s="221">
        <v>16087</v>
      </c>
    </row>
    <row r="136" spans="1:15" ht="4.5" customHeight="1" x14ac:dyDescent="0.2">
      <c r="H136" s="45"/>
    </row>
    <row r="137" spans="1:15" ht="12.75" customHeight="1" x14ac:dyDescent="0.2">
      <c r="B137" s="2"/>
      <c r="C137" s="862" t="s">
        <v>568</v>
      </c>
      <c r="D137" s="862"/>
      <c r="E137" s="862"/>
      <c r="F137" s="862"/>
      <c r="H137" s="221">
        <v>0</v>
      </c>
    </row>
    <row r="138" spans="1:15" ht="12.75" customHeight="1" x14ac:dyDescent="0.2">
      <c r="B138" s="2"/>
      <c r="C138" s="862" t="s">
        <v>569</v>
      </c>
      <c r="D138" s="862"/>
      <c r="E138" s="862"/>
      <c r="F138" s="862"/>
      <c r="H138" s="221">
        <v>0</v>
      </c>
      <c r="J138" s="975" t="str">
        <f>IF(H37=H140," ","Recheck numbers in Sections A or B. Entry out of balance!")</f>
        <v xml:space="preserve"> </v>
      </c>
      <c r="K138" s="975"/>
      <c r="L138" s="975"/>
    </row>
    <row r="139" spans="1:15" ht="12.75" customHeight="1" x14ac:dyDescent="0.2">
      <c r="H139" s="44"/>
      <c r="J139" s="975"/>
      <c r="K139" s="975"/>
      <c r="L139" s="975"/>
      <c r="N139" s="189"/>
    </row>
    <row r="140" spans="1:15" ht="22.5" customHeight="1" thickBot="1" x14ac:dyDescent="0.25">
      <c r="D140" t="s">
        <v>155</v>
      </c>
      <c r="G140" s="48" t="s">
        <v>141</v>
      </c>
      <c r="H140" s="67">
        <f>SUM(H43:H139)</f>
        <v>570409</v>
      </c>
      <c r="J140" s="975"/>
      <c r="K140" s="975"/>
      <c r="L140" s="975"/>
    </row>
    <row r="141" spans="1:15" ht="12.75" customHeight="1" thickTop="1" x14ac:dyDescent="0.2"/>
    <row r="143" spans="1:15" ht="26.25" customHeight="1" x14ac:dyDescent="0.2">
      <c r="A143" s="765" t="s">
        <v>515</v>
      </c>
      <c r="B143" s="971" t="s">
        <v>114</v>
      </c>
      <c r="C143" s="972"/>
      <c r="D143" s="972"/>
      <c r="E143" s="972"/>
      <c r="F143" s="972"/>
      <c r="G143" s="972"/>
      <c r="H143" s="972"/>
      <c r="I143" s="972"/>
      <c r="J143" s="972"/>
      <c r="K143" s="972"/>
      <c r="L143" s="972"/>
      <c r="M143" s="972"/>
      <c r="N143" s="972"/>
      <c r="O143" s="973"/>
    </row>
    <row r="144" spans="1:15" ht="12.75" customHeight="1" x14ac:dyDescent="0.2">
      <c r="A144" s="4"/>
      <c r="B144" s="41"/>
      <c r="C144" s="41"/>
      <c r="D144" s="41"/>
      <c r="E144" s="41"/>
      <c r="F144" s="41"/>
      <c r="G144" s="41"/>
      <c r="H144" s="41"/>
      <c r="I144" s="41"/>
      <c r="J144" s="41"/>
      <c r="K144" s="41"/>
      <c r="L144" s="41"/>
      <c r="M144" s="41"/>
      <c r="N144" s="41"/>
      <c r="O144" s="41"/>
    </row>
    <row r="145" spans="2:14" x14ac:dyDescent="0.2">
      <c r="K145" s="37"/>
      <c r="L145" s="46" t="s">
        <v>645</v>
      </c>
      <c r="N145" s="46" t="s">
        <v>646</v>
      </c>
    </row>
    <row r="146" spans="2:14" ht="6" customHeight="1" x14ac:dyDescent="0.2">
      <c r="K146" s="37"/>
      <c r="L146" s="37"/>
      <c r="N146" s="37"/>
    </row>
    <row r="147" spans="2:14" ht="12.75" customHeight="1" x14ac:dyDescent="0.2">
      <c r="B147" t="s">
        <v>393</v>
      </c>
      <c r="K147" s="37"/>
      <c r="L147" s="181">
        <f t="shared" ref="L147:L155" si="0">H27</f>
        <v>364636</v>
      </c>
      <c r="N147" s="97"/>
    </row>
    <row r="148" spans="2:14" ht="12.75" customHeight="1" x14ac:dyDescent="0.2">
      <c r="B148" t="s">
        <v>394</v>
      </c>
      <c r="K148" s="37"/>
      <c r="L148" s="181">
        <f t="shared" si="0"/>
        <v>125000</v>
      </c>
      <c r="N148" s="97"/>
    </row>
    <row r="149" spans="2:14" x14ac:dyDescent="0.2">
      <c r="B149" t="s">
        <v>395</v>
      </c>
      <c r="I149" s="11"/>
      <c r="K149" s="78"/>
      <c r="L149" s="69">
        <f t="shared" si="0"/>
        <v>56961</v>
      </c>
      <c r="N149" s="69"/>
    </row>
    <row r="150" spans="2:14" x14ac:dyDescent="0.2">
      <c r="B150" t="s">
        <v>567</v>
      </c>
      <c r="I150" s="11"/>
      <c r="K150" s="78"/>
      <c r="L150" s="69">
        <f t="shared" si="0"/>
        <v>7725</v>
      </c>
      <c r="N150" s="69"/>
    </row>
    <row r="151" spans="2:14" x14ac:dyDescent="0.2">
      <c r="B151" t="s">
        <v>543</v>
      </c>
      <c r="K151" s="78"/>
      <c r="L151" s="69">
        <f t="shared" si="0"/>
        <v>16087</v>
      </c>
      <c r="N151" s="69"/>
    </row>
    <row r="152" spans="2:14" x14ac:dyDescent="0.2">
      <c r="B152" t="str">
        <f>C32</f>
        <v>Other revenue source #1</v>
      </c>
      <c r="K152" s="78"/>
      <c r="L152" s="69">
        <f t="shared" si="0"/>
        <v>0</v>
      </c>
      <c r="N152" s="69"/>
    </row>
    <row r="153" spans="2:14" x14ac:dyDescent="0.2">
      <c r="B153" t="str">
        <f>C33</f>
        <v>Other revenue source #2</v>
      </c>
      <c r="K153" s="78"/>
      <c r="L153" s="69">
        <f t="shared" si="0"/>
        <v>0</v>
      </c>
      <c r="N153" s="69"/>
    </row>
    <row r="154" spans="2:14" x14ac:dyDescent="0.2">
      <c r="B154" s="862" t="s">
        <v>16</v>
      </c>
      <c r="C154" s="862"/>
      <c r="D154" s="862"/>
      <c r="E154" s="862"/>
      <c r="K154" s="78"/>
      <c r="L154" s="69">
        <f t="shared" si="0"/>
        <v>0</v>
      </c>
      <c r="N154" s="69"/>
    </row>
    <row r="155" spans="2:14" x14ac:dyDescent="0.2">
      <c r="B155" s="862" t="s">
        <v>17</v>
      </c>
      <c r="C155" s="862"/>
      <c r="D155" s="862"/>
      <c r="E155" s="862"/>
      <c r="K155" s="78"/>
      <c r="L155" s="69">
        <f t="shared" si="0"/>
        <v>0</v>
      </c>
      <c r="N155" s="69"/>
    </row>
    <row r="156" spans="2:14" x14ac:dyDescent="0.2">
      <c r="K156" s="78"/>
      <c r="L156" s="69"/>
      <c r="N156" s="69"/>
    </row>
    <row r="157" spans="2:14" ht="12.75" customHeight="1" x14ac:dyDescent="0.2">
      <c r="C157" t="s">
        <v>71</v>
      </c>
      <c r="F157" s="118" t="s">
        <v>570</v>
      </c>
      <c r="K157" s="11"/>
      <c r="L157" s="69"/>
      <c r="N157" s="69">
        <f>H44</f>
        <v>0</v>
      </c>
    </row>
    <row r="158" spans="2:14" ht="12.75" customHeight="1" x14ac:dyDescent="0.2">
      <c r="C158" t="s">
        <v>71</v>
      </c>
      <c r="F158" s="118" t="s">
        <v>571</v>
      </c>
      <c r="K158" s="11"/>
      <c r="L158" s="69"/>
      <c r="N158" s="69">
        <f>H45</f>
        <v>22657</v>
      </c>
    </row>
    <row r="159" spans="2:14" ht="12.75" customHeight="1" x14ac:dyDescent="0.2">
      <c r="C159" t="s">
        <v>71</v>
      </c>
      <c r="F159" s="118" t="s">
        <v>72</v>
      </c>
      <c r="K159" s="11"/>
      <c r="L159" s="69"/>
      <c r="N159" s="69">
        <f>H46</f>
        <v>0</v>
      </c>
    </row>
    <row r="160" spans="2:14" ht="5.45" customHeight="1" x14ac:dyDescent="0.2">
      <c r="F160" s="118"/>
      <c r="K160" s="11"/>
      <c r="L160" s="69"/>
      <c r="N160" s="69"/>
    </row>
    <row r="161" spans="3:14" ht="12.75" customHeight="1" x14ac:dyDescent="0.2">
      <c r="C161" t="s">
        <v>245</v>
      </c>
      <c r="F161" s="118" t="s">
        <v>570</v>
      </c>
      <c r="K161" s="11"/>
      <c r="L161" s="69"/>
      <c r="N161" s="69">
        <f>H49</f>
        <v>0</v>
      </c>
    </row>
    <row r="162" spans="3:14" ht="12.75" customHeight="1" x14ac:dyDescent="0.2">
      <c r="C162" t="s">
        <v>245</v>
      </c>
      <c r="F162" s="118" t="s">
        <v>571</v>
      </c>
      <c r="K162" s="11"/>
      <c r="L162" s="69"/>
      <c r="M162" s="48"/>
      <c r="N162" s="69">
        <f>H50</f>
        <v>0</v>
      </c>
    </row>
    <row r="163" spans="3:14" ht="12.75" customHeight="1" x14ac:dyDescent="0.2">
      <c r="C163" t="s">
        <v>245</v>
      </c>
      <c r="F163" s="118" t="s">
        <v>72</v>
      </c>
      <c r="K163" s="11"/>
      <c r="L163" s="69"/>
      <c r="N163" s="69">
        <f>H51</f>
        <v>0</v>
      </c>
    </row>
    <row r="164" spans="3:14" ht="5.45" customHeight="1" x14ac:dyDescent="0.2">
      <c r="F164" s="118"/>
      <c r="K164" s="11"/>
      <c r="L164" s="69"/>
      <c r="N164" s="69"/>
    </row>
    <row r="165" spans="3:14" ht="12.75" customHeight="1" x14ac:dyDescent="0.2">
      <c r="C165" t="s">
        <v>246</v>
      </c>
      <c r="F165" s="118" t="s">
        <v>570</v>
      </c>
      <c r="K165" s="11"/>
      <c r="L165" s="69"/>
      <c r="N165" s="69">
        <f>H54</f>
        <v>0</v>
      </c>
    </row>
    <row r="166" spans="3:14" ht="12.75" customHeight="1" x14ac:dyDescent="0.2">
      <c r="C166" t="s">
        <v>246</v>
      </c>
      <c r="F166" s="118" t="s">
        <v>571</v>
      </c>
      <c r="K166" s="11"/>
      <c r="L166" s="69"/>
      <c r="N166" s="69">
        <f>H55</f>
        <v>0</v>
      </c>
    </row>
    <row r="167" spans="3:14" ht="12.75" customHeight="1" x14ac:dyDescent="0.2">
      <c r="C167" t="s">
        <v>246</v>
      </c>
      <c r="F167" s="118" t="s">
        <v>72</v>
      </c>
      <c r="K167" s="11"/>
      <c r="L167" s="69"/>
      <c r="N167" s="69">
        <f>H56</f>
        <v>0</v>
      </c>
    </row>
    <row r="168" spans="3:14" ht="5.45" customHeight="1" x14ac:dyDescent="0.2">
      <c r="F168" s="118"/>
      <c r="K168" s="11"/>
      <c r="L168" s="69"/>
      <c r="N168" s="69"/>
    </row>
    <row r="169" spans="3:14" ht="12.75" customHeight="1" x14ac:dyDescent="0.2">
      <c r="C169" t="s">
        <v>247</v>
      </c>
      <c r="F169" s="118" t="s">
        <v>570</v>
      </c>
      <c r="K169" s="11"/>
      <c r="L169" s="69"/>
      <c r="N169" s="69">
        <f>H59</f>
        <v>0</v>
      </c>
    </row>
    <row r="170" spans="3:14" ht="12.75" customHeight="1" x14ac:dyDescent="0.2">
      <c r="C170" t="s">
        <v>247</v>
      </c>
      <c r="F170" s="118" t="s">
        <v>571</v>
      </c>
      <c r="K170" s="11"/>
      <c r="L170" s="69"/>
      <c r="N170" s="69">
        <f>H60</f>
        <v>0</v>
      </c>
    </row>
    <row r="171" spans="3:14" ht="12.75" customHeight="1" x14ac:dyDescent="0.2">
      <c r="C171" t="s">
        <v>247</v>
      </c>
      <c r="F171" s="118" t="s">
        <v>72</v>
      </c>
      <c r="K171" s="11"/>
      <c r="L171" s="69"/>
      <c r="N171" s="69">
        <f>H61</f>
        <v>0</v>
      </c>
    </row>
    <row r="172" spans="3:14" ht="5.45" customHeight="1" x14ac:dyDescent="0.2">
      <c r="F172" s="118"/>
      <c r="K172" s="11"/>
      <c r="L172" s="69"/>
      <c r="N172" s="69"/>
    </row>
    <row r="173" spans="3:14" ht="12.75" customHeight="1" x14ac:dyDescent="0.2">
      <c r="C173" t="s">
        <v>248</v>
      </c>
      <c r="F173" s="118" t="s">
        <v>570</v>
      </c>
      <c r="K173" s="11"/>
      <c r="L173" s="69"/>
      <c r="N173" s="69">
        <f>H64</f>
        <v>0</v>
      </c>
    </row>
    <row r="174" spans="3:14" ht="12.75" customHeight="1" x14ac:dyDescent="0.2">
      <c r="C174" t="s">
        <v>248</v>
      </c>
      <c r="F174" s="118" t="s">
        <v>571</v>
      </c>
      <c r="K174" s="11"/>
      <c r="L174" s="69"/>
      <c r="N174" s="69">
        <f>H65</f>
        <v>0</v>
      </c>
    </row>
    <row r="175" spans="3:14" ht="12.75" customHeight="1" x14ac:dyDescent="0.2">
      <c r="C175" t="s">
        <v>248</v>
      </c>
      <c r="F175" s="118" t="s">
        <v>72</v>
      </c>
      <c r="K175" s="11"/>
      <c r="L175" s="69"/>
      <c r="N175" s="69">
        <f>H66</f>
        <v>0</v>
      </c>
    </row>
    <row r="176" spans="3:14" ht="5.45" customHeight="1" x14ac:dyDescent="0.2">
      <c r="F176" s="118"/>
      <c r="K176" s="11"/>
      <c r="L176" s="69"/>
      <c r="N176" s="69"/>
    </row>
    <row r="177" spans="3:14" ht="12.75" customHeight="1" x14ac:dyDescent="0.2">
      <c r="C177" t="s">
        <v>249</v>
      </c>
      <c r="F177" s="118" t="s">
        <v>570</v>
      </c>
      <c r="K177" s="11"/>
      <c r="L177" s="69"/>
      <c r="N177" s="69">
        <f>H69</f>
        <v>0</v>
      </c>
    </row>
    <row r="178" spans="3:14" ht="12.75" customHeight="1" x14ac:dyDescent="0.2">
      <c r="C178" t="s">
        <v>249</v>
      </c>
      <c r="F178" s="118" t="s">
        <v>571</v>
      </c>
      <c r="K178" s="11"/>
      <c r="L178" s="69"/>
      <c r="N178" s="69">
        <f>H70</f>
        <v>0</v>
      </c>
    </row>
    <row r="179" spans="3:14" ht="12.75" customHeight="1" x14ac:dyDescent="0.2">
      <c r="C179" t="s">
        <v>249</v>
      </c>
      <c r="F179" s="118" t="s">
        <v>72</v>
      </c>
      <c r="K179" s="11"/>
      <c r="L179" s="69"/>
      <c r="N179" s="69">
        <f>H71</f>
        <v>0</v>
      </c>
    </row>
    <row r="180" spans="3:14" ht="5.45" customHeight="1" x14ac:dyDescent="0.2">
      <c r="F180" s="118"/>
      <c r="K180" s="11"/>
      <c r="L180" s="69"/>
      <c r="N180" s="69"/>
    </row>
    <row r="181" spans="3:14" ht="12.75" customHeight="1" x14ac:dyDescent="0.2">
      <c r="C181" t="s">
        <v>250</v>
      </c>
      <c r="F181" s="118" t="s">
        <v>570</v>
      </c>
      <c r="K181" s="11"/>
      <c r="L181" s="69"/>
      <c r="N181" s="69">
        <f>H74</f>
        <v>0</v>
      </c>
    </row>
    <row r="182" spans="3:14" ht="12.75" customHeight="1" x14ac:dyDescent="0.2">
      <c r="C182" t="s">
        <v>250</v>
      </c>
      <c r="F182" s="118" t="s">
        <v>571</v>
      </c>
      <c r="K182" s="11"/>
      <c r="L182" s="69"/>
      <c r="N182" s="69">
        <f>H75</f>
        <v>22357</v>
      </c>
    </row>
    <row r="183" spans="3:14" ht="12.75" customHeight="1" x14ac:dyDescent="0.2">
      <c r="C183" t="s">
        <v>250</v>
      </c>
      <c r="F183" s="118" t="s">
        <v>72</v>
      </c>
      <c r="K183" s="11"/>
      <c r="L183" s="69"/>
      <c r="N183" s="69">
        <f>H76</f>
        <v>0</v>
      </c>
    </row>
    <row r="184" spans="3:14" ht="5.45" customHeight="1" x14ac:dyDescent="0.2">
      <c r="F184" s="118"/>
      <c r="K184" s="11"/>
      <c r="L184" s="69"/>
      <c r="N184" s="69"/>
    </row>
    <row r="185" spans="3:14" ht="12.75" customHeight="1" x14ac:dyDescent="0.2">
      <c r="C185" t="s">
        <v>251</v>
      </c>
      <c r="F185" s="118" t="s">
        <v>570</v>
      </c>
      <c r="K185" s="11"/>
      <c r="L185" s="69"/>
      <c r="N185" s="69">
        <f>H79</f>
        <v>0</v>
      </c>
    </row>
    <row r="186" spans="3:14" ht="12.75" customHeight="1" x14ac:dyDescent="0.2">
      <c r="C186" t="s">
        <v>251</v>
      </c>
      <c r="F186" s="118" t="s">
        <v>571</v>
      </c>
      <c r="K186" s="11"/>
      <c r="L186" s="69"/>
      <c r="N186" s="69">
        <f>H80</f>
        <v>0</v>
      </c>
    </row>
    <row r="187" spans="3:14" ht="12.75" customHeight="1" x14ac:dyDescent="0.2">
      <c r="C187" t="s">
        <v>251</v>
      </c>
      <c r="F187" s="118" t="s">
        <v>72</v>
      </c>
      <c r="K187" s="11"/>
      <c r="L187" s="69"/>
      <c r="N187" s="69">
        <f>H81</f>
        <v>0</v>
      </c>
    </row>
    <row r="188" spans="3:14" ht="5.45" customHeight="1" x14ac:dyDescent="0.2">
      <c r="F188" s="118"/>
      <c r="K188" s="11"/>
      <c r="L188" s="69"/>
      <c r="N188" s="69"/>
    </row>
    <row r="189" spans="3:14" ht="12.75" customHeight="1" x14ac:dyDescent="0.2">
      <c r="C189" t="s">
        <v>252</v>
      </c>
      <c r="F189" s="118" t="s">
        <v>570</v>
      </c>
      <c r="K189" s="11"/>
      <c r="L189" s="69"/>
      <c r="N189" s="69">
        <f>H84</f>
        <v>0</v>
      </c>
    </row>
    <row r="190" spans="3:14" ht="12.75" customHeight="1" x14ac:dyDescent="0.2">
      <c r="C190" t="s">
        <v>252</v>
      </c>
      <c r="F190" s="118" t="s">
        <v>571</v>
      </c>
      <c r="K190" s="11"/>
      <c r="L190" s="69"/>
      <c r="N190" s="69">
        <f>H85</f>
        <v>0</v>
      </c>
    </row>
    <row r="191" spans="3:14" ht="12.75" customHeight="1" x14ac:dyDescent="0.2">
      <c r="C191" t="s">
        <v>252</v>
      </c>
      <c r="F191" s="118" t="s">
        <v>72</v>
      </c>
      <c r="K191" s="11"/>
      <c r="L191" s="69"/>
      <c r="N191" s="69">
        <f>H86</f>
        <v>0</v>
      </c>
    </row>
    <row r="192" spans="3:14" ht="5.45" customHeight="1" x14ac:dyDescent="0.2">
      <c r="F192" s="118"/>
      <c r="K192" s="11"/>
      <c r="L192" s="69"/>
      <c r="N192" s="69"/>
    </row>
    <row r="193" spans="3:14" ht="12.75" customHeight="1" x14ac:dyDescent="0.2">
      <c r="C193" t="s">
        <v>253</v>
      </c>
      <c r="F193" s="118" t="s">
        <v>570</v>
      </c>
      <c r="K193" s="11"/>
      <c r="L193" s="69"/>
      <c r="N193" s="69">
        <f>H89</f>
        <v>0</v>
      </c>
    </row>
    <row r="194" spans="3:14" ht="12.75" customHeight="1" x14ac:dyDescent="0.2">
      <c r="C194" t="s">
        <v>253</v>
      </c>
      <c r="F194" s="118" t="s">
        <v>571</v>
      </c>
      <c r="K194" s="11"/>
      <c r="L194" s="69"/>
      <c r="N194" s="69">
        <f>H90</f>
        <v>0</v>
      </c>
    </row>
    <row r="195" spans="3:14" ht="12.75" customHeight="1" x14ac:dyDescent="0.2">
      <c r="C195" t="s">
        <v>253</v>
      </c>
      <c r="F195" s="118" t="s">
        <v>72</v>
      </c>
      <c r="K195" s="11"/>
      <c r="L195" s="69"/>
      <c r="N195" s="69">
        <f>H91</f>
        <v>0</v>
      </c>
    </row>
    <row r="196" spans="3:14" ht="5.45" customHeight="1" x14ac:dyDescent="0.2">
      <c r="F196" s="118"/>
      <c r="K196" s="11"/>
      <c r="L196" s="69"/>
      <c r="N196" s="69"/>
    </row>
    <row r="197" spans="3:14" ht="12.75" customHeight="1" x14ac:dyDescent="0.2">
      <c r="C197" t="s">
        <v>254</v>
      </c>
      <c r="F197" s="118" t="s">
        <v>570</v>
      </c>
      <c r="K197" s="11"/>
      <c r="L197" s="69"/>
      <c r="N197" s="69">
        <f>H94</f>
        <v>0</v>
      </c>
    </row>
    <row r="198" spans="3:14" ht="12.75" customHeight="1" x14ac:dyDescent="0.2">
      <c r="C198" t="s">
        <v>254</v>
      </c>
      <c r="F198" s="118" t="s">
        <v>571</v>
      </c>
      <c r="K198" s="11"/>
      <c r="L198" s="69"/>
      <c r="N198" s="69">
        <f>H95</f>
        <v>0</v>
      </c>
    </row>
    <row r="199" spans="3:14" ht="12.75" customHeight="1" x14ac:dyDescent="0.2">
      <c r="C199" t="s">
        <v>254</v>
      </c>
      <c r="F199" s="118" t="s">
        <v>72</v>
      </c>
      <c r="K199" s="11"/>
      <c r="L199" s="69"/>
      <c r="N199" s="69">
        <f>H96</f>
        <v>0</v>
      </c>
    </row>
    <row r="200" spans="3:14" ht="5.45" customHeight="1" x14ac:dyDescent="0.2">
      <c r="F200" s="118"/>
      <c r="K200" s="11"/>
      <c r="L200" s="69"/>
      <c r="N200" s="69"/>
    </row>
    <row r="201" spans="3:14" ht="12.75" customHeight="1" x14ac:dyDescent="0.2">
      <c r="C201" t="s">
        <v>255</v>
      </c>
      <c r="F201" s="118" t="s">
        <v>570</v>
      </c>
      <c r="K201" s="11"/>
      <c r="L201" s="69"/>
      <c r="N201" s="69">
        <f>H99</f>
        <v>0</v>
      </c>
    </row>
    <row r="202" spans="3:14" ht="12.75" customHeight="1" x14ac:dyDescent="0.2">
      <c r="C202" t="s">
        <v>255</v>
      </c>
      <c r="F202" s="118" t="s">
        <v>571</v>
      </c>
      <c r="K202" s="11"/>
      <c r="L202" s="69"/>
      <c r="N202" s="69">
        <f>H100</f>
        <v>0</v>
      </c>
    </row>
    <row r="203" spans="3:14" ht="12.75" customHeight="1" x14ac:dyDescent="0.2">
      <c r="C203" t="s">
        <v>255</v>
      </c>
      <c r="F203" s="118" t="s">
        <v>72</v>
      </c>
      <c r="K203" s="11"/>
      <c r="L203" s="69"/>
      <c r="N203" s="69">
        <f>H101</f>
        <v>0</v>
      </c>
    </row>
    <row r="204" spans="3:14" ht="5.45" customHeight="1" x14ac:dyDescent="0.2">
      <c r="F204" s="118"/>
      <c r="K204" s="11"/>
      <c r="L204" s="69"/>
      <c r="N204" s="69"/>
    </row>
    <row r="205" spans="3:14" ht="12.75" customHeight="1" x14ac:dyDescent="0.2">
      <c r="C205" t="s">
        <v>258</v>
      </c>
      <c r="F205" s="118" t="s">
        <v>570</v>
      </c>
      <c r="K205" s="11"/>
      <c r="L205" s="69"/>
      <c r="N205" s="69">
        <f>H104</f>
        <v>0</v>
      </c>
    </row>
    <row r="206" spans="3:14" ht="12.75" customHeight="1" x14ac:dyDescent="0.2">
      <c r="C206" t="s">
        <v>258</v>
      </c>
      <c r="F206" s="118" t="s">
        <v>571</v>
      </c>
      <c r="K206" s="11"/>
      <c r="L206" s="69"/>
      <c r="N206" s="69">
        <f>H105</f>
        <v>0</v>
      </c>
    </row>
    <row r="207" spans="3:14" ht="12.75" customHeight="1" x14ac:dyDescent="0.2">
      <c r="C207" t="s">
        <v>258</v>
      </c>
      <c r="F207" s="118" t="s">
        <v>72</v>
      </c>
      <c r="K207" s="11"/>
      <c r="L207" s="69"/>
      <c r="N207" s="69">
        <f>H106</f>
        <v>0</v>
      </c>
    </row>
    <row r="208" spans="3:14" ht="5.45" customHeight="1" x14ac:dyDescent="0.2">
      <c r="F208" s="118"/>
      <c r="K208" s="11"/>
      <c r="L208" s="69"/>
      <c r="N208" s="69"/>
    </row>
    <row r="209" spans="3:14" ht="12.75" customHeight="1" x14ac:dyDescent="0.2">
      <c r="C209" t="s">
        <v>259</v>
      </c>
      <c r="F209" s="118" t="s">
        <v>570</v>
      </c>
      <c r="K209" s="11"/>
      <c r="L209" s="69"/>
      <c r="N209" s="69">
        <f>H109</f>
        <v>0</v>
      </c>
    </row>
    <row r="210" spans="3:14" ht="12.75" customHeight="1" x14ac:dyDescent="0.2">
      <c r="C210" t="s">
        <v>259</v>
      </c>
      <c r="F210" s="118" t="s">
        <v>571</v>
      </c>
      <c r="K210" s="11"/>
      <c r="L210" s="69"/>
      <c r="N210" s="69">
        <f>H110</f>
        <v>0</v>
      </c>
    </row>
    <row r="211" spans="3:14" ht="12.75" customHeight="1" x14ac:dyDescent="0.2">
      <c r="C211" t="s">
        <v>259</v>
      </c>
      <c r="F211" s="118" t="s">
        <v>72</v>
      </c>
      <c r="K211" s="11"/>
      <c r="L211" s="69"/>
      <c r="N211" s="69">
        <f>H111</f>
        <v>0</v>
      </c>
    </row>
    <row r="212" spans="3:14" ht="5.45" customHeight="1" x14ac:dyDescent="0.2">
      <c r="F212" s="118"/>
      <c r="K212" s="11"/>
      <c r="L212" s="69"/>
      <c r="N212" s="69"/>
    </row>
    <row r="213" spans="3:14" x14ac:dyDescent="0.2">
      <c r="C213" s="154" t="s">
        <v>256</v>
      </c>
      <c r="F213" s="118" t="s">
        <v>570</v>
      </c>
      <c r="K213" s="11"/>
      <c r="L213" s="69"/>
      <c r="N213" s="69">
        <f>H114</f>
        <v>0</v>
      </c>
    </row>
    <row r="214" spans="3:14" ht="12.75" customHeight="1" x14ac:dyDescent="0.2">
      <c r="C214" s="154" t="s">
        <v>256</v>
      </c>
      <c r="F214" s="118" t="s">
        <v>206</v>
      </c>
      <c r="K214" s="11"/>
      <c r="L214" s="69"/>
      <c r="N214" s="69">
        <f>H115</f>
        <v>0</v>
      </c>
    </row>
    <row r="215" spans="3:14" ht="12.75" customHeight="1" x14ac:dyDescent="0.2">
      <c r="C215" s="154" t="s">
        <v>256</v>
      </c>
      <c r="F215" s="118" t="s">
        <v>207</v>
      </c>
      <c r="K215" s="11"/>
      <c r="L215" s="69"/>
      <c r="N215" s="69">
        <f>H116</f>
        <v>0</v>
      </c>
    </row>
    <row r="216" spans="3:14" ht="5.45" customHeight="1" x14ac:dyDescent="0.2">
      <c r="F216" s="118"/>
      <c r="K216" s="11"/>
      <c r="L216" s="69"/>
      <c r="N216" s="69"/>
    </row>
    <row r="217" spans="3:14" ht="12.75" customHeight="1" x14ac:dyDescent="0.2">
      <c r="C217" t="s">
        <v>257</v>
      </c>
      <c r="F217" s="118" t="s">
        <v>570</v>
      </c>
      <c r="K217" s="11"/>
      <c r="L217" s="69"/>
      <c r="N217" s="69">
        <f>H119</f>
        <v>0</v>
      </c>
    </row>
    <row r="218" spans="3:14" ht="12.75" customHeight="1" x14ac:dyDescent="0.2">
      <c r="C218" t="s">
        <v>257</v>
      </c>
      <c r="F218" s="118" t="s">
        <v>571</v>
      </c>
      <c r="K218" s="11"/>
      <c r="L218" s="69"/>
      <c r="N218" s="69">
        <f>H120</f>
        <v>0</v>
      </c>
    </row>
    <row r="219" spans="3:14" ht="12.75" customHeight="1" x14ac:dyDescent="0.2">
      <c r="C219" t="s">
        <v>257</v>
      </c>
      <c r="F219" s="118" t="s">
        <v>72</v>
      </c>
      <c r="K219" s="11"/>
      <c r="L219" s="69"/>
      <c r="N219" s="69">
        <f>H121</f>
        <v>0</v>
      </c>
    </row>
    <row r="220" spans="3:14" ht="5.45" customHeight="1" x14ac:dyDescent="0.2">
      <c r="F220" s="118"/>
      <c r="K220" s="11"/>
      <c r="L220" s="69"/>
      <c r="N220" s="69"/>
    </row>
    <row r="221" spans="3:14" ht="12.75" customHeight="1" x14ac:dyDescent="0.2">
      <c r="C221" t="s">
        <v>55</v>
      </c>
      <c r="F221" s="118" t="s">
        <v>570</v>
      </c>
      <c r="K221" s="11"/>
      <c r="L221" s="69"/>
      <c r="N221" s="69">
        <f>H124</f>
        <v>0</v>
      </c>
    </row>
    <row r="222" spans="3:14" ht="12.75" customHeight="1" x14ac:dyDescent="0.2">
      <c r="C222" t="s">
        <v>55</v>
      </c>
      <c r="F222" s="118" t="s">
        <v>571</v>
      </c>
      <c r="K222" s="11"/>
      <c r="L222" s="69"/>
      <c r="N222" s="69">
        <f>H125</f>
        <v>1111</v>
      </c>
    </row>
    <row r="223" spans="3:14" ht="12.75" customHeight="1" x14ac:dyDescent="0.2">
      <c r="C223" t="s">
        <v>55</v>
      </c>
      <c r="F223" s="118" t="s">
        <v>72</v>
      </c>
      <c r="K223" s="11"/>
      <c r="L223" s="69"/>
      <c r="N223" s="69">
        <f>H126</f>
        <v>0</v>
      </c>
    </row>
    <row r="224" spans="3:14" ht="5.45" customHeight="1" x14ac:dyDescent="0.2">
      <c r="F224" s="118"/>
      <c r="K224" s="11"/>
      <c r="L224" s="69"/>
      <c r="N224" s="69"/>
    </row>
    <row r="225" spans="2:15" ht="12.75" customHeight="1" x14ac:dyDescent="0.2">
      <c r="C225" t="s">
        <v>216</v>
      </c>
      <c r="F225" t="s">
        <v>203</v>
      </c>
      <c r="K225" s="11"/>
      <c r="L225" s="69"/>
      <c r="N225" s="69">
        <f t="shared" ref="N225:N231" si="1">H129</f>
        <v>125000</v>
      </c>
    </row>
    <row r="226" spans="2:15" ht="12.75" customHeight="1" x14ac:dyDescent="0.2">
      <c r="C226" t="s">
        <v>216</v>
      </c>
      <c r="F226" t="s">
        <v>660</v>
      </c>
      <c r="K226" s="11"/>
      <c r="L226" s="69"/>
      <c r="N226" s="69">
        <f t="shared" si="1"/>
        <v>0</v>
      </c>
    </row>
    <row r="227" spans="2:15" ht="12.75" customHeight="1" x14ac:dyDescent="0.2">
      <c r="C227" t="s">
        <v>216</v>
      </c>
      <c r="F227" t="s">
        <v>204</v>
      </c>
      <c r="K227" s="11"/>
      <c r="L227" s="69"/>
      <c r="N227" s="69">
        <f t="shared" si="1"/>
        <v>347531</v>
      </c>
    </row>
    <row r="228" spans="2:15" ht="12.75" customHeight="1" x14ac:dyDescent="0.2">
      <c r="C228" t="s">
        <v>216</v>
      </c>
      <c r="F228" t="s">
        <v>200</v>
      </c>
      <c r="K228" s="11"/>
      <c r="L228" s="69"/>
      <c r="N228" s="69">
        <f t="shared" si="1"/>
        <v>0</v>
      </c>
    </row>
    <row r="229" spans="2:15" ht="12.75" customHeight="1" x14ac:dyDescent="0.2">
      <c r="C229" t="s">
        <v>216</v>
      </c>
      <c r="F229" t="s">
        <v>217</v>
      </c>
      <c r="K229" s="11"/>
      <c r="L229" s="69"/>
      <c r="N229" s="69">
        <f t="shared" si="1"/>
        <v>27941</v>
      </c>
    </row>
    <row r="230" spans="2:15" ht="12.75" customHeight="1" x14ac:dyDescent="0.2">
      <c r="C230" t="s">
        <v>216</v>
      </c>
      <c r="F230" t="s">
        <v>201</v>
      </c>
      <c r="K230" s="11"/>
      <c r="L230" s="69"/>
      <c r="N230" s="69">
        <f t="shared" si="1"/>
        <v>7725</v>
      </c>
    </row>
    <row r="231" spans="2:15" ht="12.75" customHeight="1" x14ac:dyDescent="0.2">
      <c r="C231" t="s">
        <v>216</v>
      </c>
      <c r="F231" s="35" t="s">
        <v>205</v>
      </c>
      <c r="K231" s="11"/>
      <c r="L231" s="69"/>
      <c r="N231" s="69">
        <f t="shared" si="1"/>
        <v>16087</v>
      </c>
    </row>
    <row r="232" spans="2:15" ht="12.75" customHeight="1" x14ac:dyDescent="0.2">
      <c r="C232" t="s">
        <v>340</v>
      </c>
      <c r="K232" s="11"/>
      <c r="L232" s="69"/>
      <c r="N232" s="69">
        <f>H137</f>
        <v>0</v>
      </c>
    </row>
    <row r="233" spans="2:15" ht="12.75" customHeight="1" x14ac:dyDescent="0.2">
      <c r="C233" t="s">
        <v>640</v>
      </c>
      <c r="K233" s="11"/>
      <c r="L233" s="69"/>
      <c r="N233" s="69">
        <f>H138</f>
        <v>0</v>
      </c>
    </row>
    <row r="234" spans="2:15" ht="13.5" thickBot="1" x14ac:dyDescent="0.25">
      <c r="K234" s="8">
        <f>SUM(K149:K233)</f>
        <v>0</v>
      </c>
      <c r="L234" s="66">
        <f>SUM(L147:L233)</f>
        <v>570409</v>
      </c>
      <c r="N234" s="66">
        <f>SUM(N147:N233)</f>
        <v>570409</v>
      </c>
    </row>
    <row r="235" spans="2:15" ht="13.5" thickTop="1" x14ac:dyDescent="0.2"/>
    <row r="238" spans="2:15" ht="24" customHeight="1" x14ac:dyDescent="0.2">
      <c r="B238" s="23"/>
      <c r="C238" s="858" t="s">
        <v>576</v>
      </c>
      <c r="D238" s="858"/>
      <c r="E238" s="858"/>
      <c r="F238" s="858"/>
      <c r="G238" s="858"/>
      <c r="H238" s="858"/>
      <c r="I238" s="858"/>
      <c r="J238" s="858"/>
      <c r="K238" s="858"/>
      <c r="L238" s="858"/>
      <c r="M238" s="858"/>
      <c r="N238" s="858"/>
      <c r="O238" s="858"/>
    </row>
    <row r="240" spans="2:15" x14ac:dyDescent="0.2">
      <c r="C240" s="858" t="s">
        <v>666</v>
      </c>
      <c r="D240" s="858"/>
      <c r="E240" s="858"/>
      <c r="F240" s="858"/>
      <c r="G240" s="858"/>
      <c r="H240" s="858"/>
      <c r="I240" s="858"/>
      <c r="J240" s="858"/>
      <c r="K240" s="858"/>
      <c r="L240" s="858"/>
      <c r="M240" s="858"/>
      <c r="N240" s="858"/>
      <c r="O240" s="858"/>
    </row>
    <row r="241" spans="3:15" x14ac:dyDescent="0.2">
      <c r="C241" s="858"/>
      <c r="D241" s="858"/>
      <c r="E241" s="858"/>
      <c r="F241" s="858"/>
      <c r="G241" s="858"/>
      <c r="H241" s="858"/>
      <c r="I241" s="858"/>
      <c r="J241" s="858"/>
      <c r="K241" s="858"/>
      <c r="L241" s="858"/>
      <c r="M241" s="858"/>
      <c r="N241" s="858"/>
      <c r="O241" s="858"/>
    </row>
  </sheetData>
  <sheetProtection algorithmName="SHA-512" hashValue="S864mUZHIyZwupR//UcaZ6Fz2qClCdtfFz3NOyrnFKjg/hlfTcHHtZyGqsu7hmc7Re4frrBsD5qxgYunXKlTVQ==" saltValue="Oae8tGQIkOdx7wmdiSK5Mw==" spinCount="100000" sheet="1" objects="1" scenarios="1"/>
  <mergeCells count="20">
    <mergeCell ref="B154:E154"/>
    <mergeCell ref="C240:O241"/>
    <mergeCell ref="B155:E155"/>
    <mergeCell ref="C20:O21"/>
    <mergeCell ref="C238:O238"/>
    <mergeCell ref="B143:O143"/>
    <mergeCell ref="C34:F34"/>
    <mergeCell ref="C138:F138"/>
    <mergeCell ref="C137:F137"/>
    <mergeCell ref="B39:O39"/>
    <mergeCell ref="J138:L140"/>
    <mergeCell ref="A2:O2"/>
    <mergeCell ref="B4:P4"/>
    <mergeCell ref="C6:O6"/>
    <mergeCell ref="C8:O9"/>
    <mergeCell ref="C35:F35"/>
    <mergeCell ref="B23:O23"/>
    <mergeCell ref="C11:O12"/>
    <mergeCell ref="C14:O15"/>
    <mergeCell ref="C17:O18"/>
  </mergeCells>
  <phoneticPr fontId="0" type="noConversion"/>
  <printOptions horizontalCentered="1"/>
  <pageMargins left="0.5" right="0.45" top="0.66" bottom="0.76" header="0.5" footer="0.5"/>
  <pageSetup scale="65" orientation="portrait" r:id="rId1"/>
  <headerFooter alignWithMargins="0">
    <oddHeader>&amp;REntry A</oddHeader>
    <oddFooter>&amp;R&amp;P</oddFooter>
  </headerFooter>
  <rowBreaks count="1" manualBreakCount="1">
    <brk id="71" max="15" man="1"/>
  </rowBreaks>
  <ignoredErrors>
    <ignoredError sqref="B6 B8 B11 B14 B17 B20" numberStoredAsText="1"/>
  </ignoredErrors>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80"/>
  <sheetViews>
    <sheetView workbookViewId="0">
      <selection activeCell="A2" sqref="A2:N2"/>
    </sheetView>
  </sheetViews>
  <sheetFormatPr defaultRowHeight="12.75" x14ac:dyDescent="0.2"/>
  <cols>
    <col min="1" max="1" width="3.42578125" customWidth="1"/>
    <col min="2" max="2" width="3.28515625" customWidth="1"/>
    <col min="3" max="3" width="24.140625" customWidth="1"/>
    <col min="5" max="5" width="10.28515625" customWidth="1"/>
    <col min="7" max="7" width="12.140625" bestFit="1" customWidth="1"/>
    <col min="8" max="8" width="1.140625" customWidth="1"/>
    <col min="9" max="9" width="12.7109375" customWidth="1"/>
    <col min="10" max="10" width="13.7109375" customWidth="1"/>
    <col min="11" max="11" width="1.42578125" customWidth="1"/>
    <col min="12" max="12" width="15.7109375" customWidth="1"/>
    <col min="13" max="13" width="12.42578125" customWidth="1"/>
    <col min="14" max="14" width="8.5703125" customWidth="1"/>
  </cols>
  <sheetData>
    <row r="1" spans="1:14" ht="9" customHeight="1" x14ac:dyDescent="0.2"/>
    <row r="2" spans="1:14" ht="24" customHeight="1" x14ac:dyDescent="0.2">
      <c r="A2" s="963" t="s">
        <v>339</v>
      </c>
      <c r="B2" s="964"/>
      <c r="C2" s="964"/>
      <c r="D2" s="964"/>
      <c r="E2" s="964"/>
      <c r="F2" s="964"/>
      <c r="G2" s="964"/>
      <c r="H2" s="964"/>
      <c r="I2" s="964"/>
      <c r="J2" s="964"/>
      <c r="K2" s="964"/>
      <c r="L2" s="964"/>
      <c r="M2" s="964"/>
      <c r="N2" s="965"/>
    </row>
    <row r="3" spans="1:14" ht="3" customHeight="1" x14ac:dyDescent="0.2"/>
    <row r="4" spans="1:14" ht="78" customHeight="1" x14ac:dyDescent="0.2">
      <c r="A4" s="859" t="s">
        <v>601</v>
      </c>
      <c r="B4" s="859"/>
      <c r="C4" s="859"/>
      <c r="D4" s="859"/>
      <c r="E4" s="859"/>
      <c r="F4" s="859"/>
      <c r="G4" s="859"/>
      <c r="H4" s="859"/>
      <c r="I4" s="859"/>
      <c r="J4" s="859"/>
      <c r="K4" s="859"/>
      <c r="L4" s="859"/>
      <c r="M4" s="859"/>
      <c r="N4" s="859"/>
    </row>
    <row r="5" spans="1:14" ht="39.75" customHeight="1" x14ac:dyDescent="0.2">
      <c r="A5" s="858" t="s">
        <v>398</v>
      </c>
      <c r="B5" s="858"/>
      <c r="C5" s="858"/>
      <c r="D5" s="858"/>
      <c r="E5" s="858"/>
      <c r="F5" s="858"/>
      <c r="G5" s="858"/>
      <c r="H5" s="858"/>
      <c r="I5" s="858"/>
      <c r="J5" s="858"/>
      <c r="K5" s="858"/>
      <c r="L5" s="858"/>
      <c r="M5" s="858"/>
      <c r="N5" s="858"/>
    </row>
    <row r="6" spans="1:14" ht="5.25" customHeight="1" x14ac:dyDescent="0.2"/>
    <row r="7" spans="1:14" ht="12.75" customHeight="1" x14ac:dyDescent="0.2">
      <c r="B7" s="38" t="s">
        <v>649</v>
      </c>
      <c r="C7" s="858" t="s">
        <v>307</v>
      </c>
      <c r="D7" s="858"/>
      <c r="E7" s="858"/>
      <c r="F7" s="858"/>
      <c r="G7" s="858"/>
      <c r="H7" s="858"/>
      <c r="I7" s="858"/>
      <c r="J7" s="858"/>
      <c r="K7" s="858"/>
      <c r="L7" s="858"/>
      <c r="M7" s="858"/>
      <c r="N7" s="858"/>
    </row>
    <row r="8" spans="1:14" ht="12" customHeight="1" x14ac:dyDescent="0.2">
      <c r="B8" s="38"/>
      <c r="C8" s="858"/>
      <c r="D8" s="858"/>
      <c r="E8" s="858"/>
      <c r="F8" s="858"/>
      <c r="G8" s="858"/>
      <c r="H8" s="858"/>
      <c r="I8" s="858"/>
      <c r="J8" s="858"/>
      <c r="K8" s="858"/>
      <c r="L8" s="858"/>
      <c r="M8" s="858"/>
      <c r="N8" s="858"/>
    </row>
    <row r="9" spans="1:14" ht="6" customHeight="1" x14ac:dyDescent="0.2"/>
    <row r="10" spans="1:14" ht="12.75" customHeight="1" x14ac:dyDescent="0.2">
      <c r="B10" s="38" t="s">
        <v>650</v>
      </c>
      <c r="C10" s="862" t="s">
        <v>261</v>
      </c>
      <c r="D10" s="862"/>
      <c r="E10" s="862"/>
      <c r="F10" s="862"/>
      <c r="G10" s="862"/>
      <c r="H10" s="862"/>
      <c r="I10" s="862"/>
      <c r="J10" s="862"/>
      <c r="K10" s="862"/>
      <c r="L10" s="862"/>
      <c r="M10" s="862"/>
      <c r="N10" s="862"/>
    </row>
    <row r="11" spans="1:14" ht="5.25" customHeight="1" x14ac:dyDescent="0.2"/>
    <row r="12" spans="1:14" x14ac:dyDescent="0.2">
      <c r="B12" s="38" t="s">
        <v>651</v>
      </c>
      <c r="C12" s="862" t="s">
        <v>260</v>
      </c>
      <c r="D12" s="862"/>
      <c r="E12" s="862"/>
      <c r="F12" s="862"/>
      <c r="G12" s="862"/>
      <c r="H12" s="862"/>
      <c r="I12" s="862"/>
      <c r="J12" s="862"/>
      <c r="K12" s="862"/>
      <c r="L12" s="862"/>
      <c r="M12" s="862"/>
      <c r="N12" s="862"/>
    </row>
    <row r="13" spans="1:14" ht="12" customHeight="1" x14ac:dyDescent="0.2"/>
    <row r="14" spans="1:14" ht="25.5" customHeight="1" x14ac:dyDescent="0.2">
      <c r="A14" s="765" t="s">
        <v>333</v>
      </c>
      <c r="B14" s="971" t="s">
        <v>262</v>
      </c>
      <c r="C14" s="972"/>
      <c r="D14" s="972"/>
      <c r="E14" s="972"/>
      <c r="F14" s="972"/>
      <c r="G14" s="972"/>
      <c r="H14" s="972"/>
      <c r="I14" s="972"/>
      <c r="J14" s="972"/>
      <c r="K14" s="972"/>
      <c r="L14" s="972"/>
      <c r="M14" s="972"/>
      <c r="N14" s="973"/>
    </row>
    <row r="15" spans="1:14" ht="7.5" customHeight="1" x14ac:dyDescent="0.2"/>
    <row r="16" spans="1:14" x14ac:dyDescent="0.2">
      <c r="B16" s="7" t="s">
        <v>396</v>
      </c>
      <c r="C16" s="7"/>
      <c r="D16" s="7"/>
      <c r="E16" s="7"/>
      <c r="G16" s="3" t="s">
        <v>644</v>
      </c>
    </row>
    <row r="17" spans="3:7" ht="5.25" customHeight="1" x14ac:dyDescent="0.2">
      <c r="G17" s="43"/>
    </row>
    <row r="18" spans="3:7" x14ac:dyDescent="0.2">
      <c r="C18" t="s">
        <v>263</v>
      </c>
      <c r="G18" s="220">
        <v>55135</v>
      </c>
    </row>
    <row r="19" spans="3:7" x14ac:dyDescent="0.2">
      <c r="C19" t="s">
        <v>264</v>
      </c>
      <c r="G19" s="220">
        <v>0</v>
      </c>
    </row>
    <row r="20" spans="3:7" x14ac:dyDescent="0.2">
      <c r="C20" t="s">
        <v>265</v>
      </c>
      <c r="G20" s="220">
        <v>0</v>
      </c>
    </row>
    <row r="21" spans="3:7" x14ac:dyDescent="0.2">
      <c r="C21" t="s">
        <v>266</v>
      </c>
      <c r="G21" s="220">
        <v>0</v>
      </c>
    </row>
    <row r="22" spans="3:7" x14ac:dyDescent="0.2">
      <c r="C22" t="s">
        <v>267</v>
      </c>
      <c r="G22" s="220">
        <v>0</v>
      </c>
    </row>
    <row r="23" spans="3:7" x14ac:dyDescent="0.2">
      <c r="C23" t="s">
        <v>268</v>
      </c>
      <c r="G23" s="220">
        <v>0</v>
      </c>
    </row>
    <row r="24" spans="3:7" x14ac:dyDescent="0.2">
      <c r="C24" t="s">
        <v>269</v>
      </c>
      <c r="G24" s="220">
        <v>16096</v>
      </c>
    </row>
    <row r="25" spans="3:7" x14ac:dyDescent="0.2">
      <c r="C25" t="s">
        <v>378</v>
      </c>
      <c r="G25" s="220">
        <v>0</v>
      </c>
    </row>
    <row r="26" spans="3:7" x14ac:dyDescent="0.2">
      <c r="C26" t="s">
        <v>270</v>
      </c>
      <c r="G26" s="220">
        <v>0</v>
      </c>
    </row>
    <row r="27" spans="3:7" x14ac:dyDescent="0.2">
      <c r="C27" t="s">
        <v>237</v>
      </c>
      <c r="G27" s="220">
        <v>0</v>
      </c>
    </row>
    <row r="28" spans="3:7" x14ac:dyDescent="0.2">
      <c r="C28" t="s">
        <v>238</v>
      </c>
      <c r="G28" s="220">
        <v>0</v>
      </c>
    </row>
    <row r="29" spans="3:7" x14ac:dyDescent="0.2">
      <c r="C29" t="s">
        <v>271</v>
      </c>
      <c r="G29" s="220">
        <v>0</v>
      </c>
    </row>
    <row r="30" spans="3:7" x14ac:dyDescent="0.2">
      <c r="C30" t="s">
        <v>273</v>
      </c>
      <c r="G30" s="220">
        <v>0</v>
      </c>
    </row>
    <row r="31" spans="3:7" x14ac:dyDescent="0.2">
      <c r="C31" t="s">
        <v>274</v>
      </c>
      <c r="G31" s="220">
        <v>0</v>
      </c>
    </row>
    <row r="32" spans="3:7" x14ac:dyDescent="0.2">
      <c r="C32" t="s">
        <v>272</v>
      </c>
      <c r="G32" s="220">
        <v>0</v>
      </c>
    </row>
    <row r="33" spans="1:14" x14ac:dyDescent="0.2">
      <c r="C33" t="s">
        <v>257</v>
      </c>
      <c r="G33" s="220">
        <v>0</v>
      </c>
    </row>
    <row r="34" spans="1:14" x14ac:dyDescent="0.2">
      <c r="C34" t="s">
        <v>55</v>
      </c>
      <c r="G34" s="220">
        <v>0</v>
      </c>
    </row>
    <row r="35" spans="1:14" x14ac:dyDescent="0.2">
      <c r="C35" t="s">
        <v>655</v>
      </c>
      <c r="G35" s="220">
        <v>0</v>
      </c>
    </row>
    <row r="36" spans="1:14" ht="15" thickBot="1" x14ac:dyDescent="0.25">
      <c r="F36" s="348" t="s">
        <v>141</v>
      </c>
      <c r="G36" s="62">
        <f>SUM(G18:G35)</f>
        <v>71231</v>
      </c>
    </row>
    <row r="37" spans="1:14" ht="13.5" thickTop="1" x14ac:dyDescent="0.2"/>
    <row r="38" spans="1:14" ht="25.5" customHeight="1" x14ac:dyDescent="0.2">
      <c r="A38" s="765" t="s">
        <v>334</v>
      </c>
      <c r="B38" s="971" t="s">
        <v>138</v>
      </c>
      <c r="C38" s="972"/>
      <c r="D38" s="972"/>
      <c r="E38" s="972"/>
      <c r="F38" s="972"/>
      <c r="G38" s="972"/>
      <c r="H38" s="972"/>
      <c r="I38" s="972"/>
      <c r="J38" s="972"/>
      <c r="K38" s="972"/>
      <c r="L38" s="972"/>
      <c r="M38" s="972"/>
      <c r="N38" s="973"/>
    </row>
    <row r="39" spans="1:14" ht="4.5" customHeight="1" x14ac:dyDescent="0.2"/>
    <row r="40" spans="1:14" x14ac:dyDescent="0.2">
      <c r="B40" s="7" t="s">
        <v>397</v>
      </c>
      <c r="C40" s="7"/>
      <c r="D40" s="7"/>
      <c r="E40" s="7"/>
      <c r="G40" s="3" t="s">
        <v>644</v>
      </c>
      <c r="M40" s="36"/>
    </row>
    <row r="41" spans="1:14" ht="4.5" customHeight="1" x14ac:dyDescent="0.2">
      <c r="G41" s="43"/>
      <c r="M41" s="36"/>
    </row>
    <row r="42" spans="1:14" x14ac:dyDescent="0.2">
      <c r="C42" s="101" t="str">
        <f>'Conversion Worksheet'!C29</f>
        <v>Buildings</v>
      </c>
      <c r="D42" s="12"/>
      <c r="G42" s="220">
        <v>3333</v>
      </c>
      <c r="M42" s="36"/>
    </row>
    <row r="43" spans="1:14" x14ac:dyDescent="0.2">
      <c r="C43" s="11" t="str">
        <f>'Conversion Worksheet'!C34</f>
        <v>Equipment and Furniture</v>
      </c>
      <c r="G43" s="220">
        <v>60514</v>
      </c>
      <c r="M43" s="36"/>
    </row>
    <row r="44" spans="1:14" x14ac:dyDescent="0.2">
      <c r="C44" s="11" t="str">
        <f>'Conversion Worksheet'!C44</f>
        <v>Library Books</v>
      </c>
      <c r="G44" s="220">
        <v>0</v>
      </c>
      <c r="M44" s="36"/>
    </row>
    <row r="45" spans="1:14" x14ac:dyDescent="0.2">
      <c r="C45" s="11" t="str">
        <f>'Conversion Worksheet'!C39</f>
        <v>Vehicles &amp; Motorized Equipment</v>
      </c>
      <c r="G45" s="220">
        <v>0</v>
      </c>
      <c r="M45" s="36"/>
    </row>
    <row r="46" spans="1:14" x14ac:dyDescent="0.2">
      <c r="C46" s="327" t="str">
        <f>'Conversion Worksheet'!C49</f>
        <v>Computer equipment</v>
      </c>
      <c r="G46" s="220">
        <v>7384</v>
      </c>
    </row>
    <row r="47" spans="1:14" ht="12.75" customHeight="1" x14ac:dyDescent="0.2">
      <c r="C47" s="327" t="str">
        <f>'Conversion Worksheet'!C54</f>
        <v>Other Asset Class 1</v>
      </c>
      <c r="G47" s="220">
        <v>0</v>
      </c>
      <c r="I47" s="976" t="str">
        <f>IF(G36=G48," ","Recheck numbers in sections A and B. Entry is out of balance.")</f>
        <v xml:space="preserve"> </v>
      </c>
      <c r="J47" s="976"/>
      <c r="K47" s="976"/>
      <c r="L47" s="976"/>
    </row>
    <row r="48" spans="1:14" ht="17.25" customHeight="1" thickBot="1" x14ac:dyDescent="0.25">
      <c r="F48" s="348" t="s">
        <v>141</v>
      </c>
      <c r="G48" s="62">
        <f>SUM(G42:G47)</f>
        <v>71231</v>
      </c>
      <c r="I48" s="976"/>
      <c r="J48" s="976"/>
      <c r="K48" s="976"/>
      <c r="L48" s="976"/>
    </row>
    <row r="49" spans="1:14" ht="13.5" thickTop="1" x14ac:dyDescent="0.2"/>
    <row r="50" spans="1:14" ht="26.25" customHeight="1" x14ac:dyDescent="0.2">
      <c r="A50" s="765" t="s">
        <v>515</v>
      </c>
      <c r="B50" s="971" t="s">
        <v>376</v>
      </c>
      <c r="C50" s="972"/>
      <c r="D50" s="972"/>
      <c r="E50" s="972"/>
      <c r="F50" s="972"/>
      <c r="G50" s="972"/>
      <c r="H50" s="972"/>
      <c r="I50" s="972"/>
      <c r="J50" s="972"/>
      <c r="K50" s="972"/>
      <c r="L50" s="972"/>
      <c r="M50" s="972"/>
      <c r="N50" s="973"/>
    </row>
    <row r="51" spans="1:14" ht="4.5" customHeight="1" x14ac:dyDescent="0.2"/>
    <row r="52" spans="1:14" x14ac:dyDescent="0.2">
      <c r="J52" s="46" t="s">
        <v>645</v>
      </c>
      <c r="K52" s="50"/>
      <c r="L52" s="46" t="s">
        <v>646</v>
      </c>
    </row>
    <row r="53" spans="1:14" ht="6.75" customHeight="1" x14ac:dyDescent="0.2">
      <c r="J53" s="50"/>
      <c r="K53" s="50"/>
      <c r="L53" s="50"/>
    </row>
    <row r="54" spans="1:14" x14ac:dyDescent="0.2">
      <c r="A54" s="103" t="s">
        <v>279</v>
      </c>
      <c r="B54" t="s">
        <v>263</v>
      </c>
      <c r="J54" s="64">
        <f>G18</f>
        <v>55135</v>
      </c>
      <c r="K54" s="11"/>
      <c r="L54" s="65"/>
    </row>
    <row r="55" spans="1:14" x14ac:dyDescent="0.2">
      <c r="A55" s="103"/>
      <c r="B55" t="s">
        <v>264</v>
      </c>
      <c r="J55" s="64">
        <f t="shared" ref="J55:J70" si="0">G19</f>
        <v>0</v>
      </c>
      <c r="K55" s="11"/>
      <c r="L55" s="65"/>
    </row>
    <row r="56" spans="1:14" x14ac:dyDescent="0.2">
      <c r="A56" s="103"/>
      <c r="B56" t="s">
        <v>265</v>
      </c>
      <c r="J56" s="64">
        <f t="shared" si="0"/>
        <v>0</v>
      </c>
      <c r="K56" s="11"/>
      <c r="L56" s="65"/>
    </row>
    <row r="57" spans="1:14" x14ac:dyDescent="0.2">
      <c r="A57" s="103"/>
      <c r="B57" t="s">
        <v>266</v>
      </c>
      <c r="J57" s="64">
        <f t="shared" si="0"/>
        <v>0</v>
      </c>
      <c r="K57" s="11"/>
      <c r="L57" s="65"/>
    </row>
    <row r="58" spans="1:14" x14ac:dyDescent="0.2">
      <c r="A58" s="103"/>
      <c r="B58" t="s">
        <v>267</v>
      </c>
      <c r="J58" s="64">
        <f t="shared" si="0"/>
        <v>0</v>
      </c>
      <c r="K58" s="11"/>
      <c r="L58" s="65"/>
    </row>
    <row r="59" spans="1:14" x14ac:dyDescent="0.2">
      <c r="A59" s="103"/>
      <c r="B59" t="s">
        <v>268</v>
      </c>
      <c r="J59" s="64">
        <f t="shared" si="0"/>
        <v>0</v>
      </c>
      <c r="K59" s="11"/>
      <c r="L59" s="65"/>
    </row>
    <row r="60" spans="1:14" x14ac:dyDescent="0.2">
      <c r="A60" s="103"/>
      <c r="B60" t="s">
        <v>269</v>
      </c>
      <c r="J60" s="64">
        <f t="shared" si="0"/>
        <v>16096</v>
      </c>
      <c r="K60" s="11"/>
      <c r="L60" s="65"/>
    </row>
    <row r="61" spans="1:14" x14ac:dyDescent="0.2">
      <c r="A61" s="103"/>
      <c r="B61" t="s">
        <v>378</v>
      </c>
      <c r="J61" s="64">
        <f t="shared" si="0"/>
        <v>0</v>
      </c>
      <c r="K61" s="11"/>
      <c r="L61" s="65"/>
    </row>
    <row r="62" spans="1:14" x14ac:dyDescent="0.2">
      <c r="A62" s="103"/>
      <c r="B62" t="s">
        <v>270</v>
      </c>
      <c r="J62" s="64">
        <f t="shared" si="0"/>
        <v>0</v>
      </c>
      <c r="K62" s="11"/>
      <c r="L62" s="65"/>
    </row>
    <row r="63" spans="1:14" x14ac:dyDescent="0.2">
      <c r="A63" s="103"/>
      <c r="B63" t="s">
        <v>237</v>
      </c>
      <c r="J63" s="64">
        <f t="shared" si="0"/>
        <v>0</v>
      </c>
      <c r="K63" s="11"/>
      <c r="L63" s="65"/>
    </row>
    <row r="64" spans="1:14" x14ac:dyDescent="0.2">
      <c r="A64" s="103"/>
      <c r="B64" t="s">
        <v>238</v>
      </c>
      <c r="J64" s="64">
        <f t="shared" si="0"/>
        <v>0</v>
      </c>
      <c r="K64" s="11"/>
      <c r="L64" s="65"/>
    </row>
    <row r="65" spans="1:14" x14ac:dyDescent="0.2">
      <c r="A65" s="103"/>
      <c r="B65" t="s">
        <v>271</v>
      </c>
      <c r="J65" s="64">
        <f t="shared" si="0"/>
        <v>0</v>
      </c>
      <c r="K65" s="11"/>
      <c r="L65" s="65"/>
    </row>
    <row r="66" spans="1:14" x14ac:dyDescent="0.2">
      <c r="A66" s="103"/>
      <c r="B66" t="s">
        <v>273</v>
      </c>
      <c r="J66" s="64">
        <f t="shared" si="0"/>
        <v>0</v>
      </c>
      <c r="K66" s="11"/>
      <c r="L66" s="65"/>
    </row>
    <row r="67" spans="1:14" x14ac:dyDescent="0.2">
      <c r="A67" s="103"/>
      <c r="B67" t="s">
        <v>274</v>
      </c>
      <c r="J67" s="64">
        <f t="shared" si="0"/>
        <v>0</v>
      </c>
      <c r="K67" s="11"/>
      <c r="L67" s="65"/>
    </row>
    <row r="68" spans="1:14" x14ac:dyDescent="0.2">
      <c r="B68" t="s">
        <v>272</v>
      </c>
      <c r="J68" s="64">
        <f t="shared" si="0"/>
        <v>0</v>
      </c>
      <c r="K68" s="11"/>
      <c r="L68" s="65"/>
    </row>
    <row r="69" spans="1:14" x14ac:dyDescent="0.2">
      <c r="B69" t="s">
        <v>257</v>
      </c>
      <c r="J69" s="64">
        <f t="shared" si="0"/>
        <v>0</v>
      </c>
      <c r="K69" s="11"/>
      <c r="L69" s="65"/>
    </row>
    <row r="70" spans="1:14" x14ac:dyDescent="0.2">
      <c r="B70" t="s">
        <v>55</v>
      </c>
      <c r="J70" s="64">
        <f t="shared" si="0"/>
        <v>0</v>
      </c>
      <c r="K70" s="11"/>
      <c r="L70" s="65"/>
    </row>
    <row r="71" spans="1:14" x14ac:dyDescent="0.2">
      <c r="B71" t="s">
        <v>655</v>
      </c>
      <c r="J71" s="64">
        <f>G35</f>
        <v>0</v>
      </c>
      <c r="K71" s="11"/>
      <c r="L71" s="65"/>
    </row>
    <row r="72" spans="1:14" ht="3" customHeight="1" x14ac:dyDescent="0.2">
      <c r="J72" s="64"/>
      <c r="K72" s="11"/>
      <c r="L72" s="65"/>
    </row>
    <row r="73" spans="1:14" x14ac:dyDescent="0.2">
      <c r="C73" t="str">
        <f t="shared" ref="C73:C78" si="1">CONCATENATE("Accumulated depreciation - ", C42)</f>
        <v>Accumulated depreciation - Buildings</v>
      </c>
      <c r="D73" s="101"/>
      <c r="J73" s="64"/>
      <c r="K73" s="11"/>
      <c r="L73" s="64">
        <f t="shared" ref="L73:L78" si="2">G42</f>
        <v>3333</v>
      </c>
    </row>
    <row r="74" spans="1:14" x14ac:dyDescent="0.2">
      <c r="C74" t="str">
        <f t="shared" si="1"/>
        <v>Accumulated depreciation - Equipment and Furniture</v>
      </c>
      <c r="D74" s="11"/>
      <c r="J74" s="65"/>
      <c r="K74" s="11"/>
      <c r="L74" s="64">
        <f t="shared" si="2"/>
        <v>60514</v>
      </c>
    </row>
    <row r="75" spans="1:14" x14ac:dyDescent="0.2">
      <c r="C75" t="str">
        <f t="shared" si="1"/>
        <v>Accumulated depreciation - Library Books</v>
      </c>
      <c r="D75" s="11"/>
      <c r="J75" s="65"/>
      <c r="K75" s="11"/>
      <c r="L75" s="64">
        <f t="shared" si="2"/>
        <v>0</v>
      </c>
    </row>
    <row r="76" spans="1:14" x14ac:dyDescent="0.2">
      <c r="C76" t="str">
        <f t="shared" si="1"/>
        <v>Accumulated depreciation - Vehicles &amp; Motorized Equipment</v>
      </c>
      <c r="D76" s="11"/>
      <c r="J76" s="65"/>
      <c r="K76" s="11"/>
      <c r="L76" s="64">
        <f t="shared" si="2"/>
        <v>0</v>
      </c>
    </row>
    <row r="77" spans="1:14" x14ac:dyDescent="0.2">
      <c r="C77" t="str">
        <f t="shared" si="1"/>
        <v>Accumulated depreciation - Computer equipment</v>
      </c>
      <c r="D77" s="209"/>
      <c r="J77" s="65"/>
      <c r="K77" s="11"/>
      <c r="L77" s="64">
        <f t="shared" si="2"/>
        <v>7384</v>
      </c>
    </row>
    <row r="78" spans="1:14" x14ac:dyDescent="0.2">
      <c r="C78" t="str">
        <f t="shared" si="1"/>
        <v>Accumulated depreciation - Other Asset Class 1</v>
      </c>
      <c r="D78" s="209"/>
      <c r="J78" s="65"/>
      <c r="K78" s="11"/>
      <c r="L78" s="64">
        <f t="shared" si="2"/>
        <v>0</v>
      </c>
    </row>
    <row r="79" spans="1:14" ht="13.5" thickBot="1" x14ac:dyDescent="0.25">
      <c r="J79" s="66">
        <f>SUM(J54:J78)</f>
        <v>71231</v>
      </c>
      <c r="K79" s="11"/>
      <c r="L79" s="66">
        <f>SUM(L54:L78)</f>
        <v>71231</v>
      </c>
      <c r="N79" s="12"/>
    </row>
    <row r="80" spans="1:14" ht="13.5" thickTop="1" x14ac:dyDescent="0.2">
      <c r="K80" s="11"/>
    </row>
  </sheetData>
  <sheetProtection algorithmName="SHA-512" hashValue="oB1eJeHd/mkicuJjFKFZoDFDrRwFW27HnVXIvP25lYaCToCbB56AJg4ePIZzFXLxkQK0RxxlgN0O0MGOzT8HzQ==" saltValue="N/3KvizssvBmYOM1Qj07ww==" spinCount="100000" sheet="1" objects="1" scenarios="1"/>
  <mergeCells count="10">
    <mergeCell ref="B50:N50"/>
    <mergeCell ref="A2:N2"/>
    <mergeCell ref="C10:N10"/>
    <mergeCell ref="C12:N12"/>
    <mergeCell ref="B14:N14"/>
    <mergeCell ref="B38:N38"/>
    <mergeCell ref="A4:N4"/>
    <mergeCell ref="A5:N5"/>
    <mergeCell ref="C7:N8"/>
    <mergeCell ref="I47:L48"/>
  </mergeCells>
  <phoneticPr fontId="0" type="noConversion"/>
  <printOptions horizontalCentered="1"/>
  <pageMargins left="0.36" right="0.48" top="0.66" bottom="0.65" header="0.5" footer="0.5"/>
  <pageSetup scale="67" orientation="portrait" r:id="rId1"/>
  <headerFooter alignWithMargins="0">
    <oddHeader>&amp;R&amp;"Arial,Bold"&amp;12Entry  B</oddHeader>
    <oddFooter>&amp;R&amp;P</oddFooter>
  </headerFooter>
  <ignoredErrors>
    <ignoredError sqref="B7 B10 B12" numberStoredAsText="1"/>
  </ignoredError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O165"/>
  <sheetViews>
    <sheetView zoomScale="90" workbookViewId="0">
      <selection sqref="A1:M1"/>
    </sheetView>
  </sheetViews>
  <sheetFormatPr defaultRowHeight="12.75" x14ac:dyDescent="0.2"/>
  <cols>
    <col min="1" max="1" width="2.85546875" style="4" customWidth="1"/>
    <col min="2" max="2" width="2.28515625" customWidth="1"/>
    <col min="3" max="3" width="38.7109375" customWidth="1"/>
    <col min="4" max="4" width="9.28515625" customWidth="1"/>
    <col min="5" max="5" width="16.7109375" customWidth="1"/>
    <col min="6" max="6" width="14.140625" bestFit="1" customWidth="1"/>
    <col min="7" max="7" width="1.5703125" style="36" customWidth="1"/>
    <col min="8" max="8" width="10.5703125" customWidth="1"/>
    <col min="9" max="9" width="14.140625" customWidth="1"/>
    <col min="10" max="10" width="11.28515625" bestFit="1" customWidth="1"/>
    <col min="11" max="11" width="13" customWidth="1"/>
    <col min="12" max="12" width="9.28515625" customWidth="1"/>
    <col min="13" max="13" width="14.42578125" customWidth="1"/>
  </cols>
  <sheetData>
    <row r="1" spans="1:13" ht="33.75" customHeight="1" x14ac:dyDescent="0.2">
      <c r="A1" s="963" t="s">
        <v>450</v>
      </c>
      <c r="B1" s="964"/>
      <c r="C1" s="964"/>
      <c r="D1" s="964"/>
      <c r="E1" s="964"/>
      <c r="F1" s="964"/>
      <c r="G1" s="964"/>
      <c r="H1" s="964"/>
      <c r="I1" s="964"/>
      <c r="J1" s="964"/>
      <c r="K1" s="964"/>
      <c r="L1" s="964"/>
      <c r="M1" s="965"/>
    </row>
    <row r="2" spans="1:13" ht="5.25" customHeight="1" x14ac:dyDescent="0.2"/>
    <row r="3" spans="1:13" ht="76.5" customHeight="1" x14ac:dyDescent="0.2">
      <c r="B3" s="989" t="s">
        <v>734</v>
      </c>
      <c r="C3" s="859"/>
      <c r="D3" s="859"/>
      <c r="E3" s="859"/>
      <c r="F3" s="859"/>
      <c r="G3" s="859"/>
      <c r="H3" s="859"/>
      <c r="I3" s="859"/>
      <c r="J3" s="859"/>
      <c r="K3" s="859"/>
      <c r="L3" s="859"/>
      <c r="M3" s="859"/>
    </row>
    <row r="4" spans="1:13" ht="3.75" customHeight="1" x14ac:dyDescent="0.2"/>
    <row r="5" spans="1:13" ht="27" customHeight="1" x14ac:dyDescent="0.2">
      <c r="B5" s="858" t="s">
        <v>513</v>
      </c>
      <c r="C5" s="858"/>
      <c r="D5" s="858"/>
      <c r="E5" s="858"/>
      <c r="F5" s="858"/>
      <c r="G5" s="858"/>
      <c r="H5" s="858"/>
      <c r="I5" s="858"/>
      <c r="J5" s="858"/>
      <c r="K5" s="858"/>
      <c r="L5" s="858"/>
      <c r="M5" s="858"/>
    </row>
    <row r="6" spans="1:13" ht="3" customHeight="1" x14ac:dyDescent="0.2"/>
    <row r="7" spans="1:13" ht="12.75" customHeight="1" x14ac:dyDescent="0.2">
      <c r="B7" s="38" t="s">
        <v>649</v>
      </c>
      <c r="C7" s="859" t="s">
        <v>414</v>
      </c>
      <c r="D7" s="859"/>
      <c r="E7" s="859"/>
      <c r="F7" s="859"/>
      <c r="G7" s="859"/>
      <c r="H7" s="859"/>
      <c r="I7" s="859"/>
      <c r="J7" s="859"/>
      <c r="K7" s="859"/>
      <c r="L7" s="859"/>
      <c r="M7" s="859"/>
    </row>
    <row r="8" spans="1:13" ht="50.25" customHeight="1" x14ac:dyDescent="0.2">
      <c r="B8" s="38"/>
      <c r="C8" s="859"/>
      <c r="D8" s="859"/>
      <c r="E8" s="859"/>
      <c r="F8" s="859"/>
      <c r="G8" s="859"/>
      <c r="H8" s="859"/>
      <c r="I8" s="859"/>
      <c r="J8" s="859"/>
      <c r="K8" s="859"/>
      <c r="L8" s="859"/>
      <c r="M8" s="859"/>
    </row>
    <row r="9" spans="1:13" ht="3" customHeight="1" x14ac:dyDescent="0.2">
      <c r="B9" s="38"/>
      <c r="C9" s="34"/>
      <c r="D9" s="34"/>
      <c r="E9" s="34"/>
      <c r="F9" s="34"/>
      <c r="G9" s="34"/>
      <c r="H9" s="34"/>
      <c r="I9" s="34"/>
      <c r="J9" s="34"/>
      <c r="K9" s="34"/>
      <c r="L9" s="34"/>
      <c r="M9" s="34"/>
    </row>
    <row r="10" spans="1:13" ht="12.75" customHeight="1" x14ac:dyDescent="0.2">
      <c r="B10" s="158" t="s">
        <v>650</v>
      </c>
      <c r="C10" s="862" t="s">
        <v>59</v>
      </c>
      <c r="D10" s="862"/>
      <c r="E10" s="862"/>
      <c r="F10" s="862"/>
      <c r="G10" s="862"/>
      <c r="H10" s="862"/>
      <c r="I10" s="862"/>
      <c r="J10" s="862"/>
      <c r="K10" s="862"/>
      <c r="L10" s="862"/>
      <c r="M10" s="862"/>
    </row>
    <row r="11" spans="1:13" ht="3" customHeight="1" x14ac:dyDescent="0.2">
      <c r="G11"/>
    </row>
    <row r="12" spans="1:13" ht="15" customHeight="1" x14ac:dyDescent="0.2">
      <c r="B12" s="38" t="s">
        <v>651</v>
      </c>
      <c r="C12" s="990" t="s">
        <v>415</v>
      </c>
      <c r="D12" s="990"/>
      <c r="E12" s="990"/>
      <c r="F12" s="990"/>
      <c r="G12" s="990"/>
      <c r="H12" s="990"/>
      <c r="I12" s="990"/>
      <c r="J12" s="990"/>
      <c r="K12" s="990"/>
      <c r="L12" s="990"/>
      <c r="M12" s="990"/>
    </row>
    <row r="13" spans="1:13" ht="14.25" customHeight="1" x14ac:dyDescent="0.2">
      <c r="B13" s="38"/>
      <c r="C13" s="990"/>
      <c r="D13" s="990"/>
      <c r="E13" s="990"/>
      <c r="F13" s="990"/>
      <c r="G13" s="990"/>
      <c r="H13" s="990"/>
      <c r="I13" s="990"/>
      <c r="J13" s="990"/>
      <c r="K13" s="990"/>
      <c r="L13" s="990"/>
      <c r="M13" s="990"/>
    </row>
    <row r="14" spans="1:13" ht="33.75" customHeight="1" x14ac:dyDescent="0.2">
      <c r="C14" s="990"/>
      <c r="D14" s="990"/>
      <c r="E14" s="990"/>
      <c r="F14" s="990"/>
      <c r="G14" s="990"/>
      <c r="H14" s="990"/>
      <c r="I14" s="990"/>
      <c r="J14" s="990"/>
      <c r="K14" s="990"/>
      <c r="L14" s="990"/>
      <c r="M14" s="990"/>
    </row>
    <row r="15" spans="1:13" ht="6" customHeight="1" x14ac:dyDescent="0.2"/>
    <row r="16" spans="1:13" ht="39" customHeight="1" x14ac:dyDescent="0.2">
      <c r="A16" s="765" t="s">
        <v>333</v>
      </c>
      <c r="B16" s="974" t="s">
        <v>735</v>
      </c>
      <c r="C16" s="978"/>
      <c r="D16" s="978"/>
      <c r="E16" s="978"/>
      <c r="F16" s="978"/>
      <c r="G16" s="978"/>
      <c r="H16" s="978"/>
      <c r="I16" s="978"/>
      <c r="J16" s="978"/>
      <c r="K16" s="978"/>
      <c r="L16" s="978"/>
      <c r="M16" s="979"/>
    </row>
    <row r="17" spans="2:13" ht="5.25" customHeight="1" x14ac:dyDescent="0.2">
      <c r="B17" s="41"/>
      <c r="C17" s="32"/>
      <c r="D17" s="32"/>
      <c r="E17" s="32"/>
      <c r="F17" s="32"/>
      <c r="G17" s="44"/>
      <c r="H17" s="32"/>
      <c r="I17" s="32"/>
      <c r="J17" s="32"/>
      <c r="K17" s="32"/>
      <c r="L17" s="32"/>
      <c r="M17" s="32"/>
    </row>
    <row r="18" spans="2:13" x14ac:dyDescent="0.2">
      <c r="B18" s="38" t="s">
        <v>649</v>
      </c>
      <c r="C18" s="366" t="s">
        <v>38</v>
      </c>
      <c r="D18" s="365"/>
      <c r="E18" s="365"/>
      <c r="F18" s="3" t="s">
        <v>157</v>
      </c>
      <c r="G18"/>
      <c r="I18" s="7" t="s">
        <v>156</v>
      </c>
      <c r="K18" s="3" t="s">
        <v>365</v>
      </c>
      <c r="M18" s="3" t="s">
        <v>528</v>
      </c>
    </row>
    <row r="19" spans="2:13" ht="3" customHeight="1" x14ac:dyDescent="0.2">
      <c r="G19"/>
    </row>
    <row r="20" spans="2:13" x14ac:dyDescent="0.2">
      <c r="C20" s="118" t="s">
        <v>426</v>
      </c>
      <c r="F20" s="222">
        <v>409000</v>
      </c>
      <c r="G20"/>
      <c r="I20" s="223">
        <v>0</v>
      </c>
      <c r="K20" s="364" t="s">
        <v>97</v>
      </c>
      <c r="M20" s="64">
        <f>F20+I20</f>
        <v>409000</v>
      </c>
    </row>
    <row r="21" spans="2:13" x14ac:dyDescent="0.2">
      <c r="C21" s="118" t="s">
        <v>427</v>
      </c>
      <c r="F21" s="222">
        <v>0</v>
      </c>
      <c r="G21"/>
      <c r="I21" s="223">
        <v>0</v>
      </c>
      <c r="K21" s="364" t="s">
        <v>97</v>
      </c>
      <c r="M21" s="64">
        <f>F21+I21</f>
        <v>0</v>
      </c>
    </row>
    <row r="22" spans="2:13" x14ac:dyDescent="0.2">
      <c r="C22" s="118" t="s">
        <v>428</v>
      </c>
      <c r="F22" s="359">
        <v>0</v>
      </c>
      <c r="G22"/>
      <c r="I22" s="360">
        <v>0</v>
      </c>
      <c r="K22" s="364" t="s">
        <v>97</v>
      </c>
      <c r="M22" s="64">
        <f>F22+I22</f>
        <v>0</v>
      </c>
    </row>
    <row r="23" spans="2:13" x14ac:dyDescent="0.2">
      <c r="C23" s="118" t="s">
        <v>39</v>
      </c>
      <c r="F23" s="364" t="s">
        <v>97</v>
      </c>
      <c r="G23" s="311"/>
      <c r="H23" s="311"/>
      <c r="I23" s="364" t="s">
        <v>97</v>
      </c>
      <c r="K23" s="360">
        <v>0</v>
      </c>
      <c r="M23" s="64">
        <f>K23</f>
        <v>0</v>
      </c>
    </row>
    <row r="24" spans="2:13" ht="15.75" thickBot="1" x14ac:dyDescent="0.25">
      <c r="C24" s="349" t="s">
        <v>158</v>
      </c>
      <c r="F24" s="62">
        <f>SUM(F20:F23)</f>
        <v>409000</v>
      </c>
      <c r="G24"/>
      <c r="H24" s="353" t="s">
        <v>142</v>
      </c>
      <c r="I24" s="62">
        <f>SUM(I20:I23)</f>
        <v>0</v>
      </c>
      <c r="K24" s="62">
        <f>SUM(K20:K23)</f>
        <v>0</v>
      </c>
      <c r="M24" s="62">
        <f>SUM(M20:M23)</f>
        <v>409000</v>
      </c>
    </row>
    <row r="25" spans="2:13" ht="3.75" customHeight="1" thickTop="1" x14ac:dyDescent="0.2">
      <c r="F25" s="44"/>
      <c r="G25" s="11"/>
      <c r="H25" s="11"/>
      <c r="I25" s="44"/>
      <c r="J25" s="11"/>
      <c r="K25" s="44"/>
      <c r="L25" s="11"/>
      <c r="M25" s="44"/>
    </row>
    <row r="26" spans="2:13" x14ac:dyDescent="0.2">
      <c r="B26" s="38" t="s">
        <v>650</v>
      </c>
      <c r="C26" s="7" t="s">
        <v>196</v>
      </c>
      <c r="D26" s="7"/>
      <c r="F26" s="44"/>
      <c r="G26" s="11"/>
      <c r="H26" s="11"/>
      <c r="I26" s="44"/>
      <c r="J26" s="11"/>
      <c r="K26" s="44"/>
      <c r="L26" s="11"/>
      <c r="M26" s="44"/>
    </row>
    <row r="27" spans="2:13" x14ac:dyDescent="0.2">
      <c r="C27" t="s">
        <v>263</v>
      </c>
      <c r="F27" s="221">
        <v>4278</v>
      </c>
      <c r="G27"/>
      <c r="I27" s="364" t="s">
        <v>97</v>
      </c>
      <c r="K27" s="364" t="s">
        <v>527</v>
      </c>
      <c r="M27" s="44" t="s">
        <v>97</v>
      </c>
    </row>
    <row r="28" spans="2:13" x14ac:dyDescent="0.2">
      <c r="C28" t="s">
        <v>264</v>
      </c>
      <c r="F28" s="221">
        <v>0</v>
      </c>
      <c r="G28"/>
      <c r="I28" s="364" t="s">
        <v>97</v>
      </c>
      <c r="K28" s="364" t="s">
        <v>527</v>
      </c>
      <c r="M28" s="44" t="s">
        <v>97</v>
      </c>
    </row>
    <row r="29" spans="2:13" x14ac:dyDescent="0.2">
      <c r="C29" t="s">
        <v>265</v>
      </c>
      <c r="F29" s="221">
        <v>0</v>
      </c>
      <c r="G29"/>
      <c r="I29" s="364" t="s">
        <v>97</v>
      </c>
      <c r="K29" s="364" t="s">
        <v>527</v>
      </c>
      <c r="M29" s="44" t="s">
        <v>97</v>
      </c>
    </row>
    <row r="30" spans="2:13" x14ac:dyDescent="0.2">
      <c r="C30" t="s">
        <v>266</v>
      </c>
      <c r="F30" s="221">
        <v>0</v>
      </c>
      <c r="G30"/>
      <c r="I30" s="364" t="s">
        <v>97</v>
      </c>
      <c r="K30" s="364" t="s">
        <v>527</v>
      </c>
      <c r="M30" s="44" t="s">
        <v>97</v>
      </c>
    </row>
    <row r="31" spans="2:13" x14ac:dyDescent="0.2">
      <c r="C31" t="s">
        <v>267</v>
      </c>
      <c r="F31" s="221">
        <v>0</v>
      </c>
      <c r="G31"/>
      <c r="I31" s="364" t="s">
        <v>97</v>
      </c>
      <c r="K31" s="364" t="s">
        <v>527</v>
      </c>
      <c r="M31" s="44" t="s">
        <v>97</v>
      </c>
    </row>
    <row r="32" spans="2:13" x14ac:dyDescent="0.2">
      <c r="C32" t="s">
        <v>268</v>
      </c>
      <c r="F32" s="221">
        <v>0</v>
      </c>
      <c r="G32"/>
      <c r="I32" s="364" t="s">
        <v>97</v>
      </c>
      <c r="K32" s="364" t="s">
        <v>527</v>
      </c>
      <c r="M32" s="44" t="s">
        <v>97</v>
      </c>
    </row>
    <row r="33" spans="1:13" x14ac:dyDescent="0.2">
      <c r="C33" t="s">
        <v>269</v>
      </c>
      <c r="F33" s="221">
        <v>5800</v>
      </c>
      <c r="G33"/>
      <c r="I33" s="364" t="s">
        <v>97</v>
      </c>
      <c r="K33" s="364" t="s">
        <v>527</v>
      </c>
      <c r="M33" s="44" t="s">
        <v>97</v>
      </c>
    </row>
    <row r="34" spans="1:13" x14ac:dyDescent="0.2">
      <c r="C34" t="s">
        <v>378</v>
      </c>
      <c r="F34" s="221">
        <v>0</v>
      </c>
      <c r="G34"/>
      <c r="I34" s="364" t="s">
        <v>97</v>
      </c>
      <c r="K34" s="364" t="s">
        <v>527</v>
      </c>
      <c r="M34" s="44" t="s">
        <v>97</v>
      </c>
    </row>
    <row r="35" spans="1:13" x14ac:dyDescent="0.2">
      <c r="C35" t="s">
        <v>270</v>
      </c>
      <c r="F35" s="221">
        <v>0</v>
      </c>
      <c r="G35"/>
      <c r="I35" s="364" t="s">
        <v>97</v>
      </c>
      <c r="K35" s="364" t="s">
        <v>527</v>
      </c>
      <c r="M35" s="44" t="s">
        <v>97</v>
      </c>
    </row>
    <row r="36" spans="1:13" x14ac:dyDescent="0.2">
      <c r="A36" s="4" t="s">
        <v>351</v>
      </c>
      <c r="C36" t="s">
        <v>237</v>
      </c>
      <c r="F36" s="221">
        <v>0</v>
      </c>
      <c r="G36"/>
      <c r="I36" s="364" t="s">
        <v>97</v>
      </c>
      <c r="K36" s="364" t="s">
        <v>527</v>
      </c>
      <c r="M36" s="44" t="s">
        <v>97</v>
      </c>
    </row>
    <row r="37" spans="1:13" x14ac:dyDescent="0.2">
      <c r="C37" t="s">
        <v>238</v>
      </c>
      <c r="F37" s="221">
        <v>0</v>
      </c>
      <c r="G37"/>
      <c r="I37" s="364" t="s">
        <v>97</v>
      </c>
      <c r="K37" s="364" t="s">
        <v>527</v>
      </c>
      <c r="M37" s="44" t="s">
        <v>97</v>
      </c>
    </row>
    <row r="38" spans="1:13" x14ac:dyDescent="0.2">
      <c r="C38" t="s">
        <v>271</v>
      </c>
      <c r="F38" s="221">
        <v>0</v>
      </c>
      <c r="G38"/>
      <c r="I38" s="364" t="s">
        <v>97</v>
      </c>
      <c r="K38" s="364" t="s">
        <v>527</v>
      </c>
      <c r="M38" s="44" t="s">
        <v>97</v>
      </c>
    </row>
    <row r="39" spans="1:13" x14ac:dyDescent="0.2">
      <c r="C39" t="s">
        <v>273</v>
      </c>
      <c r="F39" s="221">
        <v>0</v>
      </c>
      <c r="G39"/>
      <c r="I39" s="364" t="s">
        <v>97</v>
      </c>
      <c r="K39" s="364" t="s">
        <v>527</v>
      </c>
      <c r="M39" s="44" t="s">
        <v>97</v>
      </c>
    </row>
    <row r="40" spans="1:13" x14ac:dyDescent="0.2">
      <c r="C40" t="s">
        <v>274</v>
      </c>
      <c r="F40" s="221">
        <v>0</v>
      </c>
      <c r="G40"/>
      <c r="I40" s="364" t="s">
        <v>97</v>
      </c>
      <c r="K40" s="364" t="s">
        <v>527</v>
      </c>
      <c r="M40" s="44" t="s">
        <v>97</v>
      </c>
    </row>
    <row r="41" spans="1:13" x14ac:dyDescent="0.2">
      <c r="C41" t="s">
        <v>272</v>
      </c>
      <c r="F41" s="221">
        <v>0</v>
      </c>
      <c r="G41"/>
      <c r="I41" s="364" t="s">
        <v>97</v>
      </c>
      <c r="K41" s="364" t="s">
        <v>527</v>
      </c>
      <c r="M41" s="44" t="s">
        <v>97</v>
      </c>
    </row>
    <row r="42" spans="1:13" ht="12" customHeight="1" x14ac:dyDescent="0.2">
      <c r="C42" t="s">
        <v>257</v>
      </c>
      <c r="F42" s="221">
        <v>0</v>
      </c>
      <c r="G42"/>
      <c r="I42" s="364" t="s">
        <v>97</v>
      </c>
      <c r="K42" s="364" t="s">
        <v>527</v>
      </c>
      <c r="M42" s="44" t="s">
        <v>97</v>
      </c>
    </row>
    <row r="43" spans="1:13" x14ac:dyDescent="0.2">
      <c r="C43" t="s">
        <v>55</v>
      </c>
      <c r="F43" s="221">
        <v>0</v>
      </c>
      <c r="G43"/>
      <c r="I43" s="364" t="s">
        <v>97</v>
      </c>
      <c r="K43" s="364" t="s">
        <v>527</v>
      </c>
      <c r="M43" s="44" t="s">
        <v>97</v>
      </c>
    </row>
    <row r="44" spans="1:13" ht="15.75" thickBot="1" x14ac:dyDescent="0.25">
      <c r="C44" s="118" t="s">
        <v>529</v>
      </c>
      <c r="E44" s="353" t="s">
        <v>141</v>
      </c>
      <c r="F44" s="66">
        <f>F24+SUM(F27:F43)</f>
        <v>419078</v>
      </c>
      <c r="G44"/>
      <c r="I44" s="364" t="s">
        <v>97</v>
      </c>
      <c r="K44" s="364" t="s">
        <v>527</v>
      </c>
      <c r="M44" s="44" t="s">
        <v>97</v>
      </c>
    </row>
    <row r="45" spans="1:13" ht="7.5" customHeight="1" thickTop="1" x14ac:dyDescent="0.2">
      <c r="G45"/>
      <c r="I45" s="44"/>
      <c r="M45" s="44"/>
    </row>
    <row r="46" spans="1:13" ht="24" customHeight="1" x14ac:dyDescent="0.2">
      <c r="A46" s="765" t="s">
        <v>334</v>
      </c>
      <c r="B46" s="971" t="s">
        <v>653</v>
      </c>
      <c r="C46" s="972"/>
      <c r="D46" s="972"/>
      <c r="E46" s="972"/>
      <c r="F46" s="972"/>
      <c r="G46" s="972"/>
      <c r="H46" s="972"/>
      <c r="I46" s="972"/>
      <c r="J46" s="972"/>
      <c r="K46" s="972"/>
      <c r="L46" s="972"/>
      <c r="M46" s="973"/>
    </row>
    <row r="47" spans="1:13" ht="3" hidden="1" customHeight="1" x14ac:dyDescent="0.2">
      <c r="G47" s="45"/>
      <c r="H47" s="45"/>
      <c r="I47" s="45"/>
      <c r="J47" s="45"/>
      <c r="K47" s="45"/>
      <c r="L47" s="45"/>
      <c r="M47" s="45"/>
    </row>
    <row r="48" spans="1:13" x14ac:dyDescent="0.2">
      <c r="F48" s="3" t="s">
        <v>644</v>
      </c>
      <c r="G48" s="45"/>
      <c r="H48" s="45"/>
      <c r="I48" s="45"/>
      <c r="J48" s="45"/>
      <c r="K48" s="45"/>
      <c r="L48" s="45"/>
      <c r="M48" s="45"/>
    </row>
    <row r="49" spans="1:13" x14ac:dyDescent="0.2">
      <c r="C49" s="450" t="str">
        <f>'Conversion Worksheet'!C25</f>
        <v>Land</v>
      </c>
      <c r="F49" s="221">
        <v>9000</v>
      </c>
      <c r="G49" s="45"/>
      <c r="H49" s="45"/>
      <c r="I49" s="45"/>
      <c r="J49" s="45"/>
      <c r="K49" s="45"/>
      <c r="L49" s="45"/>
      <c r="M49" s="45"/>
    </row>
    <row r="50" spans="1:13" x14ac:dyDescent="0.2">
      <c r="C50" s="450" t="str">
        <f>'Conversion Worksheet'!C28</f>
        <v>Construction in progress</v>
      </c>
      <c r="F50" s="221">
        <v>0</v>
      </c>
      <c r="G50" s="45"/>
      <c r="H50" s="45"/>
      <c r="I50" s="45"/>
      <c r="J50" s="45"/>
      <c r="K50" s="45"/>
      <c r="L50" s="45"/>
      <c r="M50" s="45"/>
    </row>
    <row r="51" spans="1:13" ht="12" customHeight="1" x14ac:dyDescent="0.2">
      <c r="C51" s="450" t="str">
        <f>'Conversion Worksheet'!C29</f>
        <v>Buildings</v>
      </c>
      <c r="F51" s="221">
        <v>400000</v>
      </c>
      <c r="G51" s="45"/>
      <c r="H51" s="45"/>
      <c r="I51" s="992" t="s">
        <v>21</v>
      </c>
      <c r="J51" s="992"/>
      <c r="K51" s="992"/>
      <c r="L51" s="992"/>
      <c r="M51" s="992"/>
    </row>
    <row r="52" spans="1:13" x14ac:dyDescent="0.2">
      <c r="C52" s="450" t="str">
        <f>'Conversion Worksheet'!C44</f>
        <v>Library Books</v>
      </c>
      <c r="F52" s="221">
        <v>0</v>
      </c>
      <c r="G52" s="45"/>
      <c r="H52" s="45"/>
      <c r="I52" s="992"/>
      <c r="J52" s="992"/>
      <c r="K52" s="992"/>
      <c r="L52" s="992"/>
      <c r="M52" s="992"/>
    </row>
    <row r="53" spans="1:13" x14ac:dyDescent="0.2">
      <c r="C53" s="450" t="str">
        <f>'Conversion Worksheet'!C34</f>
        <v>Equipment and Furniture</v>
      </c>
      <c r="F53" s="221">
        <v>4278</v>
      </c>
      <c r="G53" s="45"/>
      <c r="H53" s="45"/>
      <c r="I53" s="992"/>
      <c r="J53" s="992"/>
      <c r="K53" s="992"/>
      <c r="L53" s="992"/>
      <c r="M53" s="992"/>
    </row>
    <row r="54" spans="1:13" x14ac:dyDescent="0.2">
      <c r="C54" s="450" t="str">
        <f>'Conversion Worksheet'!C39</f>
        <v>Vehicles &amp; Motorized Equipment</v>
      </c>
      <c r="F54" s="221">
        <v>0</v>
      </c>
      <c r="G54" s="45"/>
      <c r="H54" s="45"/>
      <c r="I54" s="45"/>
      <c r="J54" s="45"/>
      <c r="K54" s="45"/>
      <c r="L54" s="45"/>
      <c r="M54" s="45"/>
    </row>
    <row r="55" spans="1:13" x14ac:dyDescent="0.2">
      <c r="C55" s="451" t="str">
        <f>'Conversion Worksheet'!C49</f>
        <v>Computer equipment</v>
      </c>
      <c r="F55" s="221">
        <v>5800</v>
      </c>
      <c r="G55" s="45"/>
      <c r="H55" s="977" t="str">
        <f>IF(F44=F57," ","Recheck numbers in Section A or B. Entry is out of balance.")</f>
        <v xml:space="preserve"> </v>
      </c>
      <c r="I55" s="977"/>
      <c r="J55" s="45"/>
      <c r="K55" s="45"/>
      <c r="L55" s="45"/>
      <c r="M55" s="45"/>
    </row>
    <row r="56" spans="1:13" ht="12.75" customHeight="1" x14ac:dyDescent="0.2">
      <c r="C56" s="451" t="str">
        <f>'Conversion Worksheet'!C54</f>
        <v>Other Asset Class 1</v>
      </c>
      <c r="F56" s="224">
        <v>0</v>
      </c>
      <c r="G56" s="45"/>
      <c r="H56" s="977"/>
      <c r="I56" s="977"/>
      <c r="J56" s="45"/>
      <c r="K56" s="45"/>
      <c r="L56" s="45"/>
      <c r="M56" s="45"/>
    </row>
    <row r="57" spans="1:13" ht="15.75" customHeight="1" thickBot="1" x14ac:dyDescent="0.25">
      <c r="E57" s="353" t="s">
        <v>141</v>
      </c>
      <c r="F57" s="72">
        <f>SUM(F49:F56)</f>
        <v>419078</v>
      </c>
      <c r="G57" s="45"/>
      <c r="H57" s="977"/>
      <c r="I57" s="977"/>
      <c r="J57" s="45"/>
      <c r="K57" s="45"/>
      <c r="L57" s="45"/>
      <c r="M57" s="45"/>
    </row>
    <row r="58" spans="1:13" ht="6" customHeight="1" thickTop="1" x14ac:dyDescent="0.35">
      <c r="F58" s="8"/>
      <c r="G58" s="45"/>
      <c r="H58" s="53"/>
      <c r="I58" s="45"/>
      <c r="J58" s="45"/>
      <c r="K58" s="45"/>
      <c r="L58" s="45"/>
      <c r="M58" s="45"/>
    </row>
    <row r="59" spans="1:13" ht="12.75" customHeight="1" x14ac:dyDescent="0.2">
      <c r="A59" s="991" t="s">
        <v>515</v>
      </c>
      <c r="B59" s="980" t="s">
        <v>425</v>
      </c>
      <c r="C59" s="981"/>
      <c r="D59" s="981"/>
      <c r="E59" s="981"/>
      <c r="F59" s="981"/>
      <c r="G59" s="981"/>
      <c r="H59" s="981"/>
      <c r="I59" s="981"/>
      <c r="J59" s="981"/>
      <c r="K59" s="981"/>
      <c r="L59" s="981"/>
      <c r="M59" s="982"/>
    </row>
    <row r="60" spans="1:13" x14ac:dyDescent="0.2">
      <c r="A60" s="991"/>
      <c r="B60" s="983"/>
      <c r="C60" s="984"/>
      <c r="D60" s="984"/>
      <c r="E60" s="984"/>
      <c r="F60" s="984"/>
      <c r="G60" s="984"/>
      <c r="H60" s="984"/>
      <c r="I60" s="984"/>
      <c r="J60" s="984"/>
      <c r="K60" s="984"/>
      <c r="L60" s="984"/>
      <c r="M60" s="985"/>
    </row>
    <row r="61" spans="1:13" ht="43.5" customHeight="1" x14ac:dyDescent="0.2">
      <c r="A61" s="991"/>
      <c r="B61" s="986"/>
      <c r="C61" s="987"/>
      <c r="D61" s="987"/>
      <c r="E61" s="987"/>
      <c r="F61" s="987"/>
      <c r="G61" s="987"/>
      <c r="H61" s="987"/>
      <c r="I61" s="987"/>
      <c r="J61" s="987"/>
      <c r="K61" s="987"/>
      <c r="L61" s="987"/>
      <c r="M61" s="988"/>
    </row>
    <row r="62" spans="1:13" ht="16.5" x14ac:dyDescent="0.35">
      <c r="F62" s="350" t="s">
        <v>197</v>
      </c>
      <c r="G62" s="45"/>
      <c r="H62" s="53"/>
      <c r="I62" s="351" t="s">
        <v>198</v>
      </c>
      <c r="J62" s="45"/>
      <c r="K62" s="351" t="s">
        <v>199</v>
      </c>
      <c r="L62" s="45"/>
      <c r="M62" s="352" t="s">
        <v>457</v>
      </c>
    </row>
    <row r="63" spans="1:13" s="35" customFormat="1" ht="13.5" customHeight="1" x14ac:dyDescent="0.35">
      <c r="A63" s="96"/>
      <c r="C63" s="160" t="s">
        <v>548</v>
      </c>
      <c r="F63" s="417"/>
      <c r="G63" s="418"/>
      <c r="H63" s="419"/>
      <c r="I63" s="229"/>
      <c r="J63" s="418"/>
      <c r="K63" s="417"/>
      <c r="L63" s="418"/>
      <c r="M63" s="420">
        <f>F63+I63+K63</f>
        <v>0</v>
      </c>
    </row>
    <row r="64" spans="1:13" s="35" customFormat="1" ht="13.5" customHeight="1" x14ac:dyDescent="0.35">
      <c r="A64" s="96"/>
      <c r="C64" s="424" t="s">
        <v>324</v>
      </c>
      <c r="F64" s="417"/>
      <c r="G64" s="418"/>
      <c r="H64" s="419"/>
      <c r="I64" s="229"/>
      <c r="J64" s="418"/>
      <c r="K64" s="417"/>
      <c r="L64" s="418"/>
      <c r="M64" s="420">
        <f>F64+I64+K64</f>
        <v>0</v>
      </c>
    </row>
    <row r="65" spans="1:13" s="35" customFormat="1" ht="13.5" customHeight="1" x14ac:dyDescent="0.35">
      <c r="A65" s="96"/>
      <c r="C65" s="35" t="s">
        <v>263</v>
      </c>
      <c r="F65" s="421" t="s">
        <v>97</v>
      </c>
      <c r="G65" s="418"/>
      <c r="H65" s="419"/>
      <c r="I65" s="229"/>
      <c r="J65" s="418"/>
      <c r="K65" s="421" t="s">
        <v>527</v>
      </c>
      <c r="L65" s="418"/>
      <c r="M65" s="420">
        <f t="shared" ref="M65:M74" si="0">I65</f>
        <v>0</v>
      </c>
    </row>
    <row r="66" spans="1:13" s="35" customFormat="1" ht="13.5" customHeight="1" x14ac:dyDescent="0.35">
      <c r="A66" s="96"/>
      <c r="C66" s="35" t="s">
        <v>264</v>
      </c>
      <c r="F66" s="421" t="s">
        <v>97</v>
      </c>
      <c r="G66" s="418"/>
      <c r="H66" s="419"/>
      <c r="I66" s="229"/>
      <c r="J66" s="418"/>
      <c r="K66" s="421" t="s">
        <v>527</v>
      </c>
      <c r="L66" s="418"/>
      <c r="M66" s="420">
        <f t="shared" si="0"/>
        <v>0</v>
      </c>
    </row>
    <row r="67" spans="1:13" s="35" customFormat="1" ht="13.5" customHeight="1" x14ac:dyDescent="0.35">
      <c r="A67" s="96"/>
      <c r="C67" s="35" t="s">
        <v>265</v>
      </c>
      <c r="F67" s="421" t="s">
        <v>97</v>
      </c>
      <c r="G67" s="418"/>
      <c r="H67" s="419"/>
      <c r="I67" s="229"/>
      <c r="J67" s="418"/>
      <c r="K67" s="421" t="s">
        <v>527</v>
      </c>
      <c r="L67" s="418"/>
      <c r="M67" s="420">
        <f t="shared" si="0"/>
        <v>0</v>
      </c>
    </row>
    <row r="68" spans="1:13" s="35" customFormat="1" ht="13.5" customHeight="1" x14ac:dyDescent="0.35">
      <c r="A68" s="96"/>
      <c r="C68" s="35" t="s">
        <v>266</v>
      </c>
      <c r="F68" s="421" t="s">
        <v>97</v>
      </c>
      <c r="G68" s="418"/>
      <c r="H68" s="419"/>
      <c r="I68" s="229"/>
      <c r="J68" s="418"/>
      <c r="K68" s="421" t="s">
        <v>527</v>
      </c>
      <c r="L68" s="418"/>
      <c r="M68" s="420">
        <f t="shared" si="0"/>
        <v>0</v>
      </c>
    </row>
    <row r="69" spans="1:13" s="35" customFormat="1" ht="13.5" customHeight="1" x14ac:dyDescent="0.35">
      <c r="A69" s="96"/>
      <c r="C69" s="35" t="s">
        <v>267</v>
      </c>
      <c r="F69" s="421" t="s">
        <v>97</v>
      </c>
      <c r="G69" s="418"/>
      <c r="H69" s="419"/>
      <c r="I69" s="229"/>
      <c r="J69" s="418"/>
      <c r="K69" s="421" t="s">
        <v>527</v>
      </c>
      <c r="L69" s="418"/>
      <c r="M69" s="420">
        <f t="shared" si="0"/>
        <v>0</v>
      </c>
    </row>
    <row r="70" spans="1:13" s="35" customFormat="1" ht="13.5" customHeight="1" x14ac:dyDescent="0.35">
      <c r="A70" s="96"/>
      <c r="C70" s="35" t="s">
        <v>268</v>
      </c>
      <c r="F70" s="421" t="s">
        <v>97</v>
      </c>
      <c r="G70" s="418"/>
      <c r="H70" s="419"/>
      <c r="I70" s="229"/>
      <c r="J70" s="418"/>
      <c r="K70" s="421" t="s">
        <v>527</v>
      </c>
      <c r="L70" s="418"/>
      <c r="M70" s="420">
        <f t="shared" si="0"/>
        <v>0</v>
      </c>
    </row>
    <row r="71" spans="1:13" s="35" customFormat="1" ht="13.5" customHeight="1" x14ac:dyDescent="0.35">
      <c r="A71" s="96"/>
      <c r="C71" s="35" t="s">
        <v>269</v>
      </c>
      <c r="F71" s="421" t="s">
        <v>97</v>
      </c>
      <c r="G71" s="418"/>
      <c r="H71" s="419"/>
      <c r="I71" s="229"/>
      <c r="J71" s="418"/>
      <c r="K71" s="421" t="s">
        <v>527</v>
      </c>
      <c r="L71" s="418"/>
      <c r="M71" s="420">
        <f t="shared" si="0"/>
        <v>0</v>
      </c>
    </row>
    <row r="72" spans="1:13" s="35" customFormat="1" ht="13.5" customHeight="1" x14ac:dyDescent="0.35">
      <c r="A72" s="96"/>
      <c r="C72" s="35" t="s">
        <v>378</v>
      </c>
      <c r="F72" s="421" t="s">
        <v>97</v>
      </c>
      <c r="G72" s="418"/>
      <c r="H72" s="419"/>
      <c r="I72" s="229"/>
      <c r="J72" s="418"/>
      <c r="K72" s="421" t="s">
        <v>527</v>
      </c>
      <c r="L72" s="418"/>
      <c r="M72" s="420">
        <f t="shared" si="0"/>
        <v>0</v>
      </c>
    </row>
    <row r="73" spans="1:13" s="35" customFormat="1" ht="13.5" customHeight="1" x14ac:dyDescent="0.35">
      <c r="A73" s="96"/>
      <c r="C73" s="35" t="s">
        <v>270</v>
      </c>
      <c r="F73" s="421" t="s">
        <v>97</v>
      </c>
      <c r="G73" s="418"/>
      <c r="H73" s="419"/>
      <c r="I73" s="229"/>
      <c r="J73" s="418"/>
      <c r="K73" s="421" t="s">
        <v>527</v>
      </c>
      <c r="L73" s="418"/>
      <c r="M73" s="420">
        <f t="shared" si="0"/>
        <v>0</v>
      </c>
    </row>
    <row r="74" spans="1:13" s="35" customFormat="1" ht="13.5" customHeight="1" x14ac:dyDescent="0.35">
      <c r="A74" s="96"/>
      <c r="C74" s="35" t="s">
        <v>237</v>
      </c>
      <c r="F74" s="421" t="s">
        <v>97</v>
      </c>
      <c r="G74" s="418"/>
      <c r="H74" s="419"/>
      <c r="I74" s="229"/>
      <c r="J74" s="418"/>
      <c r="K74" s="421" t="s">
        <v>527</v>
      </c>
      <c r="L74" s="418"/>
      <c r="M74" s="420">
        <f t="shared" si="0"/>
        <v>0</v>
      </c>
    </row>
    <row r="75" spans="1:13" s="35" customFormat="1" ht="13.5" customHeight="1" x14ac:dyDescent="0.35">
      <c r="A75" s="96"/>
      <c r="C75" s="35" t="s">
        <v>238</v>
      </c>
      <c r="F75" s="417">
        <v>0</v>
      </c>
      <c r="G75" s="418"/>
      <c r="H75" s="419"/>
      <c r="I75" s="229">
        <v>0</v>
      </c>
      <c r="J75" s="418"/>
      <c r="K75" s="417"/>
      <c r="L75" s="418"/>
      <c r="M75" s="420">
        <f>K75+I75+F75</f>
        <v>0</v>
      </c>
    </row>
    <row r="76" spans="1:13" s="35" customFormat="1" ht="13.5" customHeight="1" x14ac:dyDescent="0.35">
      <c r="A76" s="96"/>
      <c r="C76" s="35" t="s">
        <v>271</v>
      </c>
      <c r="F76" s="421" t="s">
        <v>97</v>
      </c>
      <c r="G76" s="418"/>
      <c r="H76" s="419"/>
      <c r="I76" s="229"/>
      <c r="J76" s="418"/>
      <c r="K76" s="421" t="s">
        <v>527</v>
      </c>
      <c r="L76" s="418"/>
      <c r="M76" s="420">
        <f t="shared" ref="M76:M81" si="1">I76</f>
        <v>0</v>
      </c>
    </row>
    <row r="77" spans="1:13" s="35" customFormat="1" ht="13.5" customHeight="1" x14ac:dyDescent="0.35">
      <c r="A77" s="96"/>
      <c r="C77" s="35" t="s">
        <v>273</v>
      </c>
      <c r="F77" s="421" t="s">
        <v>97</v>
      </c>
      <c r="G77" s="418"/>
      <c r="H77" s="419"/>
      <c r="I77" s="229"/>
      <c r="J77" s="418"/>
      <c r="K77" s="421" t="s">
        <v>527</v>
      </c>
      <c r="L77" s="418"/>
      <c r="M77" s="420">
        <f t="shared" si="1"/>
        <v>0</v>
      </c>
    </row>
    <row r="78" spans="1:13" s="35" customFormat="1" ht="13.5" customHeight="1" x14ac:dyDescent="0.35">
      <c r="A78" s="96"/>
      <c r="C78" s="35" t="s">
        <v>274</v>
      </c>
      <c r="F78" s="421" t="s">
        <v>97</v>
      </c>
      <c r="G78" s="418"/>
      <c r="H78" s="419"/>
      <c r="I78" s="229"/>
      <c r="J78" s="418"/>
      <c r="K78" s="421" t="s">
        <v>527</v>
      </c>
      <c r="L78" s="418"/>
      <c r="M78" s="420">
        <f t="shared" si="1"/>
        <v>0</v>
      </c>
    </row>
    <row r="79" spans="1:13" s="35" customFormat="1" ht="13.5" customHeight="1" x14ac:dyDescent="0.35">
      <c r="A79" s="96"/>
      <c r="C79" s="35" t="s">
        <v>272</v>
      </c>
      <c r="F79" s="421" t="s">
        <v>97</v>
      </c>
      <c r="G79" s="418"/>
      <c r="H79" s="419"/>
      <c r="I79" s="229"/>
      <c r="J79" s="418"/>
      <c r="K79" s="421" t="s">
        <v>527</v>
      </c>
      <c r="L79" s="418"/>
      <c r="M79" s="420">
        <f t="shared" si="1"/>
        <v>0</v>
      </c>
    </row>
    <row r="80" spans="1:13" s="35" customFormat="1" ht="13.5" customHeight="1" x14ac:dyDescent="0.35">
      <c r="A80" s="96"/>
      <c r="C80" s="35" t="s">
        <v>257</v>
      </c>
      <c r="F80" s="421" t="s">
        <v>97</v>
      </c>
      <c r="G80" s="418"/>
      <c r="H80" s="419"/>
      <c r="I80" s="229"/>
      <c r="J80" s="418"/>
      <c r="K80" s="421" t="s">
        <v>527</v>
      </c>
      <c r="L80" s="418"/>
      <c r="M80" s="420">
        <f t="shared" si="1"/>
        <v>0</v>
      </c>
    </row>
    <row r="81" spans="1:15" s="35" customFormat="1" ht="13.5" customHeight="1" x14ac:dyDescent="0.35">
      <c r="A81" s="96"/>
      <c r="C81" s="35" t="s">
        <v>55</v>
      </c>
      <c r="F81" s="421" t="s">
        <v>97</v>
      </c>
      <c r="G81" s="418"/>
      <c r="H81" s="419"/>
      <c r="I81" s="229"/>
      <c r="J81" s="418"/>
      <c r="K81" s="421" t="s">
        <v>527</v>
      </c>
      <c r="L81" s="418"/>
      <c r="M81" s="420">
        <f t="shared" si="1"/>
        <v>0</v>
      </c>
    </row>
    <row r="82" spans="1:15" ht="38.25" customHeight="1" thickBot="1" x14ac:dyDescent="0.25">
      <c r="C82" s="446" t="s">
        <v>736</v>
      </c>
      <c r="F82" s="66">
        <f>SUM(F63:F81)</f>
        <v>0</v>
      </c>
      <c r="G82" s="45"/>
      <c r="I82" s="66">
        <f>SUM(I63:I81)</f>
        <v>0</v>
      </c>
      <c r="J82" s="45"/>
      <c r="K82" s="66">
        <f>SUM(K63:K81)</f>
        <v>0</v>
      </c>
      <c r="L82" s="353" t="s">
        <v>142</v>
      </c>
      <c r="M82" s="66">
        <f>SUM(M63:M81)</f>
        <v>0</v>
      </c>
    </row>
    <row r="83" spans="1:15" ht="17.25" thickTop="1" x14ac:dyDescent="0.35">
      <c r="C83" t="s">
        <v>351</v>
      </c>
      <c r="G83" s="45"/>
      <c r="I83" s="53" t="str">
        <f>IF(I24=M82," ","Recheck numbers in Section A or C. Entry is out of balance.")</f>
        <v xml:space="preserve"> </v>
      </c>
      <c r="J83" s="45"/>
      <c r="K83" s="45"/>
    </row>
    <row r="84" spans="1:15" ht="25.5" customHeight="1" x14ac:dyDescent="0.2">
      <c r="A84" s="765" t="s">
        <v>517</v>
      </c>
      <c r="B84" s="971" t="s">
        <v>535</v>
      </c>
      <c r="C84" s="972"/>
      <c r="D84" s="972"/>
      <c r="E84" s="972"/>
      <c r="F84" s="972"/>
      <c r="G84" s="972"/>
      <c r="H84" s="972"/>
      <c r="I84" s="972"/>
      <c r="J84" s="972"/>
      <c r="K84" s="972"/>
      <c r="L84" s="972"/>
      <c r="M84" s="973"/>
    </row>
    <row r="85" spans="1:15" ht="4.5" customHeight="1" x14ac:dyDescent="0.2">
      <c r="A85"/>
      <c r="G85"/>
    </row>
    <row r="86" spans="1:15" ht="39" customHeight="1" x14ac:dyDescent="0.2">
      <c r="A86"/>
      <c r="B86" s="4" t="s">
        <v>534</v>
      </c>
      <c r="E86" s="46" t="s">
        <v>518</v>
      </c>
      <c r="F86" s="46" t="s">
        <v>537</v>
      </c>
      <c r="G86"/>
      <c r="H86" s="287" t="s">
        <v>628</v>
      </c>
      <c r="I86" s="287" t="s">
        <v>629</v>
      </c>
      <c r="J86" s="287" t="s">
        <v>309</v>
      </c>
      <c r="K86" s="422" t="str">
        <f>C55</f>
        <v>Computer equipment</v>
      </c>
      <c r="L86" s="422" t="str">
        <f>C56</f>
        <v>Other Asset Class 1</v>
      </c>
      <c r="M86" s="56" t="s">
        <v>457</v>
      </c>
    </row>
    <row r="87" spans="1:15" ht="12.75" customHeight="1" x14ac:dyDescent="0.2">
      <c r="A87"/>
      <c r="B87" t="s">
        <v>60</v>
      </c>
      <c r="C87" s="858" t="s">
        <v>473</v>
      </c>
      <c r="D87" s="858"/>
      <c r="E87" s="996"/>
      <c r="F87" s="996"/>
      <c r="G87" s="34"/>
      <c r="H87" s="996"/>
      <c r="I87" s="996"/>
      <c r="J87" s="996">
        <v>0</v>
      </c>
      <c r="K87" s="998"/>
      <c r="L87" s="998"/>
      <c r="M87" s="993">
        <f>SUM(E87:L87)</f>
        <v>0</v>
      </c>
    </row>
    <row r="88" spans="1:15" ht="39.75" customHeight="1" x14ac:dyDescent="0.2">
      <c r="A88"/>
      <c r="C88" s="858"/>
      <c r="D88" s="858"/>
      <c r="E88" s="997"/>
      <c r="F88" s="997"/>
      <c r="G88" s="34"/>
      <c r="H88" s="997"/>
      <c r="I88" s="997"/>
      <c r="J88" s="997"/>
      <c r="K88" s="999"/>
      <c r="L88" s="999"/>
      <c r="M88" s="994"/>
    </row>
    <row r="89" spans="1:15" ht="3.75" customHeight="1" x14ac:dyDescent="0.2">
      <c r="A89"/>
      <c r="C89" s="34"/>
      <c r="D89" s="34"/>
      <c r="E89" s="34"/>
      <c r="F89" s="34"/>
      <c r="G89" s="34"/>
      <c r="H89" s="34"/>
      <c r="I89" s="34"/>
      <c r="J89" s="57"/>
      <c r="K89" s="57"/>
      <c r="L89" s="57"/>
      <c r="M89" s="11"/>
    </row>
    <row r="90" spans="1:15" ht="14.25" customHeight="1" x14ac:dyDescent="0.35">
      <c r="B90" s="38" t="s">
        <v>62</v>
      </c>
      <c r="C90" s="995" t="s">
        <v>1648</v>
      </c>
      <c r="D90" s="862"/>
      <c r="E90" s="862"/>
      <c r="F90" s="45"/>
      <c r="G90" s="53"/>
      <c r="H90" s="45"/>
      <c r="I90" s="45"/>
      <c r="J90" s="221"/>
      <c r="K90" s="45"/>
      <c r="L90" s="45"/>
    </row>
    <row r="91" spans="1:15" ht="4.5" customHeight="1" x14ac:dyDescent="0.35">
      <c r="F91" s="45"/>
      <c r="G91" s="53"/>
      <c r="H91" s="45"/>
      <c r="I91" s="45"/>
      <c r="J91" s="45"/>
      <c r="L91" s="372"/>
      <c r="M91" s="372"/>
    </row>
    <row r="92" spans="1:15" ht="14.25" customHeight="1" x14ac:dyDescent="0.35">
      <c r="B92" s="38" t="s">
        <v>441</v>
      </c>
      <c r="C92" s="858" t="s">
        <v>99</v>
      </c>
      <c r="D92" s="858"/>
      <c r="E92" s="858"/>
      <c r="F92" s="34"/>
      <c r="G92" s="53"/>
      <c r="H92" s="45"/>
      <c r="I92" s="45"/>
      <c r="J92" s="997"/>
      <c r="K92" s="1000" t="s">
        <v>81</v>
      </c>
      <c r="L92" s="1000"/>
      <c r="M92" s="1000"/>
      <c r="N92" s="1000"/>
      <c r="O92" s="1000"/>
    </row>
    <row r="93" spans="1:15" ht="13.5" customHeight="1" x14ac:dyDescent="0.35">
      <c r="B93" s="38"/>
      <c r="C93" s="858"/>
      <c r="D93" s="858"/>
      <c r="E93" s="858"/>
      <c r="F93" s="34"/>
      <c r="G93" s="53"/>
      <c r="H93" s="45"/>
      <c r="I93" s="45"/>
      <c r="J93" s="997"/>
      <c r="K93" s="1000"/>
      <c r="L93" s="1000"/>
      <c r="M93" s="1000"/>
      <c r="N93" s="1000"/>
      <c r="O93" s="1000"/>
    </row>
    <row r="94" spans="1:15" ht="9" customHeight="1" x14ac:dyDescent="0.2">
      <c r="F94" s="10"/>
      <c r="G94" s="45"/>
      <c r="H94" s="45"/>
      <c r="I94" s="45"/>
      <c r="J94" s="45"/>
      <c r="K94" s="1000"/>
      <c r="L94" s="1000"/>
      <c r="M94" s="1000"/>
      <c r="N94" s="1000"/>
      <c r="O94" s="1000"/>
    </row>
    <row r="95" spans="1:15" ht="4.5" customHeight="1" x14ac:dyDescent="0.2">
      <c r="F95" s="10"/>
      <c r="G95" s="45"/>
      <c r="H95" s="45"/>
      <c r="I95" s="45"/>
      <c r="J95" s="45"/>
      <c r="K95" s="373"/>
      <c r="L95" s="373"/>
      <c r="M95" s="373"/>
    </row>
    <row r="96" spans="1:15" ht="27.95" customHeight="1" x14ac:dyDescent="0.2">
      <c r="A96" s="765" t="s">
        <v>522</v>
      </c>
      <c r="B96" s="974" t="s">
        <v>178</v>
      </c>
      <c r="C96" s="978"/>
      <c r="D96" s="978"/>
      <c r="E96" s="978"/>
      <c r="F96" s="978"/>
      <c r="G96" s="978"/>
      <c r="H96" s="978"/>
      <c r="I96" s="978"/>
      <c r="J96" s="978"/>
      <c r="K96" s="978"/>
      <c r="L96" s="978"/>
      <c r="M96" s="979"/>
    </row>
    <row r="97" spans="4:13" ht="3" customHeight="1" x14ac:dyDescent="0.2"/>
    <row r="98" spans="4:13" x14ac:dyDescent="0.2">
      <c r="K98" s="46" t="s">
        <v>645</v>
      </c>
      <c r="M98" s="46" t="s">
        <v>646</v>
      </c>
    </row>
    <row r="99" spans="4:13" ht="3" customHeight="1" x14ac:dyDescent="0.2"/>
    <row r="100" spans="4:13" ht="12.75" customHeight="1" x14ac:dyDescent="0.2">
      <c r="D100" t="s">
        <v>288</v>
      </c>
      <c r="E100" s="11" t="str">
        <f t="shared" ref="E100:E107" si="2">C49</f>
        <v>Land</v>
      </c>
      <c r="K100" s="69">
        <f t="shared" ref="K100:K107" si="3">F49</f>
        <v>9000</v>
      </c>
      <c r="M100" s="69"/>
    </row>
    <row r="101" spans="4:13" x14ac:dyDescent="0.2">
      <c r="E101" s="11" t="str">
        <f t="shared" si="2"/>
        <v>Construction in progress</v>
      </c>
      <c r="K101" s="69">
        <f t="shared" si="3"/>
        <v>0</v>
      </c>
      <c r="M101" s="69"/>
    </row>
    <row r="102" spans="4:13" x14ac:dyDescent="0.2">
      <c r="E102" s="11" t="str">
        <f t="shared" si="2"/>
        <v>Buildings</v>
      </c>
      <c r="K102" s="69">
        <f t="shared" si="3"/>
        <v>400000</v>
      </c>
      <c r="M102" s="69"/>
    </row>
    <row r="103" spans="4:13" x14ac:dyDescent="0.2">
      <c r="E103" s="11" t="str">
        <f t="shared" si="2"/>
        <v>Library Books</v>
      </c>
      <c r="K103" s="69">
        <f t="shared" si="3"/>
        <v>0</v>
      </c>
      <c r="M103" s="69"/>
    </row>
    <row r="104" spans="4:13" x14ac:dyDescent="0.2">
      <c r="E104" s="11" t="str">
        <f t="shared" si="2"/>
        <v>Equipment and Furniture</v>
      </c>
      <c r="K104" s="69">
        <f t="shared" si="3"/>
        <v>4278</v>
      </c>
      <c r="M104" s="69"/>
    </row>
    <row r="105" spans="4:13" x14ac:dyDescent="0.2">
      <c r="E105" s="11" t="str">
        <f t="shared" si="2"/>
        <v>Vehicles &amp; Motorized Equipment</v>
      </c>
      <c r="K105" s="69">
        <f t="shared" si="3"/>
        <v>0</v>
      </c>
      <c r="M105" s="69"/>
    </row>
    <row r="106" spans="4:13" x14ac:dyDescent="0.2">
      <c r="E106" s="11" t="str">
        <f t="shared" si="2"/>
        <v>Computer equipment</v>
      </c>
      <c r="K106" s="69">
        <f t="shared" si="3"/>
        <v>5800</v>
      </c>
      <c r="M106" s="69"/>
    </row>
    <row r="107" spans="4:13" x14ac:dyDescent="0.2">
      <c r="E107" s="11" t="str">
        <f t="shared" si="2"/>
        <v>Other Asset Class 1</v>
      </c>
      <c r="K107" s="69">
        <f t="shared" si="3"/>
        <v>0</v>
      </c>
      <c r="M107" s="69"/>
    </row>
    <row r="108" spans="4:13" x14ac:dyDescent="0.2">
      <c r="F108" s="423" t="s">
        <v>263</v>
      </c>
      <c r="G108"/>
      <c r="H108" s="36"/>
      <c r="K108" s="69"/>
      <c r="M108" s="69">
        <f>F27</f>
        <v>4278</v>
      </c>
    </row>
    <row r="109" spans="4:13" x14ac:dyDescent="0.2">
      <c r="F109" s="423" t="s">
        <v>264</v>
      </c>
      <c r="G109"/>
      <c r="H109" s="36"/>
      <c r="K109" s="69"/>
      <c r="M109" s="69">
        <f t="shared" ref="M109:M124" si="4">F28</f>
        <v>0</v>
      </c>
    </row>
    <row r="110" spans="4:13" x14ac:dyDescent="0.2">
      <c r="F110" s="423" t="s">
        <v>265</v>
      </c>
      <c r="G110"/>
      <c r="H110" s="36"/>
      <c r="K110" s="69"/>
      <c r="M110" s="69">
        <f t="shared" si="4"/>
        <v>0</v>
      </c>
    </row>
    <row r="111" spans="4:13" x14ac:dyDescent="0.2">
      <c r="F111" s="423" t="s">
        <v>266</v>
      </c>
      <c r="G111"/>
      <c r="H111" s="36"/>
      <c r="K111" s="69"/>
      <c r="M111" s="69">
        <f t="shared" si="4"/>
        <v>0</v>
      </c>
    </row>
    <row r="112" spans="4:13" x14ac:dyDescent="0.2">
      <c r="F112" s="423" t="s">
        <v>267</v>
      </c>
      <c r="G112"/>
      <c r="H112" s="36"/>
      <c r="K112" s="69"/>
      <c r="M112" s="69">
        <f t="shared" si="4"/>
        <v>0</v>
      </c>
    </row>
    <row r="113" spans="6:13" x14ac:dyDescent="0.2">
      <c r="F113" s="423" t="s">
        <v>268</v>
      </c>
      <c r="G113"/>
      <c r="H113" s="36"/>
      <c r="K113" s="69"/>
      <c r="M113" s="69">
        <f t="shared" si="4"/>
        <v>0</v>
      </c>
    </row>
    <row r="114" spans="6:13" x14ac:dyDescent="0.2">
      <c r="F114" s="423" t="s">
        <v>269</v>
      </c>
      <c r="G114"/>
      <c r="H114" s="36"/>
      <c r="K114" s="69"/>
      <c r="M114" s="69">
        <f t="shared" si="4"/>
        <v>5800</v>
      </c>
    </row>
    <row r="115" spans="6:13" x14ac:dyDescent="0.2">
      <c r="F115" s="423" t="s">
        <v>378</v>
      </c>
      <c r="G115"/>
      <c r="H115" s="36"/>
      <c r="K115" s="69"/>
      <c r="M115" s="69">
        <f t="shared" si="4"/>
        <v>0</v>
      </c>
    </row>
    <row r="116" spans="6:13" x14ac:dyDescent="0.2">
      <c r="F116" s="423" t="s">
        <v>270</v>
      </c>
      <c r="G116"/>
      <c r="H116" s="36"/>
      <c r="K116" s="69"/>
      <c r="M116" s="69">
        <f t="shared" si="4"/>
        <v>0</v>
      </c>
    </row>
    <row r="117" spans="6:13" x14ac:dyDescent="0.2">
      <c r="F117" s="423" t="s">
        <v>237</v>
      </c>
      <c r="G117"/>
      <c r="H117" s="36"/>
      <c r="K117" s="69"/>
      <c r="M117" s="69">
        <f t="shared" si="4"/>
        <v>0</v>
      </c>
    </row>
    <row r="118" spans="6:13" x14ac:dyDescent="0.2">
      <c r="F118" s="423" t="s">
        <v>238</v>
      </c>
      <c r="G118"/>
      <c r="H118" s="36"/>
      <c r="K118" s="69"/>
      <c r="M118" s="69">
        <f t="shared" si="4"/>
        <v>0</v>
      </c>
    </row>
    <row r="119" spans="6:13" x14ac:dyDescent="0.2">
      <c r="F119" s="423" t="s">
        <v>271</v>
      </c>
      <c r="G119"/>
      <c r="H119" s="36"/>
      <c r="K119" s="69"/>
      <c r="M119" s="69">
        <f t="shared" si="4"/>
        <v>0</v>
      </c>
    </row>
    <row r="120" spans="6:13" x14ac:dyDescent="0.2">
      <c r="F120" s="423" t="s">
        <v>273</v>
      </c>
      <c r="G120"/>
      <c r="H120" s="36"/>
      <c r="K120" s="69"/>
      <c r="M120" s="69">
        <f t="shared" si="4"/>
        <v>0</v>
      </c>
    </row>
    <row r="121" spans="6:13" x14ac:dyDescent="0.2">
      <c r="F121" s="423" t="s">
        <v>274</v>
      </c>
      <c r="G121"/>
      <c r="H121" s="36"/>
      <c r="K121" s="69"/>
      <c r="M121" s="69">
        <f t="shared" si="4"/>
        <v>0</v>
      </c>
    </row>
    <row r="122" spans="6:13" x14ac:dyDescent="0.2">
      <c r="F122" s="423" t="s">
        <v>272</v>
      </c>
      <c r="G122"/>
      <c r="H122" s="36"/>
      <c r="K122" s="69"/>
      <c r="M122" s="69">
        <f t="shared" si="4"/>
        <v>0</v>
      </c>
    </row>
    <row r="123" spans="6:13" x14ac:dyDescent="0.2">
      <c r="F123" s="423" t="s">
        <v>257</v>
      </c>
      <c r="G123"/>
      <c r="H123" s="36"/>
      <c r="K123" s="69"/>
      <c r="M123" s="69">
        <f t="shared" si="4"/>
        <v>0</v>
      </c>
    </row>
    <row r="124" spans="6:13" x14ac:dyDescent="0.2">
      <c r="F124" s="423" t="s">
        <v>55</v>
      </c>
      <c r="G124"/>
      <c r="H124" s="36"/>
      <c r="K124" s="69"/>
      <c r="M124" s="69">
        <f t="shared" si="4"/>
        <v>0</v>
      </c>
    </row>
    <row r="125" spans="6:13" x14ac:dyDescent="0.2">
      <c r="F125" s="423" t="s">
        <v>294</v>
      </c>
      <c r="K125" s="69"/>
      <c r="M125" s="69">
        <f>F20</f>
        <v>409000</v>
      </c>
    </row>
    <row r="126" spans="6:13" x14ac:dyDescent="0.2">
      <c r="F126" s="423" t="s">
        <v>295</v>
      </c>
      <c r="K126" s="69"/>
      <c r="M126" s="69">
        <f>F21</f>
        <v>0</v>
      </c>
    </row>
    <row r="127" spans="6:13" x14ac:dyDescent="0.2">
      <c r="F127" s="423" t="s">
        <v>296</v>
      </c>
      <c r="K127" s="69"/>
      <c r="M127" s="69">
        <f>F22</f>
        <v>0</v>
      </c>
    </row>
    <row r="128" spans="6:13" ht="13.5" thickBot="1" x14ac:dyDescent="0.25">
      <c r="F128" s="423"/>
      <c r="K128" s="62">
        <f>SUM(K100:K127)</f>
        <v>419078</v>
      </c>
      <c r="M128" s="62">
        <f>SUM(M100:M127)</f>
        <v>419078</v>
      </c>
    </row>
    <row r="129" spans="4:13" ht="13.5" thickTop="1" x14ac:dyDescent="0.2"/>
    <row r="130" spans="4:13" x14ac:dyDescent="0.2">
      <c r="D130" t="s">
        <v>289</v>
      </c>
      <c r="E130" t="s">
        <v>548</v>
      </c>
      <c r="K130" s="64">
        <f>M63</f>
        <v>0</v>
      </c>
      <c r="M130" s="65"/>
    </row>
    <row r="131" spans="4:13" x14ac:dyDescent="0.2">
      <c r="E131" t="s">
        <v>324</v>
      </c>
      <c r="K131" s="64">
        <f>M64</f>
        <v>0</v>
      </c>
      <c r="M131" s="65"/>
    </row>
    <row r="132" spans="4:13" x14ac:dyDescent="0.2">
      <c r="E132" s="423" t="s">
        <v>263</v>
      </c>
      <c r="K132" s="64">
        <f t="shared" ref="K132:K148" si="5">M65</f>
        <v>0</v>
      </c>
      <c r="M132" s="65"/>
    </row>
    <row r="133" spans="4:13" x14ac:dyDescent="0.2">
      <c r="E133" s="423" t="s">
        <v>264</v>
      </c>
      <c r="K133" s="64">
        <f t="shared" si="5"/>
        <v>0</v>
      </c>
      <c r="M133" s="65"/>
    </row>
    <row r="134" spans="4:13" x14ac:dyDescent="0.2">
      <c r="E134" s="423" t="s">
        <v>265</v>
      </c>
      <c r="K134" s="64">
        <f t="shared" si="5"/>
        <v>0</v>
      </c>
      <c r="M134" s="65"/>
    </row>
    <row r="135" spans="4:13" x14ac:dyDescent="0.2">
      <c r="E135" s="423" t="s">
        <v>266</v>
      </c>
      <c r="K135" s="64">
        <f t="shared" si="5"/>
        <v>0</v>
      </c>
      <c r="M135" s="65"/>
    </row>
    <row r="136" spans="4:13" x14ac:dyDescent="0.2">
      <c r="E136" s="423" t="s">
        <v>267</v>
      </c>
      <c r="K136" s="64">
        <f t="shared" si="5"/>
        <v>0</v>
      </c>
      <c r="M136" s="65"/>
    </row>
    <row r="137" spans="4:13" x14ac:dyDescent="0.2">
      <c r="E137" s="423" t="s">
        <v>268</v>
      </c>
      <c r="K137" s="64">
        <f t="shared" si="5"/>
        <v>0</v>
      </c>
      <c r="M137" s="65"/>
    </row>
    <row r="138" spans="4:13" x14ac:dyDescent="0.2">
      <c r="E138" s="423" t="s">
        <v>269</v>
      </c>
      <c r="K138" s="64">
        <f t="shared" si="5"/>
        <v>0</v>
      </c>
      <c r="M138" s="65"/>
    </row>
    <row r="139" spans="4:13" x14ac:dyDescent="0.2">
      <c r="E139" s="423" t="s">
        <v>378</v>
      </c>
      <c r="K139" s="64">
        <f t="shared" si="5"/>
        <v>0</v>
      </c>
      <c r="M139" s="65"/>
    </row>
    <row r="140" spans="4:13" x14ac:dyDescent="0.2">
      <c r="E140" s="423" t="s">
        <v>270</v>
      </c>
      <c r="K140" s="64">
        <f t="shared" si="5"/>
        <v>0</v>
      </c>
      <c r="M140" s="65"/>
    </row>
    <row r="141" spans="4:13" x14ac:dyDescent="0.2">
      <c r="E141" s="423" t="s">
        <v>237</v>
      </c>
      <c r="K141" s="64">
        <f t="shared" si="5"/>
        <v>0</v>
      </c>
      <c r="M141" s="65"/>
    </row>
    <row r="142" spans="4:13" x14ac:dyDescent="0.2">
      <c r="E142" s="423" t="s">
        <v>238</v>
      </c>
      <c r="K142" s="64">
        <f t="shared" si="5"/>
        <v>0</v>
      </c>
      <c r="M142" s="65"/>
    </row>
    <row r="143" spans="4:13" x14ac:dyDescent="0.2">
      <c r="E143" s="423" t="s">
        <v>271</v>
      </c>
      <c r="K143" s="64">
        <f t="shared" si="5"/>
        <v>0</v>
      </c>
      <c r="M143" s="65"/>
    </row>
    <row r="144" spans="4:13" x14ac:dyDescent="0.2">
      <c r="E144" s="423" t="s">
        <v>273</v>
      </c>
      <c r="K144" s="64">
        <f t="shared" si="5"/>
        <v>0</v>
      </c>
      <c r="M144" s="65"/>
    </row>
    <row r="145" spans="4:13" x14ac:dyDescent="0.2">
      <c r="E145" s="423" t="s">
        <v>274</v>
      </c>
      <c r="K145" s="64">
        <f t="shared" si="5"/>
        <v>0</v>
      </c>
      <c r="M145" s="65"/>
    </row>
    <row r="146" spans="4:13" x14ac:dyDescent="0.2">
      <c r="E146" s="423" t="s">
        <v>272</v>
      </c>
      <c r="K146" s="64">
        <f t="shared" si="5"/>
        <v>0</v>
      </c>
      <c r="M146" s="65"/>
    </row>
    <row r="147" spans="4:13" x14ac:dyDescent="0.2">
      <c r="E147" s="423" t="s">
        <v>257</v>
      </c>
      <c r="K147" s="64">
        <f t="shared" si="5"/>
        <v>0</v>
      </c>
      <c r="M147" s="65"/>
    </row>
    <row r="148" spans="4:13" x14ac:dyDescent="0.2">
      <c r="E148" s="423" t="s">
        <v>55</v>
      </c>
      <c r="K148" s="64">
        <f t="shared" si="5"/>
        <v>0</v>
      </c>
      <c r="M148" s="65"/>
    </row>
    <row r="149" spans="4:13" x14ac:dyDescent="0.2">
      <c r="E149" s="349" t="s">
        <v>76</v>
      </c>
      <c r="K149" s="65"/>
      <c r="M149" s="64">
        <f>I20</f>
        <v>0</v>
      </c>
    </row>
    <row r="150" spans="4:13" x14ac:dyDescent="0.2">
      <c r="E150" s="349" t="s">
        <v>74</v>
      </c>
      <c r="K150" s="65"/>
      <c r="M150" s="64">
        <f>I21</f>
        <v>0</v>
      </c>
    </row>
    <row r="151" spans="4:13" x14ac:dyDescent="0.2">
      <c r="E151" s="349" t="s">
        <v>75</v>
      </c>
      <c r="K151" s="65"/>
      <c r="M151" s="64">
        <f>I22</f>
        <v>0</v>
      </c>
    </row>
    <row r="152" spans="4:13" ht="13.5" thickBot="1" x14ac:dyDescent="0.25">
      <c r="K152" s="66">
        <f>SUM(K130:K151)</f>
        <v>0</v>
      </c>
      <c r="M152" s="66">
        <f>SUM(M130:M151)</f>
        <v>0</v>
      </c>
    </row>
    <row r="153" spans="4:13" ht="13.5" thickTop="1" x14ac:dyDescent="0.2"/>
    <row r="154" spans="4:13" x14ac:dyDescent="0.2">
      <c r="D154" t="s">
        <v>320</v>
      </c>
      <c r="E154" s="11" t="str">
        <f>E86</f>
        <v>Land</v>
      </c>
      <c r="K154" s="64">
        <f>E87</f>
        <v>0</v>
      </c>
      <c r="M154" s="65"/>
    </row>
    <row r="155" spans="4:13" x14ac:dyDescent="0.2">
      <c r="E155" s="11" t="str">
        <f>F86</f>
        <v>Building</v>
      </c>
      <c r="K155" s="64">
        <f>F87</f>
        <v>0</v>
      </c>
      <c r="M155" s="65"/>
    </row>
    <row r="156" spans="4:13" x14ac:dyDescent="0.2">
      <c r="E156" s="11" t="str">
        <f>H86</f>
        <v>Equipment and Furniture</v>
      </c>
      <c r="K156" s="64">
        <f>H87</f>
        <v>0</v>
      </c>
      <c r="M156" s="65"/>
    </row>
    <row r="157" spans="4:13" x14ac:dyDescent="0.2">
      <c r="E157" s="11" t="str">
        <f>I86</f>
        <v>Library Books</v>
      </c>
      <c r="K157" s="64">
        <f>I87</f>
        <v>0</v>
      </c>
      <c r="M157" s="65"/>
    </row>
    <row r="158" spans="4:13" x14ac:dyDescent="0.2">
      <c r="E158" s="11" t="str">
        <f>J86</f>
        <v>Vehicles and Mot. Equip</v>
      </c>
      <c r="K158" s="64">
        <f>J87</f>
        <v>0</v>
      </c>
      <c r="M158" s="65"/>
    </row>
    <row r="159" spans="4:13" x14ac:dyDescent="0.2">
      <c r="E159" s="311" t="str">
        <f>K86</f>
        <v>Computer equipment</v>
      </c>
      <c r="K159" s="69">
        <f>K87</f>
        <v>0</v>
      </c>
      <c r="M159" s="65"/>
    </row>
    <row r="160" spans="4:13" x14ac:dyDescent="0.2">
      <c r="E160" s="311" t="str">
        <f>L86</f>
        <v>Other Asset Class 1</v>
      </c>
      <c r="K160" s="69">
        <f>L87</f>
        <v>0</v>
      </c>
      <c r="M160" s="64"/>
    </row>
    <row r="161" spans="5:13" x14ac:dyDescent="0.2">
      <c r="E161" s="349" t="s">
        <v>160</v>
      </c>
      <c r="K161" s="65"/>
      <c r="M161" s="64">
        <f>M87-(+J90+J92)</f>
        <v>0</v>
      </c>
    </row>
    <row r="162" spans="5:13" x14ac:dyDescent="0.2">
      <c r="E162" s="349" t="s">
        <v>133</v>
      </c>
      <c r="K162" s="65"/>
      <c r="M162" s="64">
        <f>J90</f>
        <v>0</v>
      </c>
    </row>
    <row r="163" spans="5:13" x14ac:dyDescent="0.2">
      <c r="E163" s="349" t="s">
        <v>30</v>
      </c>
      <c r="K163" s="65"/>
      <c r="M163" s="64">
        <f>J92</f>
        <v>0</v>
      </c>
    </row>
    <row r="164" spans="5:13" ht="13.5" thickBot="1" x14ac:dyDescent="0.25">
      <c r="K164" s="66">
        <f>SUM(K154:K161)</f>
        <v>0</v>
      </c>
      <c r="M164" s="66">
        <f>SUM(M154:M163)</f>
        <v>0</v>
      </c>
    </row>
    <row r="165" spans="5:13" ht="13.5" thickTop="1" x14ac:dyDescent="0.2"/>
  </sheetData>
  <sheetProtection algorithmName="SHA-512" hashValue="MrcXQg5pZXJwOY+6JclcsxRIkqDUhZADLo1QGQVXDtG4aOtLdxTfgh159N11LSMex02kPwv5IVKbtBiXVPQjlw==" saltValue="EzUFxIgK53wLg1Is/IcBWw==" spinCount="100000" sheet="1" objects="1" scenarios="1"/>
  <mergeCells count="27">
    <mergeCell ref="B96:M96"/>
    <mergeCell ref="B84:M84"/>
    <mergeCell ref="I51:M53"/>
    <mergeCell ref="M87:M88"/>
    <mergeCell ref="C90:E90"/>
    <mergeCell ref="C92:E93"/>
    <mergeCell ref="H87:H88"/>
    <mergeCell ref="I87:I88"/>
    <mergeCell ref="J87:J88"/>
    <mergeCell ref="K87:K88"/>
    <mergeCell ref="C87:D88"/>
    <mergeCell ref="J92:J93"/>
    <mergeCell ref="E87:E88"/>
    <mergeCell ref="F87:F88"/>
    <mergeCell ref="L87:L88"/>
    <mergeCell ref="K92:O94"/>
    <mergeCell ref="H55:I57"/>
    <mergeCell ref="A1:M1"/>
    <mergeCell ref="B16:M16"/>
    <mergeCell ref="B46:M46"/>
    <mergeCell ref="B59:M61"/>
    <mergeCell ref="C7:M8"/>
    <mergeCell ref="B3:M3"/>
    <mergeCell ref="B5:M5"/>
    <mergeCell ref="C12:M14"/>
    <mergeCell ref="C10:M10"/>
    <mergeCell ref="A59:A61"/>
  </mergeCells>
  <phoneticPr fontId="0" type="noConversion"/>
  <printOptions horizontalCentered="1"/>
  <pageMargins left="0.36" right="0.37" top="0.65" bottom="0.5" header="0.5" footer="0.5"/>
  <pageSetup scale="60" fitToHeight="0" orientation="portrait" r:id="rId1"/>
  <headerFooter alignWithMargins="0">
    <oddHeader>&amp;R&amp;"Arial,Bold"&amp;12Entry C</oddHeader>
    <oddFooter>&amp;R&amp;P</oddFooter>
  </headerFooter>
  <rowBreaks count="1" manualBreakCount="1">
    <brk id="82" max="14" man="1"/>
  </rowBreaks>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Y293"/>
  <sheetViews>
    <sheetView zoomScale="90" zoomScaleNormal="90" workbookViewId="0">
      <selection sqref="A1:T1"/>
    </sheetView>
  </sheetViews>
  <sheetFormatPr defaultRowHeight="12.75" x14ac:dyDescent="0.2"/>
  <cols>
    <col min="1" max="1" width="3.140625" customWidth="1"/>
    <col min="2" max="2" width="2.42578125" customWidth="1"/>
    <col min="3" max="3" width="3.5703125" customWidth="1"/>
    <col min="5" max="5" width="3.28515625" customWidth="1"/>
    <col min="6" max="6" width="11.28515625" customWidth="1"/>
    <col min="7" max="7" width="10" bestFit="1" customWidth="1"/>
    <col min="8" max="8" width="12.7109375" customWidth="1"/>
    <col min="9" max="9" width="10" customWidth="1"/>
    <col min="10" max="10" width="7.5703125" customWidth="1"/>
    <col min="11" max="11" width="7" customWidth="1"/>
    <col min="12" max="13" width="13.7109375" customWidth="1"/>
    <col min="14" max="14" width="1.28515625" customWidth="1"/>
    <col min="15" max="22" width="13.7109375" customWidth="1"/>
    <col min="23" max="23" width="2.85546875" customWidth="1"/>
    <col min="24" max="25" width="13.7109375" style="11" customWidth="1"/>
    <col min="26" max="26" width="11.85546875" customWidth="1"/>
    <col min="27" max="27" width="12.140625" customWidth="1"/>
  </cols>
  <sheetData>
    <row r="1" spans="1:20" ht="29.25" customHeight="1" x14ac:dyDescent="0.2">
      <c r="A1" s="963" t="s">
        <v>323</v>
      </c>
      <c r="B1" s="964"/>
      <c r="C1" s="964"/>
      <c r="D1" s="964"/>
      <c r="E1" s="964"/>
      <c r="F1" s="964"/>
      <c r="G1" s="964"/>
      <c r="H1" s="964"/>
      <c r="I1" s="964"/>
      <c r="J1" s="964"/>
      <c r="K1" s="964"/>
      <c r="L1" s="964"/>
      <c r="M1" s="964"/>
      <c r="N1" s="964"/>
      <c r="O1" s="964"/>
      <c r="P1" s="964"/>
      <c r="Q1" s="964"/>
      <c r="R1" s="964"/>
      <c r="S1" s="964"/>
      <c r="T1" s="965"/>
    </row>
    <row r="2" spans="1:20" ht="3" customHeight="1" x14ac:dyDescent="0.2">
      <c r="B2" s="1003"/>
      <c r="C2" s="1003"/>
      <c r="D2" s="1003"/>
      <c r="E2" s="1003"/>
      <c r="F2" s="1003"/>
      <c r="G2" s="1003"/>
      <c r="H2" s="1003"/>
      <c r="I2" s="1003"/>
      <c r="J2" s="1003"/>
      <c r="K2" s="1003"/>
      <c r="L2" s="1003"/>
      <c r="M2" s="1003"/>
      <c r="N2" s="1003"/>
    </row>
    <row r="3" spans="1:20" ht="51" customHeight="1" x14ac:dyDescent="0.2">
      <c r="B3" s="858" t="s">
        <v>416</v>
      </c>
      <c r="C3" s="858"/>
      <c r="D3" s="858"/>
      <c r="E3" s="858"/>
      <c r="F3" s="858"/>
      <c r="G3" s="858"/>
      <c r="H3" s="858"/>
      <c r="I3" s="858"/>
      <c r="J3" s="858"/>
      <c r="K3" s="858"/>
      <c r="L3" s="858"/>
      <c r="M3" s="858"/>
      <c r="N3" s="858"/>
      <c r="O3" s="858"/>
      <c r="P3" s="858"/>
      <c r="Q3" s="858"/>
      <c r="R3" s="858"/>
      <c r="S3" s="858"/>
      <c r="T3" s="858"/>
    </row>
    <row r="4" spans="1:20" ht="3.75" customHeight="1" x14ac:dyDescent="0.2">
      <c r="J4" s="2"/>
      <c r="K4" s="2"/>
    </row>
    <row r="5" spans="1:20" ht="14.25" customHeight="1" x14ac:dyDescent="0.2">
      <c r="A5" s="4"/>
      <c r="B5" s="38" t="s">
        <v>649</v>
      </c>
      <c r="C5" s="858" t="s">
        <v>292</v>
      </c>
      <c r="D5" s="858"/>
      <c r="E5" s="858"/>
      <c r="F5" s="858"/>
      <c r="G5" s="858"/>
      <c r="H5" s="858"/>
      <c r="I5" s="858"/>
      <c r="J5" s="858"/>
      <c r="K5" s="858"/>
      <c r="L5" s="858"/>
      <c r="M5" s="858"/>
      <c r="N5" s="858"/>
      <c r="O5" s="858"/>
      <c r="P5" s="858"/>
      <c r="Q5" s="858"/>
      <c r="R5" s="858"/>
      <c r="S5" s="858"/>
      <c r="T5" s="858"/>
    </row>
    <row r="6" spans="1:20" ht="25.5" customHeight="1" x14ac:dyDescent="0.2">
      <c r="A6" s="4"/>
      <c r="B6" s="38"/>
      <c r="C6" s="858"/>
      <c r="D6" s="858"/>
      <c r="E6" s="858"/>
      <c r="F6" s="858"/>
      <c r="G6" s="858"/>
      <c r="H6" s="858"/>
      <c r="I6" s="858"/>
      <c r="J6" s="858"/>
      <c r="K6" s="858"/>
      <c r="L6" s="858"/>
      <c r="M6" s="858"/>
      <c r="N6" s="858"/>
      <c r="O6" s="858"/>
      <c r="P6" s="858"/>
      <c r="Q6" s="858"/>
      <c r="R6" s="858"/>
      <c r="S6" s="858"/>
      <c r="T6" s="858"/>
    </row>
    <row r="7" spans="1:20" ht="4.5" customHeight="1" x14ac:dyDescent="0.2">
      <c r="A7" s="4"/>
    </row>
    <row r="8" spans="1:20" ht="12.75" customHeight="1" x14ac:dyDescent="0.2">
      <c r="A8" s="4"/>
      <c r="B8" s="38" t="s">
        <v>650</v>
      </c>
      <c r="C8" s="858" t="s">
        <v>369</v>
      </c>
      <c r="D8" s="858"/>
      <c r="E8" s="858"/>
      <c r="F8" s="858"/>
      <c r="G8" s="858"/>
      <c r="H8" s="858"/>
      <c r="I8" s="858"/>
      <c r="J8" s="858"/>
      <c r="K8" s="858"/>
      <c r="L8" s="858"/>
      <c r="M8" s="858"/>
      <c r="N8" s="858"/>
      <c r="O8" s="858"/>
      <c r="P8" s="858"/>
      <c r="Q8" s="858"/>
      <c r="R8" s="858"/>
      <c r="S8" s="858"/>
      <c r="T8" s="858"/>
    </row>
    <row r="9" spans="1:20" ht="24.75" customHeight="1" x14ac:dyDescent="0.2">
      <c r="A9" s="4"/>
      <c r="B9" s="38"/>
      <c r="C9" s="858"/>
      <c r="D9" s="858"/>
      <c r="E9" s="858"/>
      <c r="F9" s="858"/>
      <c r="G9" s="858"/>
      <c r="H9" s="858"/>
      <c r="I9" s="858"/>
      <c r="J9" s="858"/>
      <c r="K9" s="858"/>
      <c r="L9" s="858"/>
      <c r="M9" s="858"/>
      <c r="N9" s="858"/>
      <c r="O9" s="858"/>
      <c r="P9" s="858"/>
      <c r="Q9" s="858"/>
      <c r="R9" s="858"/>
      <c r="S9" s="858"/>
      <c r="T9" s="858"/>
    </row>
    <row r="10" spans="1:20" ht="4.5" customHeight="1" x14ac:dyDescent="0.2">
      <c r="A10" s="4"/>
    </row>
    <row r="11" spans="1:20" ht="27.75" customHeight="1" x14ac:dyDescent="0.2">
      <c r="A11" s="4"/>
      <c r="B11" s="38" t="s">
        <v>651</v>
      </c>
      <c r="C11" s="1003" t="s">
        <v>293</v>
      </c>
      <c r="D11" s="1003"/>
      <c r="E11" s="1003"/>
      <c r="F11" s="1003"/>
      <c r="G11" s="1003"/>
      <c r="H11" s="1003"/>
      <c r="I11" s="1003"/>
      <c r="J11" s="1003"/>
      <c r="K11" s="1003"/>
      <c r="L11" s="1003"/>
      <c r="M11" s="1003"/>
      <c r="N11" s="1003"/>
      <c r="O11" s="1003"/>
      <c r="P11" s="1003"/>
      <c r="Q11" s="1003"/>
      <c r="R11" s="1003"/>
      <c r="S11" s="1003"/>
      <c r="T11" s="1003"/>
    </row>
    <row r="12" spans="1:20" ht="36.75" customHeight="1" x14ac:dyDescent="0.2">
      <c r="A12" s="4"/>
      <c r="B12" s="38"/>
      <c r="C12" s="1003"/>
      <c r="D12" s="1003"/>
      <c r="E12" s="1003"/>
      <c r="F12" s="1003"/>
      <c r="G12" s="1003"/>
      <c r="H12" s="1003"/>
      <c r="I12" s="1003"/>
      <c r="J12" s="1003"/>
      <c r="K12" s="1003"/>
      <c r="L12" s="1003"/>
      <c r="M12" s="1003"/>
      <c r="N12" s="1003"/>
      <c r="O12" s="1003"/>
      <c r="P12" s="1003"/>
      <c r="Q12" s="1003"/>
      <c r="R12" s="1003"/>
      <c r="S12" s="1003"/>
      <c r="T12" s="1003"/>
    </row>
    <row r="13" spans="1:20" ht="4.5" customHeight="1" x14ac:dyDescent="0.2">
      <c r="A13" s="4"/>
      <c r="C13" s="11"/>
      <c r="D13" s="11"/>
      <c r="E13" s="11"/>
      <c r="F13" s="11"/>
      <c r="G13" s="11"/>
      <c r="H13" s="11"/>
      <c r="I13" s="11"/>
      <c r="J13" s="11"/>
      <c r="K13" s="11"/>
      <c r="L13" s="11"/>
      <c r="M13" s="11"/>
      <c r="N13" s="11"/>
      <c r="O13" s="11"/>
    </row>
    <row r="14" spans="1:20" x14ac:dyDescent="0.2">
      <c r="A14" s="4"/>
      <c r="B14" s="38" t="s">
        <v>335</v>
      </c>
      <c r="C14" s="1003" t="s">
        <v>82</v>
      </c>
      <c r="D14" s="1003"/>
      <c r="E14" s="1003"/>
      <c r="F14" s="1003"/>
      <c r="G14" s="1003"/>
      <c r="H14" s="1003"/>
      <c r="I14" s="1003"/>
      <c r="J14" s="1003"/>
      <c r="K14" s="1003"/>
      <c r="L14" s="1003"/>
      <c r="M14" s="1003"/>
      <c r="N14" s="1003"/>
      <c r="O14" s="1003"/>
      <c r="P14" s="1003"/>
      <c r="Q14" s="1003"/>
      <c r="R14" s="1003"/>
      <c r="S14" s="1003"/>
      <c r="T14" s="1003"/>
    </row>
    <row r="15" spans="1:20" ht="5.25" customHeight="1" x14ac:dyDescent="0.2">
      <c r="A15" s="4"/>
      <c r="C15" s="52"/>
      <c r="D15" s="52"/>
      <c r="E15" s="52"/>
      <c r="F15" s="52"/>
      <c r="G15" s="52"/>
      <c r="H15" s="52"/>
      <c r="I15" s="52"/>
      <c r="J15" s="52"/>
      <c r="K15" s="52"/>
      <c r="L15" s="52"/>
      <c r="M15" s="52"/>
      <c r="N15" s="52"/>
      <c r="O15" s="52"/>
      <c r="P15" s="52"/>
      <c r="Q15" s="35"/>
      <c r="R15" s="35"/>
      <c r="S15" s="35"/>
    </row>
    <row r="16" spans="1:20" ht="12.75" customHeight="1" x14ac:dyDescent="0.2">
      <c r="A16" s="4"/>
      <c r="B16" s="38" t="s">
        <v>336</v>
      </c>
      <c r="C16" s="858" t="s">
        <v>606</v>
      </c>
      <c r="D16" s="858"/>
      <c r="E16" s="858"/>
      <c r="F16" s="858"/>
      <c r="G16" s="858"/>
      <c r="H16" s="858"/>
      <c r="I16" s="858"/>
      <c r="J16" s="858"/>
      <c r="K16" s="858"/>
      <c r="L16" s="858"/>
      <c r="M16" s="858"/>
      <c r="N16" s="858"/>
      <c r="O16" s="858"/>
      <c r="P16" s="858"/>
      <c r="Q16" s="858"/>
      <c r="R16" s="858"/>
      <c r="S16" s="858"/>
      <c r="T16" s="858"/>
    </row>
    <row r="17" spans="1:20" ht="5.25" customHeight="1" x14ac:dyDescent="0.2">
      <c r="A17" s="4"/>
      <c r="C17" s="52"/>
      <c r="D17" s="52"/>
      <c r="E17" s="52"/>
      <c r="F17" s="52"/>
      <c r="G17" s="52"/>
      <c r="H17" s="52"/>
      <c r="I17" s="52"/>
      <c r="J17" s="52"/>
      <c r="K17" s="52"/>
      <c r="L17" s="52"/>
      <c r="M17" s="52"/>
      <c r="N17" s="52"/>
      <c r="O17" s="52"/>
      <c r="P17" s="52"/>
      <c r="Q17" s="35"/>
      <c r="R17" s="35"/>
      <c r="S17" s="35"/>
    </row>
    <row r="18" spans="1:20" ht="12.75" customHeight="1" x14ac:dyDescent="0.2">
      <c r="A18" s="4"/>
      <c r="B18" s="38" t="s">
        <v>182</v>
      </c>
      <c r="C18" s="858" t="s">
        <v>467</v>
      </c>
      <c r="D18" s="858"/>
      <c r="E18" s="858"/>
      <c r="F18" s="858"/>
      <c r="G18" s="858"/>
      <c r="H18" s="858"/>
      <c r="I18" s="858"/>
      <c r="J18" s="858"/>
      <c r="K18" s="858"/>
      <c r="L18" s="858"/>
      <c r="M18" s="858"/>
      <c r="N18" s="858"/>
      <c r="O18" s="858"/>
      <c r="P18" s="858"/>
      <c r="Q18" s="858"/>
      <c r="R18" s="858"/>
      <c r="S18" s="858"/>
      <c r="T18" s="858"/>
    </row>
    <row r="19" spans="1:20" ht="14.25" customHeight="1" x14ac:dyDescent="0.2">
      <c r="A19" s="4"/>
      <c r="B19" s="38"/>
      <c r="C19" s="858"/>
      <c r="D19" s="858"/>
      <c r="E19" s="858"/>
      <c r="F19" s="858"/>
      <c r="G19" s="858"/>
      <c r="H19" s="858"/>
      <c r="I19" s="858"/>
      <c r="J19" s="858"/>
      <c r="K19" s="858"/>
      <c r="L19" s="858"/>
      <c r="M19" s="858"/>
      <c r="N19" s="858"/>
      <c r="O19" s="858"/>
      <c r="P19" s="858"/>
      <c r="Q19" s="858"/>
      <c r="R19" s="858"/>
      <c r="S19" s="858"/>
      <c r="T19" s="858"/>
    </row>
    <row r="20" spans="1:20" ht="5.25" customHeight="1" x14ac:dyDescent="0.2">
      <c r="A20" s="4"/>
    </row>
    <row r="21" spans="1:20" ht="25.5" customHeight="1" x14ac:dyDescent="0.2">
      <c r="A21" s="765" t="s">
        <v>333</v>
      </c>
      <c r="B21" s="971" t="s">
        <v>578</v>
      </c>
      <c r="C21" s="972"/>
      <c r="D21" s="972"/>
      <c r="E21" s="972"/>
      <c r="F21" s="972"/>
      <c r="G21" s="972"/>
      <c r="H21" s="972"/>
      <c r="I21" s="972"/>
      <c r="J21" s="972"/>
      <c r="K21" s="972"/>
      <c r="L21" s="972"/>
      <c r="M21" s="972"/>
      <c r="N21" s="972"/>
      <c r="O21" s="972"/>
      <c r="P21" s="972"/>
      <c r="Q21" s="972"/>
      <c r="R21" s="972"/>
      <c r="S21" s="972"/>
      <c r="T21" s="973"/>
    </row>
    <row r="22" spans="1:20" ht="2.25" customHeight="1" x14ac:dyDescent="0.2">
      <c r="A22" s="4"/>
      <c r="L22" s="50"/>
      <c r="M22" s="50"/>
      <c r="N22" s="50"/>
      <c r="O22" s="1019" t="str">
        <f>'Conversion Worksheet'!C34</f>
        <v>Equipment and Furniture</v>
      </c>
      <c r="P22" s="1020" t="str">
        <f>'Conversion Worksheet'!C44</f>
        <v>Library Books</v>
      </c>
      <c r="Q22" s="1020" t="str">
        <f>'Conversion Worksheet'!C39</f>
        <v>Vehicles &amp; Motorized Equipment</v>
      </c>
      <c r="R22" s="1017" t="str">
        <f>'Conversion Worksheet'!C49</f>
        <v>Computer equipment</v>
      </c>
      <c r="S22" s="1018" t="str">
        <f>'Conversion Worksheet'!C54</f>
        <v>Other Asset Class 1</v>
      </c>
    </row>
    <row r="23" spans="1:20" ht="39.75" customHeight="1" x14ac:dyDescent="0.2">
      <c r="A23" s="4"/>
      <c r="L23" s="46" t="str">
        <f>'Conversion Worksheet'!C25</f>
        <v>Land</v>
      </c>
      <c r="M23" s="46" t="str">
        <f>'Conversion Worksheet'!C29</f>
        <v>Buildings</v>
      </c>
      <c r="N23" s="50"/>
      <c r="O23" s="1013"/>
      <c r="P23" s="1013"/>
      <c r="Q23" s="1013"/>
      <c r="R23" s="1010"/>
      <c r="S23" s="1010"/>
      <c r="T23" s="56" t="s">
        <v>457</v>
      </c>
    </row>
    <row r="24" spans="1:20" ht="15.75" customHeight="1" x14ac:dyDescent="0.2">
      <c r="A24" s="4"/>
      <c r="B24" s="54" t="s">
        <v>649</v>
      </c>
      <c r="C24" s="4" t="s">
        <v>64</v>
      </c>
      <c r="P24" s="41"/>
      <c r="Q24" s="41"/>
      <c r="R24" s="41"/>
      <c r="S24" s="41"/>
    </row>
    <row r="25" spans="1:20" ht="6.75" customHeight="1" x14ac:dyDescent="0.2">
      <c r="A25" s="4"/>
      <c r="B25" s="54"/>
      <c r="C25" s="4"/>
      <c r="P25" s="41"/>
      <c r="Q25" s="41"/>
      <c r="R25" s="41"/>
      <c r="S25" s="41"/>
    </row>
    <row r="26" spans="1:20" ht="12.75" customHeight="1" x14ac:dyDescent="0.2">
      <c r="A26" s="4"/>
      <c r="C26" t="s">
        <v>60</v>
      </c>
      <c r="D26" s="858" t="s">
        <v>61</v>
      </c>
      <c r="E26" s="858"/>
      <c r="F26" s="858"/>
      <c r="G26" s="858"/>
      <c r="H26" s="858"/>
      <c r="I26" s="858"/>
      <c r="L26" s="1001"/>
      <c r="M26" s="1002"/>
      <c r="O26" s="1002"/>
      <c r="P26" s="1002"/>
      <c r="Q26" s="1002"/>
      <c r="R26" s="1021"/>
      <c r="S26" s="1021"/>
      <c r="T26" s="1006">
        <f>SUM(L26:S26)</f>
        <v>0</v>
      </c>
    </row>
    <row r="27" spans="1:20" ht="13.5" customHeight="1" x14ac:dyDescent="0.2">
      <c r="A27" s="4"/>
      <c r="D27" s="858"/>
      <c r="E27" s="858"/>
      <c r="F27" s="858"/>
      <c r="G27" s="858"/>
      <c r="H27" s="858"/>
      <c r="I27" s="858"/>
      <c r="L27" s="1001"/>
      <c r="M27" s="1002"/>
      <c r="O27" s="1002"/>
      <c r="P27" s="1002"/>
      <c r="Q27" s="1002"/>
      <c r="R27" s="1021"/>
      <c r="S27" s="1021"/>
      <c r="T27" s="1006"/>
    </row>
    <row r="28" spans="1:20" ht="5.25" customHeight="1" x14ac:dyDescent="0.2">
      <c r="L28" s="36"/>
      <c r="T28" s="33"/>
    </row>
    <row r="29" spans="1:20" ht="12.75" customHeight="1" x14ac:dyDescent="0.2">
      <c r="C29" t="s">
        <v>62</v>
      </c>
      <c r="D29" s="858" t="s">
        <v>440</v>
      </c>
      <c r="E29" s="858"/>
      <c r="F29" s="858"/>
      <c r="G29" s="858"/>
      <c r="H29" s="858"/>
      <c r="I29" s="858"/>
      <c r="L29" s="63" t="s">
        <v>521</v>
      </c>
      <c r="M29" s="1002"/>
      <c r="O29" s="1002"/>
      <c r="P29" s="1002"/>
      <c r="Q29" s="1002"/>
      <c r="R29" s="1002"/>
      <c r="S29" s="1002"/>
      <c r="T29" s="1006">
        <f>SUM(M29:S29)</f>
        <v>0</v>
      </c>
    </row>
    <row r="30" spans="1:20" ht="12.75" customHeight="1" x14ac:dyDescent="0.2">
      <c r="D30" s="858"/>
      <c r="E30" s="858"/>
      <c r="F30" s="858"/>
      <c r="G30" s="858"/>
      <c r="H30" s="858"/>
      <c r="I30" s="858"/>
      <c r="L30" s="63"/>
      <c r="M30" s="1002"/>
      <c r="O30" s="1002"/>
      <c r="P30" s="1002"/>
      <c r="Q30" s="1002"/>
      <c r="R30" s="1002"/>
      <c r="S30" s="1002"/>
      <c r="T30" s="1006"/>
    </row>
    <row r="31" spans="1:20" ht="5.25" customHeight="1" x14ac:dyDescent="0.2">
      <c r="L31" s="55"/>
      <c r="T31" s="33">
        <f>SUM(M31:S31)</f>
        <v>0</v>
      </c>
    </row>
    <row r="32" spans="1:20" ht="12.75" customHeight="1" x14ac:dyDescent="0.2">
      <c r="C32" t="s">
        <v>441</v>
      </c>
      <c r="D32" s="858" t="s">
        <v>641</v>
      </c>
      <c r="E32" s="858"/>
      <c r="F32" s="858"/>
      <c r="G32" s="858"/>
      <c r="H32" s="858"/>
      <c r="I32" s="858"/>
      <c r="L32" s="63" t="s">
        <v>521</v>
      </c>
      <c r="M32" s="1002"/>
      <c r="O32" s="1002"/>
      <c r="P32" s="1002"/>
      <c r="Q32" s="1002"/>
      <c r="R32" s="1002"/>
      <c r="S32" s="1002"/>
      <c r="T32" s="1006">
        <f>SUM(M32:S32)</f>
        <v>0</v>
      </c>
    </row>
    <row r="33" spans="2:20" ht="13.5" customHeight="1" x14ac:dyDescent="0.2">
      <c r="D33" s="858"/>
      <c r="E33" s="858"/>
      <c r="F33" s="858"/>
      <c r="G33" s="858"/>
      <c r="H33" s="858"/>
      <c r="I33" s="858"/>
      <c r="L33" s="63"/>
      <c r="M33" s="1002"/>
      <c r="O33" s="1002"/>
      <c r="P33" s="1002"/>
      <c r="Q33" s="1002"/>
      <c r="R33" s="1002"/>
      <c r="S33" s="1002"/>
      <c r="T33" s="1006"/>
    </row>
    <row r="34" spans="2:20" ht="3.75" customHeight="1" x14ac:dyDescent="0.2">
      <c r="D34" s="34"/>
      <c r="E34" s="34"/>
      <c r="F34" s="34"/>
      <c r="G34" s="34"/>
      <c r="H34" s="34"/>
      <c r="I34" s="34"/>
      <c r="L34" s="36"/>
    </row>
    <row r="35" spans="2:20" ht="13.5" customHeight="1" x14ac:dyDescent="0.2">
      <c r="D35" s="34"/>
      <c r="E35" s="858" t="s">
        <v>540</v>
      </c>
      <c r="F35" s="858"/>
      <c r="G35" s="858"/>
      <c r="H35" s="858"/>
      <c r="I35" s="858"/>
      <c r="L35" s="61">
        <f>L26</f>
        <v>0</v>
      </c>
      <c r="M35" s="190">
        <f>M26-(M29+M32)</f>
        <v>0</v>
      </c>
      <c r="N35" s="12"/>
      <c r="O35" s="190">
        <f>O26-(O29+O32)</f>
        <v>0</v>
      </c>
      <c r="P35" s="190">
        <f>P26-(P29+P32)</f>
        <v>0</v>
      </c>
      <c r="Q35" s="190">
        <f>Q26-(Q29+Q32)</f>
        <v>0</v>
      </c>
      <c r="R35" s="190">
        <f>R26-R29-R32</f>
        <v>0</v>
      </c>
      <c r="S35" s="190">
        <f>S26-S29-S32</f>
        <v>0</v>
      </c>
      <c r="T35" s="61">
        <f>T26-(T29+T32)</f>
        <v>0</v>
      </c>
    </row>
    <row r="36" spans="2:20" ht="6.75" customHeight="1" x14ac:dyDescent="0.2">
      <c r="D36" s="34"/>
      <c r="E36" s="34"/>
      <c r="F36" s="34"/>
      <c r="G36" s="34"/>
      <c r="H36" s="34"/>
      <c r="I36" s="34"/>
      <c r="L36" s="36"/>
    </row>
    <row r="37" spans="2:20" ht="26.25" customHeight="1" x14ac:dyDescent="0.2">
      <c r="C37" t="s">
        <v>536</v>
      </c>
      <c r="D37" s="858" t="s">
        <v>318</v>
      </c>
      <c r="E37" s="858"/>
      <c r="F37" s="858"/>
      <c r="G37" s="858"/>
      <c r="H37" s="858"/>
      <c r="I37" s="34"/>
      <c r="L37" s="221"/>
      <c r="M37" s="225"/>
      <c r="O37" s="225"/>
      <c r="P37" s="225"/>
      <c r="Q37" s="225"/>
      <c r="R37" s="225"/>
      <c r="S37" s="225"/>
      <c r="T37" s="425">
        <f>SUM(L37:S37)</f>
        <v>0</v>
      </c>
    </row>
    <row r="38" spans="2:20" ht="13.5" customHeight="1" x14ac:dyDescent="0.2">
      <c r="D38" s="34"/>
      <c r="E38" s="34"/>
      <c r="F38" s="34"/>
      <c r="G38" s="34"/>
      <c r="H38" s="34"/>
      <c r="I38" s="34"/>
      <c r="L38" s="36"/>
    </row>
    <row r="39" spans="2:20" ht="13.5" thickBot="1" x14ac:dyDescent="0.25">
      <c r="E39" t="s">
        <v>541</v>
      </c>
      <c r="L39" s="62">
        <f>L37-L35</f>
        <v>0</v>
      </c>
      <c r="M39" s="138">
        <f>M37-M35</f>
        <v>0</v>
      </c>
      <c r="N39" s="12"/>
      <c r="O39" s="138">
        <f t="shared" ref="O39:T39" si="0">O37-O35</f>
        <v>0</v>
      </c>
      <c r="P39" s="138">
        <f t="shared" si="0"/>
        <v>0</v>
      </c>
      <c r="Q39" s="138">
        <f t="shared" si="0"/>
        <v>0</v>
      </c>
      <c r="R39" s="138">
        <f t="shared" si="0"/>
        <v>0</v>
      </c>
      <c r="S39" s="138">
        <f t="shared" si="0"/>
        <v>0</v>
      </c>
      <c r="T39" s="138">
        <f t="shared" si="0"/>
        <v>0</v>
      </c>
    </row>
    <row r="40" spans="2:20" ht="9" customHeight="1" thickTop="1" x14ac:dyDescent="0.2"/>
    <row r="41" spans="2:20" ht="12.75" customHeight="1" x14ac:dyDescent="0.2">
      <c r="D41" s="1015" t="s">
        <v>93</v>
      </c>
      <c r="E41" s="1016"/>
      <c r="F41" s="1016"/>
      <c r="G41" s="1016"/>
      <c r="H41" s="1016"/>
      <c r="I41" s="1016"/>
      <c r="J41" s="1016"/>
      <c r="K41" s="1016"/>
      <c r="L41" s="1016"/>
      <c r="M41" s="1016"/>
      <c r="N41" s="1016"/>
      <c r="O41" s="1016"/>
      <c r="P41" s="1016"/>
      <c r="Q41" s="1016"/>
      <c r="R41" s="1016"/>
      <c r="S41" s="1016"/>
      <c r="T41" s="1016"/>
    </row>
    <row r="42" spans="2:20" ht="6" customHeight="1" x14ac:dyDescent="0.2">
      <c r="O42" s="12"/>
    </row>
    <row r="43" spans="2:20" ht="12.75" customHeight="1" x14ac:dyDescent="0.2">
      <c r="L43" s="50"/>
      <c r="M43" s="50"/>
      <c r="N43" s="50"/>
      <c r="O43" s="1012" t="str">
        <f>O22</f>
        <v>Equipment and Furniture</v>
      </c>
      <c r="P43" s="1012" t="str">
        <f>P22</f>
        <v>Library Books</v>
      </c>
      <c r="Q43" s="1012" t="str">
        <f>Q22</f>
        <v>Vehicles &amp; Motorized Equipment</v>
      </c>
      <c r="R43" s="1009" t="str">
        <f>R22</f>
        <v>Computer equipment</v>
      </c>
      <c r="S43" s="1011" t="str">
        <f>S22</f>
        <v>Other Asset Class 1</v>
      </c>
    </row>
    <row r="44" spans="2:20" ht="24.75" customHeight="1" x14ac:dyDescent="0.2">
      <c r="B44" s="54" t="s">
        <v>650</v>
      </c>
      <c r="C44" s="4" t="s">
        <v>219</v>
      </c>
      <c r="L44" s="46" t="str">
        <f>L23</f>
        <v>Land</v>
      </c>
      <c r="M44" s="46" t="str">
        <f>M23</f>
        <v>Buildings</v>
      </c>
      <c r="N44" s="50"/>
      <c r="O44" s="1013"/>
      <c r="P44" s="1014"/>
      <c r="Q44" s="1014"/>
      <c r="R44" s="1010"/>
      <c r="S44" s="1010"/>
      <c r="T44" s="56" t="s">
        <v>457</v>
      </c>
    </row>
    <row r="45" spans="2:20" ht="12.75" customHeight="1" x14ac:dyDescent="0.2">
      <c r="C45" t="s">
        <v>60</v>
      </c>
      <c r="D45" s="858" t="s">
        <v>545</v>
      </c>
      <c r="E45" s="858"/>
      <c r="F45" s="858"/>
      <c r="G45" s="858"/>
      <c r="H45" s="858"/>
      <c r="I45" s="858"/>
      <c r="L45" s="996"/>
      <c r="M45" s="996"/>
      <c r="N45" s="36"/>
      <c r="O45" s="996"/>
      <c r="P45" s="996"/>
      <c r="Q45" s="996"/>
      <c r="R45" s="998"/>
      <c r="S45" s="998"/>
      <c r="T45" s="1006">
        <f>SUM(L45:S45)</f>
        <v>0</v>
      </c>
    </row>
    <row r="46" spans="2:20" ht="12" customHeight="1" x14ac:dyDescent="0.2">
      <c r="D46" s="858"/>
      <c r="E46" s="858"/>
      <c r="F46" s="858"/>
      <c r="G46" s="858"/>
      <c r="H46" s="858"/>
      <c r="I46" s="858"/>
      <c r="L46" s="1001"/>
      <c r="M46" s="1001"/>
      <c r="N46" s="36"/>
      <c r="O46" s="1001"/>
      <c r="P46" s="1001"/>
      <c r="Q46" s="1001"/>
      <c r="R46" s="1002"/>
      <c r="S46" s="1002"/>
      <c r="T46" s="1006"/>
    </row>
    <row r="47" spans="2:20" ht="5.25" customHeight="1" x14ac:dyDescent="0.2">
      <c r="L47" s="36"/>
      <c r="M47" s="36"/>
      <c r="N47" s="36"/>
      <c r="O47" s="36"/>
      <c r="P47" s="36"/>
      <c r="Q47" s="36"/>
      <c r="T47" s="33"/>
    </row>
    <row r="48" spans="2:20" ht="12.75" customHeight="1" x14ac:dyDescent="0.2">
      <c r="C48" t="s">
        <v>62</v>
      </c>
      <c r="D48" s="858" t="s">
        <v>657</v>
      </c>
      <c r="E48" s="858"/>
      <c r="F48" s="858"/>
      <c r="G48" s="858"/>
      <c r="H48" s="858"/>
      <c r="I48" s="858"/>
      <c r="L48" s="63" t="s">
        <v>521</v>
      </c>
      <c r="M48" s="1001"/>
      <c r="N48" s="36"/>
      <c r="O48" s="1001"/>
      <c r="P48" s="1001"/>
      <c r="Q48" s="1001"/>
      <c r="R48" s="1001"/>
      <c r="S48" s="1001"/>
      <c r="T48" s="1006">
        <f>SUM(M48:S48)</f>
        <v>0</v>
      </c>
    </row>
    <row r="49" spans="1:20" ht="12.75" customHeight="1" x14ac:dyDescent="0.2">
      <c r="D49" s="858"/>
      <c r="E49" s="858"/>
      <c r="F49" s="858"/>
      <c r="G49" s="858"/>
      <c r="H49" s="858"/>
      <c r="I49" s="858"/>
      <c r="L49" s="63"/>
      <c r="M49" s="1001"/>
      <c r="N49" s="36"/>
      <c r="O49" s="1001"/>
      <c r="P49" s="1001"/>
      <c r="Q49" s="1001"/>
      <c r="R49" s="1001"/>
      <c r="S49" s="1001"/>
      <c r="T49" s="1006"/>
    </row>
    <row r="50" spans="1:20" ht="5.25" customHeight="1" x14ac:dyDescent="0.2">
      <c r="L50" s="55"/>
      <c r="M50" s="36"/>
      <c r="N50" s="36"/>
      <c r="O50" s="36"/>
      <c r="P50" s="36"/>
      <c r="Q50" s="36"/>
      <c r="R50" s="36"/>
      <c r="S50" s="36"/>
      <c r="T50" s="33">
        <f>SUM(M50:S50)</f>
        <v>0</v>
      </c>
    </row>
    <row r="51" spans="1:20" ht="13.5" customHeight="1" x14ac:dyDescent="0.2">
      <c r="C51" t="s">
        <v>441</v>
      </c>
      <c r="D51" s="858" t="s">
        <v>319</v>
      </c>
      <c r="E51" s="858"/>
      <c r="F51" s="858"/>
      <c r="G51" s="858"/>
      <c r="H51" s="858"/>
      <c r="I51" s="858"/>
      <c r="L51" s="63" t="s">
        <v>521</v>
      </c>
      <c r="M51" s="1001"/>
      <c r="N51" s="36"/>
      <c r="O51" s="1001"/>
      <c r="P51" s="1001"/>
      <c r="Q51" s="1001"/>
      <c r="R51" s="1001"/>
      <c r="S51" s="1001"/>
      <c r="T51" s="1006">
        <f>SUM(M51:S51)</f>
        <v>0</v>
      </c>
    </row>
    <row r="52" spans="1:20" ht="13.5" customHeight="1" x14ac:dyDescent="0.2">
      <c r="D52" s="858"/>
      <c r="E52" s="858"/>
      <c r="F52" s="858"/>
      <c r="G52" s="858"/>
      <c r="H52" s="858"/>
      <c r="I52" s="858"/>
      <c r="L52" s="63"/>
      <c r="M52" s="1001"/>
      <c r="N52" s="36"/>
      <c r="O52" s="1001"/>
      <c r="P52" s="1001"/>
      <c r="Q52" s="1001"/>
      <c r="R52" s="1001"/>
      <c r="S52" s="1001"/>
      <c r="T52" s="1006"/>
    </row>
    <row r="53" spans="1:20" ht="5.25" customHeight="1" x14ac:dyDescent="0.2">
      <c r="L53" s="36"/>
      <c r="M53" s="36"/>
      <c r="N53" s="36"/>
      <c r="O53" s="36"/>
      <c r="P53" s="36"/>
      <c r="Q53" s="36"/>
    </row>
    <row r="54" spans="1:20" ht="12.75" customHeight="1" x14ac:dyDescent="0.2">
      <c r="E54" t="s">
        <v>540</v>
      </c>
      <c r="L54" s="61">
        <f>L45</f>
        <v>0</v>
      </c>
      <c r="M54" s="61">
        <f>M45-(M48+M51)</f>
        <v>0</v>
      </c>
      <c r="N54" s="45"/>
      <c r="O54" s="61">
        <f t="shared" ref="O54:T54" si="1">O45-(O48+O51)</f>
        <v>0</v>
      </c>
      <c r="P54" s="61">
        <f t="shared" si="1"/>
        <v>0</v>
      </c>
      <c r="Q54" s="61">
        <f t="shared" si="1"/>
        <v>0</v>
      </c>
      <c r="R54" s="61">
        <f t="shared" si="1"/>
        <v>0</v>
      </c>
      <c r="S54" s="61">
        <f t="shared" si="1"/>
        <v>0</v>
      </c>
      <c r="T54" s="61">
        <f t="shared" si="1"/>
        <v>0</v>
      </c>
    </row>
    <row r="55" spans="1:20" ht="4.5" customHeight="1" x14ac:dyDescent="0.2">
      <c r="L55" s="36"/>
      <c r="M55" s="36"/>
      <c r="N55" s="36"/>
      <c r="O55" s="36"/>
      <c r="P55" s="36"/>
      <c r="Q55" s="36"/>
    </row>
    <row r="56" spans="1:20" ht="13.5" customHeight="1" x14ac:dyDescent="0.2">
      <c r="C56" t="s">
        <v>536</v>
      </c>
      <c r="D56" s="1025" t="s">
        <v>658</v>
      </c>
      <c r="E56" s="1025"/>
      <c r="F56" s="1025"/>
      <c r="G56" s="1025"/>
      <c r="H56" s="1025"/>
      <c r="I56" s="1025"/>
      <c r="L56" s="36"/>
      <c r="M56" s="36"/>
      <c r="N56" s="36"/>
      <c r="O56" s="36"/>
      <c r="P56" s="36"/>
      <c r="Q56" s="36"/>
    </row>
    <row r="57" spans="1:20" ht="13.5" customHeight="1" x14ac:dyDescent="0.2">
      <c r="D57" s="11"/>
      <c r="E57" s="11" t="s">
        <v>538</v>
      </c>
      <c r="F57" s="11"/>
      <c r="G57" s="11"/>
      <c r="H57" s="11"/>
      <c r="I57" s="11"/>
      <c r="L57" s="220"/>
      <c r="M57" s="220"/>
      <c r="N57" s="36"/>
      <c r="O57" s="220"/>
      <c r="P57" s="220"/>
      <c r="Q57" s="220"/>
      <c r="R57" s="225"/>
      <c r="S57" s="225"/>
      <c r="T57" s="425">
        <f>SUM(L57:S57)</f>
        <v>0</v>
      </c>
    </row>
    <row r="58" spans="1:20" ht="13.5" customHeight="1" x14ac:dyDescent="0.2">
      <c r="D58" s="11"/>
      <c r="E58" s="11" t="s">
        <v>539</v>
      </c>
      <c r="F58" s="11"/>
      <c r="G58" s="11"/>
      <c r="H58" s="11"/>
      <c r="I58" s="11"/>
      <c r="L58" s="220"/>
      <c r="M58" s="220"/>
      <c r="N58" s="36"/>
      <c r="O58" s="220"/>
      <c r="P58" s="220"/>
      <c r="Q58" s="220"/>
      <c r="R58" s="225"/>
      <c r="S58" s="225"/>
      <c r="T58" s="425">
        <f>SUM(L58:S58)</f>
        <v>0</v>
      </c>
    </row>
    <row r="59" spans="1:20" ht="12.75" customHeight="1" x14ac:dyDescent="0.2">
      <c r="L59" s="36"/>
      <c r="M59" s="36"/>
      <c r="N59" s="36"/>
      <c r="O59" s="36"/>
      <c r="P59" s="36"/>
      <c r="Q59" s="36"/>
    </row>
    <row r="60" spans="1:20" ht="12.75" customHeight="1" thickBot="1" x14ac:dyDescent="0.25">
      <c r="E60" t="s">
        <v>542</v>
      </c>
      <c r="L60" s="62">
        <f>(L57+L58)-L54</f>
        <v>0</v>
      </c>
      <c r="M60" s="62">
        <f>(M57+M58)-M54</f>
        <v>0</v>
      </c>
      <c r="N60" s="45"/>
      <c r="O60" s="62">
        <f t="shared" ref="O60:T60" si="2">(O57+O58)-O54</f>
        <v>0</v>
      </c>
      <c r="P60" s="62">
        <f t="shared" si="2"/>
        <v>0</v>
      </c>
      <c r="Q60" s="62">
        <f t="shared" si="2"/>
        <v>0</v>
      </c>
      <c r="R60" s="62">
        <f t="shared" si="2"/>
        <v>0</v>
      </c>
      <c r="S60" s="62">
        <f t="shared" si="2"/>
        <v>0</v>
      </c>
      <c r="T60" s="62">
        <f t="shared" si="2"/>
        <v>0</v>
      </c>
    </row>
    <row r="61" spans="1:20" ht="5.25" customHeight="1" thickTop="1" x14ac:dyDescent="0.2"/>
    <row r="62" spans="1:20" ht="26.25" customHeight="1" x14ac:dyDescent="0.2">
      <c r="D62" s="861" t="s">
        <v>290</v>
      </c>
      <c r="E62" s="858"/>
      <c r="F62" s="858"/>
      <c r="G62" s="858"/>
      <c r="H62" s="858"/>
      <c r="I62" s="858"/>
      <c r="J62" s="858"/>
      <c r="K62" s="858"/>
      <c r="L62" s="858"/>
      <c r="M62" s="858"/>
      <c r="N62" s="858"/>
      <c r="O62" s="858"/>
      <c r="P62" s="858"/>
      <c r="Q62" s="858"/>
      <c r="R62" s="858"/>
      <c r="S62" s="858"/>
      <c r="T62" s="858"/>
    </row>
    <row r="63" spans="1:20" ht="3.75" customHeight="1" x14ac:dyDescent="0.2"/>
    <row r="64" spans="1:20" ht="25.5" customHeight="1" x14ac:dyDescent="0.2">
      <c r="A64" s="765" t="s">
        <v>334</v>
      </c>
      <c r="B64" s="971" t="s">
        <v>520</v>
      </c>
      <c r="C64" s="972"/>
      <c r="D64" s="972"/>
      <c r="E64" s="972"/>
      <c r="F64" s="972"/>
      <c r="G64" s="972"/>
      <c r="H64" s="972"/>
      <c r="I64" s="972"/>
      <c r="J64" s="972"/>
      <c r="K64" s="972"/>
      <c r="L64" s="972"/>
      <c r="M64" s="972"/>
      <c r="N64" s="972"/>
      <c r="O64" s="972"/>
      <c r="P64" s="972"/>
      <c r="Q64" s="972"/>
      <c r="R64" s="972"/>
      <c r="S64" s="972"/>
      <c r="T64" s="973"/>
    </row>
    <row r="65" spans="2:25" ht="3.75" customHeight="1" x14ac:dyDescent="0.2">
      <c r="C65" s="41"/>
      <c r="D65" s="41"/>
      <c r="E65" s="41"/>
      <c r="F65" s="1026"/>
      <c r="G65" s="1026"/>
      <c r="H65" s="1026"/>
      <c r="I65" s="41"/>
      <c r="N65" s="41"/>
    </row>
    <row r="66" spans="2:25" ht="12.75" customHeight="1" x14ac:dyDescent="0.2">
      <c r="L66" s="50"/>
      <c r="M66" s="50"/>
      <c r="N66" s="50"/>
      <c r="O66" s="1012" t="str">
        <f>O43</f>
        <v>Equipment and Furniture</v>
      </c>
      <c r="P66" s="1004" t="str">
        <f>P43</f>
        <v>Library Books</v>
      </c>
      <c r="Q66" s="1004" t="str">
        <f>Q43</f>
        <v>Vehicles &amp; Motorized Equipment</v>
      </c>
      <c r="R66" s="1024" t="str">
        <f>R22</f>
        <v>Computer equipment</v>
      </c>
      <c r="S66" s="1007" t="str">
        <f>S22</f>
        <v>Other Asset Class 1</v>
      </c>
      <c r="X66" s="11" t="s">
        <v>351</v>
      </c>
    </row>
    <row r="67" spans="2:25" ht="12.75" customHeight="1" x14ac:dyDescent="0.2">
      <c r="B67" s="54"/>
      <c r="C67" s="4" t="s">
        <v>544</v>
      </c>
      <c r="L67" s="46" t="str">
        <f>L44</f>
        <v>Land</v>
      </c>
      <c r="M67" s="46" t="str">
        <f>M44</f>
        <v>Buildings</v>
      </c>
      <c r="N67" s="50"/>
      <c r="O67" s="1013"/>
      <c r="P67" s="1014"/>
      <c r="Q67" s="1014"/>
      <c r="R67" s="1008"/>
      <c r="S67" s="1008"/>
      <c r="T67" s="56" t="s">
        <v>457</v>
      </c>
    </row>
    <row r="68" spans="2:25" ht="12.75" customHeight="1" x14ac:dyDescent="0.2">
      <c r="C68" t="s">
        <v>60</v>
      </c>
      <c r="D68" s="858" t="s">
        <v>676</v>
      </c>
      <c r="E68" s="858"/>
      <c r="F68" s="858"/>
      <c r="G68" s="858"/>
      <c r="H68" s="858"/>
      <c r="I68" s="858"/>
      <c r="L68" s="996"/>
      <c r="M68" s="996"/>
      <c r="N68" s="36"/>
      <c r="O68" s="997"/>
      <c r="P68" s="996"/>
      <c r="Q68" s="996"/>
      <c r="R68" s="998"/>
      <c r="S68" s="998"/>
      <c r="T68" s="1006">
        <f>SUM(L68:S68)</f>
        <v>0</v>
      </c>
    </row>
    <row r="69" spans="2:25" ht="14.25" customHeight="1" x14ac:dyDescent="0.2">
      <c r="D69" s="858"/>
      <c r="E69" s="858"/>
      <c r="F69" s="858"/>
      <c r="G69" s="858"/>
      <c r="H69" s="858"/>
      <c r="I69" s="858"/>
      <c r="L69" s="997"/>
      <c r="M69" s="997"/>
      <c r="N69" s="36"/>
      <c r="O69" s="1001"/>
      <c r="P69" s="1001"/>
      <c r="Q69" s="1001"/>
      <c r="R69" s="1002"/>
      <c r="S69" s="1002"/>
      <c r="T69" s="1006"/>
    </row>
    <row r="70" spans="2:25" ht="6" customHeight="1" x14ac:dyDescent="0.2">
      <c r="L70" s="36"/>
      <c r="M70" s="36"/>
      <c r="N70" s="36"/>
      <c r="O70" s="36"/>
      <c r="P70" s="36"/>
      <c r="Q70" s="36"/>
      <c r="T70" s="33"/>
    </row>
    <row r="71" spans="2:25" ht="14.25" customHeight="1" x14ac:dyDescent="0.2">
      <c r="C71" t="s">
        <v>62</v>
      </c>
      <c r="D71" s="858" t="s">
        <v>677</v>
      </c>
      <c r="E71" s="858"/>
      <c r="F71" s="858"/>
      <c r="G71" s="858"/>
      <c r="H71" s="858"/>
      <c r="I71" s="858"/>
      <c r="L71" s="63" t="s">
        <v>521</v>
      </c>
      <c r="M71" s="1001"/>
      <c r="N71" s="36"/>
      <c r="O71" s="1001"/>
      <c r="P71" s="1001"/>
      <c r="Q71" s="1001"/>
      <c r="R71" s="1002"/>
      <c r="S71" s="1002"/>
      <c r="T71" s="1006">
        <f>SUM(M71:S71)</f>
        <v>0</v>
      </c>
    </row>
    <row r="72" spans="2:25" ht="9.75" customHeight="1" x14ac:dyDescent="0.2">
      <c r="D72" s="858"/>
      <c r="E72" s="858"/>
      <c r="F72" s="858"/>
      <c r="G72" s="858"/>
      <c r="H72" s="858"/>
      <c r="I72" s="858"/>
      <c r="L72" s="63"/>
      <c r="M72" s="1001"/>
      <c r="N72" s="36"/>
      <c r="O72" s="1001"/>
      <c r="P72" s="1001"/>
      <c r="Q72" s="1001"/>
      <c r="R72" s="1002"/>
      <c r="S72" s="1002"/>
      <c r="T72" s="1006"/>
    </row>
    <row r="73" spans="2:25" ht="4.5" customHeight="1" x14ac:dyDescent="0.2">
      <c r="L73" s="55"/>
      <c r="M73" s="36"/>
      <c r="N73" s="36"/>
      <c r="O73" s="36"/>
      <c r="P73" s="36"/>
      <c r="Q73" s="36"/>
      <c r="T73" s="33">
        <f>SUM(M73:S73)</f>
        <v>0</v>
      </c>
    </row>
    <row r="74" spans="2:25" ht="12.75" customHeight="1" x14ac:dyDescent="0.2">
      <c r="C74" t="s">
        <v>441</v>
      </c>
      <c r="D74" s="858" t="s">
        <v>308</v>
      </c>
      <c r="E74" s="858"/>
      <c r="F74" s="858"/>
      <c r="G74" s="858"/>
      <c r="H74" s="858"/>
      <c r="I74" s="858"/>
      <c r="L74" s="63" t="s">
        <v>521</v>
      </c>
      <c r="M74" s="1001"/>
      <c r="N74" s="36"/>
      <c r="O74" s="1001"/>
      <c r="P74" s="1001"/>
      <c r="Q74" s="1001"/>
      <c r="R74" s="1002"/>
      <c r="S74" s="1002"/>
      <c r="T74" s="1006">
        <f>SUM(M74:S74)</f>
        <v>0</v>
      </c>
    </row>
    <row r="75" spans="2:25" ht="12.75" customHeight="1" x14ac:dyDescent="0.2">
      <c r="D75" s="858"/>
      <c r="E75" s="858"/>
      <c r="F75" s="858"/>
      <c r="G75" s="858"/>
      <c r="H75" s="858"/>
      <c r="I75" s="858"/>
      <c r="L75" s="63"/>
      <c r="M75" s="1001"/>
      <c r="N75" s="36"/>
      <c r="O75" s="1001"/>
      <c r="P75" s="1001"/>
      <c r="Q75" s="1001"/>
      <c r="R75" s="1002"/>
      <c r="S75" s="1002"/>
      <c r="T75" s="1006"/>
    </row>
    <row r="76" spans="2:25" ht="5.25" customHeight="1" x14ac:dyDescent="0.2">
      <c r="L76" s="36"/>
      <c r="M76" s="36"/>
      <c r="N76" s="36"/>
      <c r="O76" s="36"/>
      <c r="P76" s="36"/>
      <c r="Q76" s="36"/>
    </row>
    <row r="77" spans="2:25" x14ac:dyDescent="0.2">
      <c r="E77" t="s">
        <v>659</v>
      </c>
      <c r="L77" s="61">
        <f>L68</f>
        <v>0</v>
      </c>
      <c r="M77" s="61">
        <f>M68-(M71+M74)</f>
        <v>0</v>
      </c>
      <c r="N77" s="45"/>
      <c r="O77" s="61">
        <f t="shared" ref="O77:T77" si="3">O68-(O71+O74)</f>
        <v>0</v>
      </c>
      <c r="P77" s="61">
        <f t="shared" si="3"/>
        <v>0</v>
      </c>
      <c r="Q77" s="61">
        <f t="shared" si="3"/>
        <v>0</v>
      </c>
      <c r="R77" s="61">
        <f t="shared" si="3"/>
        <v>0</v>
      </c>
      <c r="S77" s="61">
        <f t="shared" si="3"/>
        <v>0</v>
      </c>
      <c r="T77" s="61">
        <f t="shared" si="3"/>
        <v>0</v>
      </c>
    </row>
    <row r="78" spans="2:25" ht="4.5" customHeight="1" x14ac:dyDescent="0.2">
      <c r="L78" s="36"/>
      <c r="M78" s="36"/>
      <c r="N78" s="36"/>
      <c r="O78" s="36"/>
      <c r="P78" s="36"/>
      <c r="Q78" s="36"/>
    </row>
    <row r="79" spans="2:25" ht="12.75" customHeight="1" x14ac:dyDescent="0.35">
      <c r="C79" t="s">
        <v>536</v>
      </c>
      <c r="D79" s="1003" t="s">
        <v>678</v>
      </c>
      <c r="E79" s="1003"/>
      <c r="F79" s="1003"/>
      <c r="G79" s="1003"/>
      <c r="H79" s="1003"/>
      <c r="I79" s="1003"/>
      <c r="L79" s="1001"/>
      <c r="M79" s="1001"/>
      <c r="N79" s="36"/>
      <c r="O79" s="1001"/>
      <c r="P79" s="1001"/>
      <c r="Q79" s="1001"/>
      <c r="R79" s="1002"/>
      <c r="S79" s="1002"/>
      <c r="T79" s="1006">
        <f>SUM(L79:S79)</f>
        <v>0</v>
      </c>
      <c r="W79" s="1027" t="str">
        <f>IF(T79=T77," ","Recheck numbers for d. Entry out of balance.")</f>
        <v xml:space="preserve"> </v>
      </c>
      <c r="X79" s="1027"/>
      <c r="Y79" s="1027"/>
    </row>
    <row r="80" spans="2:25" ht="40.5" customHeight="1" x14ac:dyDescent="0.35">
      <c r="D80" s="1003"/>
      <c r="E80" s="1003"/>
      <c r="F80" s="1003"/>
      <c r="G80" s="1003"/>
      <c r="H80" s="1003"/>
      <c r="I80" s="1003"/>
      <c r="L80" s="1001"/>
      <c r="M80" s="1001"/>
      <c r="N80" s="36"/>
      <c r="O80" s="1001"/>
      <c r="P80" s="1001"/>
      <c r="Q80" s="1001"/>
      <c r="R80" s="1002"/>
      <c r="S80" s="1002"/>
      <c r="T80" s="1006"/>
      <c r="W80" s="100"/>
      <c r="X80" s="399"/>
      <c r="Y80" s="399"/>
    </row>
    <row r="81" spans="1:20" ht="3.75" customHeight="1" x14ac:dyDescent="0.2">
      <c r="D81" s="57"/>
      <c r="E81" s="57"/>
      <c r="F81" s="57"/>
      <c r="G81" s="57"/>
      <c r="H81" s="57"/>
      <c r="I81" s="57"/>
      <c r="L81" s="36"/>
      <c r="M81" s="36"/>
      <c r="N81" s="36"/>
      <c r="O81" s="36"/>
      <c r="P81" s="36"/>
      <c r="Q81" s="36"/>
    </row>
    <row r="82" spans="1:20" ht="25.5" customHeight="1" x14ac:dyDescent="0.2">
      <c r="A82" s="765" t="s">
        <v>515</v>
      </c>
      <c r="B82" s="971" t="s">
        <v>66</v>
      </c>
      <c r="C82" s="972"/>
      <c r="D82" s="972"/>
      <c r="E82" s="972"/>
      <c r="F82" s="972"/>
      <c r="G82" s="972"/>
      <c r="H82" s="972"/>
      <c r="I82" s="972"/>
      <c r="J82" s="972"/>
      <c r="K82" s="972"/>
      <c r="L82" s="972"/>
      <c r="M82" s="972"/>
      <c r="N82" s="972"/>
      <c r="O82" s="972"/>
      <c r="P82" s="972"/>
      <c r="Q82" s="972"/>
      <c r="R82" s="972"/>
      <c r="S82" s="972"/>
      <c r="T82" s="973"/>
    </row>
    <row r="83" spans="1:20" ht="1.5" customHeight="1" x14ac:dyDescent="0.2">
      <c r="C83" s="41"/>
      <c r="D83" s="41"/>
      <c r="E83" s="41"/>
      <c r="F83" s="1026"/>
      <c r="G83" s="1026"/>
      <c r="H83" s="1026"/>
      <c r="I83" s="41"/>
      <c r="N83" s="41"/>
    </row>
    <row r="84" spans="1:20" ht="12.75" customHeight="1" x14ac:dyDescent="0.2">
      <c r="L84" s="50"/>
      <c r="M84" s="50"/>
      <c r="N84" s="50"/>
    </row>
    <row r="85" spans="1:20" ht="37.5" customHeight="1" x14ac:dyDescent="0.2">
      <c r="B85" s="40"/>
      <c r="C85" s="4" t="s">
        <v>65</v>
      </c>
      <c r="L85" s="46" t="str">
        <f>L67</f>
        <v>Land</v>
      </c>
      <c r="M85" s="46" t="str">
        <f>M67</f>
        <v>Buildings</v>
      </c>
      <c r="N85" s="50"/>
      <c r="O85" s="444" t="str">
        <f>O66</f>
        <v>Equipment and Furniture</v>
      </c>
      <c r="P85" s="444" t="str">
        <f>P66</f>
        <v>Library Books</v>
      </c>
      <c r="Q85" s="444" t="str">
        <f>Q66</f>
        <v>Vehicles &amp; Motorized Equipment</v>
      </c>
      <c r="R85" s="444" t="str">
        <f>R66</f>
        <v>Computer equipment</v>
      </c>
      <c r="S85" s="444" t="str">
        <f>S66</f>
        <v>Other Asset Class 1</v>
      </c>
      <c r="T85" s="56" t="s">
        <v>457</v>
      </c>
    </row>
    <row r="86" spans="1:20" ht="25.5" customHeight="1" x14ac:dyDescent="0.2">
      <c r="B86" s="40"/>
      <c r="C86" s="160" t="s">
        <v>60</v>
      </c>
      <c r="D86" s="858" t="s">
        <v>461</v>
      </c>
      <c r="E86" s="858"/>
      <c r="F86" s="858"/>
      <c r="G86" s="858"/>
      <c r="H86" s="858"/>
      <c r="I86" s="858"/>
      <c r="J86" s="858"/>
      <c r="L86" s="302"/>
      <c r="M86" s="220"/>
      <c r="N86" s="36"/>
      <c r="O86" s="220"/>
      <c r="P86" s="220"/>
      <c r="Q86" s="220"/>
      <c r="R86" s="225"/>
      <c r="S86" s="225"/>
      <c r="T86" s="284">
        <f>SUM(L86:S86)</f>
        <v>0</v>
      </c>
    </row>
    <row r="87" spans="1:20" ht="4.5" customHeight="1" x14ac:dyDescent="0.2">
      <c r="B87" s="40"/>
      <c r="L87" s="36"/>
      <c r="M87" s="78"/>
      <c r="N87" s="36"/>
      <c r="O87" s="36"/>
      <c r="P87" s="36"/>
      <c r="Q87" s="36"/>
    </row>
    <row r="88" spans="1:20" ht="25.5" customHeight="1" x14ac:dyDescent="0.2">
      <c r="C88" s="160" t="s">
        <v>62</v>
      </c>
      <c r="D88" s="858" t="s">
        <v>462</v>
      </c>
      <c r="E88" s="858"/>
      <c r="F88" s="858"/>
      <c r="G88" s="858"/>
      <c r="H88" s="858"/>
      <c r="I88" s="858"/>
      <c r="J88" s="858"/>
      <c r="L88" s="63" t="s">
        <v>521</v>
      </c>
      <c r="M88" s="220"/>
      <c r="N88" s="36"/>
      <c r="O88" s="220"/>
      <c r="P88" s="220"/>
      <c r="Q88" s="220"/>
      <c r="R88" s="225"/>
      <c r="S88" s="225"/>
      <c r="T88" s="284">
        <f>SUM(L88:S88)</f>
        <v>0</v>
      </c>
    </row>
    <row r="89" spans="1:20" ht="4.5" customHeight="1" x14ac:dyDescent="0.2">
      <c r="L89" s="55"/>
      <c r="M89" s="36"/>
      <c r="N89" s="36"/>
      <c r="O89" s="36"/>
      <c r="P89" s="36"/>
      <c r="Q89" s="36"/>
    </row>
    <row r="90" spans="1:20" ht="11.25" customHeight="1" x14ac:dyDescent="0.2">
      <c r="C90" t="s">
        <v>441</v>
      </c>
      <c r="D90" s="858" t="s">
        <v>444</v>
      </c>
      <c r="E90" s="858"/>
      <c r="F90" s="858"/>
      <c r="G90" s="858"/>
      <c r="H90" s="858"/>
      <c r="I90" s="858"/>
      <c r="J90" s="858"/>
      <c r="L90" s="63" t="s">
        <v>521</v>
      </c>
      <c r="M90" s="1001"/>
      <c r="N90" s="36"/>
      <c r="O90" s="1001"/>
      <c r="P90" s="1001"/>
      <c r="Q90" s="1001"/>
      <c r="R90" s="1002"/>
      <c r="S90" s="1002"/>
      <c r="T90" s="1030">
        <f>SUM(M90:S91)</f>
        <v>0</v>
      </c>
    </row>
    <row r="91" spans="1:20" x14ac:dyDescent="0.2">
      <c r="D91" s="858"/>
      <c r="E91" s="858"/>
      <c r="F91" s="858"/>
      <c r="G91" s="858"/>
      <c r="H91" s="858"/>
      <c r="I91" s="858"/>
      <c r="J91" s="858"/>
      <c r="L91" s="36"/>
      <c r="M91" s="1001"/>
      <c r="N91" s="36"/>
      <c r="O91" s="1001"/>
      <c r="P91" s="1001"/>
      <c r="Q91" s="1001"/>
      <c r="R91" s="1002"/>
      <c r="S91" s="1002"/>
      <c r="T91" s="1030"/>
    </row>
    <row r="92" spans="1:20" ht="4.5" customHeight="1" x14ac:dyDescent="0.2">
      <c r="D92" s="34"/>
      <c r="E92" s="34"/>
      <c r="F92" s="34"/>
      <c r="G92" s="34"/>
      <c r="H92" s="34"/>
      <c r="I92" s="34"/>
      <c r="J92" s="34"/>
      <c r="K92" s="34"/>
      <c r="L92" s="36"/>
      <c r="M92" s="36"/>
      <c r="N92" s="36"/>
      <c r="O92" s="36"/>
      <c r="P92" s="36"/>
      <c r="Q92" s="36"/>
    </row>
    <row r="93" spans="1:20" x14ac:dyDescent="0.2">
      <c r="E93" t="s">
        <v>185</v>
      </c>
      <c r="M93" s="61">
        <f>M86-(M88+M90)</f>
        <v>0</v>
      </c>
      <c r="N93" s="45"/>
      <c r="O93" s="61">
        <f t="shared" ref="O93:T93" si="4">O86-(O88+O90)</f>
        <v>0</v>
      </c>
      <c r="P93" s="61">
        <f t="shared" si="4"/>
        <v>0</v>
      </c>
      <c r="Q93" s="61">
        <f t="shared" si="4"/>
        <v>0</v>
      </c>
      <c r="R93" s="61">
        <f t="shared" si="4"/>
        <v>0</v>
      </c>
      <c r="S93" s="61">
        <f t="shared" si="4"/>
        <v>0</v>
      </c>
      <c r="T93" s="61">
        <f t="shared" si="4"/>
        <v>0</v>
      </c>
    </row>
    <row r="94" spans="1:20" ht="4.5" customHeight="1" x14ac:dyDescent="0.2"/>
    <row r="95" spans="1:20" ht="12.75" customHeight="1" x14ac:dyDescent="0.2">
      <c r="C95" s="38" t="s">
        <v>536</v>
      </c>
      <c r="D95" s="858" t="s">
        <v>443</v>
      </c>
      <c r="E95" s="858"/>
      <c r="F95" s="858"/>
      <c r="G95" s="858"/>
      <c r="H95" s="858"/>
      <c r="I95" s="858"/>
      <c r="J95" s="858"/>
      <c r="K95" s="34"/>
      <c r="L95" s="34"/>
      <c r="O95" s="1002"/>
      <c r="P95" s="1029" t="s">
        <v>445</v>
      </c>
      <c r="Q95" s="1029"/>
      <c r="R95" s="1029"/>
      <c r="S95" s="1029"/>
    </row>
    <row r="96" spans="1:20" ht="12.75" customHeight="1" x14ac:dyDescent="0.2">
      <c r="D96" s="858"/>
      <c r="E96" s="858"/>
      <c r="F96" s="858"/>
      <c r="G96" s="858"/>
      <c r="H96" s="858"/>
      <c r="I96" s="858"/>
      <c r="J96" s="858"/>
      <c r="K96" s="34"/>
      <c r="L96" s="34"/>
      <c r="O96" s="1002"/>
      <c r="P96" s="1029"/>
      <c r="Q96" s="1029"/>
      <c r="R96" s="1029"/>
      <c r="S96" s="1029"/>
    </row>
    <row r="97" spans="1:20" ht="12.75" customHeight="1" x14ac:dyDescent="0.2">
      <c r="D97" s="858"/>
      <c r="E97" s="858"/>
      <c r="F97" s="858"/>
      <c r="G97" s="858"/>
      <c r="H97" s="858"/>
      <c r="I97" s="858"/>
      <c r="J97" s="858"/>
      <c r="O97" s="1002"/>
      <c r="P97" s="1029"/>
      <c r="Q97" s="1029"/>
      <c r="R97" s="1029"/>
      <c r="S97" s="1029"/>
    </row>
    <row r="98" spans="1:20" ht="15" x14ac:dyDescent="0.2">
      <c r="E98" s="98" t="s">
        <v>67</v>
      </c>
      <c r="F98" s="2" t="s">
        <v>533</v>
      </c>
    </row>
    <row r="99" spans="1:20" ht="4.5" customHeight="1" x14ac:dyDescent="0.2">
      <c r="E99" s="98"/>
      <c r="F99" s="2"/>
    </row>
    <row r="100" spans="1:20" ht="25.5" customHeight="1" x14ac:dyDescent="0.2">
      <c r="A100" s="765" t="s">
        <v>517</v>
      </c>
      <c r="B100" s="971" t="s">
        <v>432</v>
      </c>
      <c r="C100" s="972"/>
      <c r="D100" s="972"/>
      <c r="E100" s="972"/>
      <c r="F100" s="972"/>
      <c r="G100" s="972"/>
      <c r="H100" s="972"/>
      <c r="I100" s="972"/>
      <c r="J100" s="972"/>
      <c r="K100" s="972"/>
      <c r="L100" s="972"/>
      <c r="M100" s="972"/>
      <c r="N100" s="972"/>
      <c r="O100" s="972"/>
      <c r="P100" s="972"/>
      <c r="Q100" s="972"/>
      <c r="R100" s="972"/>
      <c r="S100" s="972"/>
      <c r="T100" s="973"/>
    </row>
    <row r="101" spans="1:20" ht="6.75" customHeight="1" x14ac:dyDescent="0.2">
      <c r="M101" s="8"/>
      <c r="N101" s="388"/>
    </row>
    <row r="102" spans="1:20" x14ac:dyDescent="0.2">
      <c r="B102" s="970" t="s">
        <v>737</v>
      </c>
      <c r="C102" s="858"/>
      <c r="D102" s="858"/>
      <c r="E102" s="858"/>
      <c r="F102" s="858"/>
      <c r="G102" s="858"/>
      <c r="H102" s="858"/>
      <c r="I102" s="858"/>
      <c r="J102" s="858"/>
      <c r="K102" s="858"/>
      <c r="L102" s="858"/>
      <c r="M102" s="858"/>
      <c r="N102" s="858"/>
      <c r="O102" s="858"/>
      <c r="P102" s="858"/>
      <c r="Q102" s="858"/>
      <c r="R102" s="858"/>
      <c r="S102" s="858"/>
      <c r="T102" s="858"/>
    </row>
    <row r="103" spans="1:20" x14ac:dyDescent="0.2">
      <c r="B103" s="858"/>
      <c r="C103" s="858"/>
      <c r="D103" s="858"/>
      <c r="E103" s="858"/>
      <c r="F103" s="858"/>
      <c r="G103" s="858"/>
      <c r="H103" s="858"/>
      <c r="I103" s="858"/>
      <c r="J103" s="858"/>
      <c r="K103" s="858"/>
      <c r="L103" s="858"/>
      <c r="M103" s="858"/>
      <c r="N103" s="858"/>
      <c r="O103" s="858"/>
      <c r="P103" s="858"/>
      <c r="Q103" s="858"/>
      <c r="R103" s="858"/>
      <c r="S103" s="858"/>
      <c r="T103" s="858"/>
    </row>
    <row r="104" spans="1:20" x14ac:dyDescent="0.2">
      <c r="B104" s="858"/>
      <c r="C104" s="858"/>
      <c r="D104" s="858"/>
      <c r="E104" s="858"/>
      <c r="F104" s="858"/>
      <c r="G104" s="858"/>
      <c r="H104" s="858"/>
      <c r="I104" s="858"/>
      <c r="J104" s="858"/>
      <c r="K104" s="858"/>
      <c r="L104" s="858"/>
      <c r="M104" s="858"/>
      <c r="N104" s="858"/>
      <c r="O104" s="858"/>
      <c r="P104" s="858"/>
      <c r="Q104" s="858"/>
      <c r="R104" s="858"/>
      <c r="S104" s="858"/>
      <c r="T104" s="858"/>
    </row>
    <row r="105" spans="1:20" x14ac:dyDescent="0.2">
      <c r="B105" s="858"/>
      <c r="C105" s="858"/>
      <c r="D105" s="858"/>
      <c r="E105" s="858"/>
      <c r="F105" s="858"/>
      <c r="G105" s="858"/>
      <c r="H105" s="858"/>
      <c r="I105" s="858"/>
      <c r="J105" s="858"/>
      <c r="K105" s="858"/>
      <c r="L105" s="858"/>
      <c r="M105" s="858"/>
      <c r="N105" s="858"/>
      <c r="O105" s="858"/>
      <c r="P105" s="858"/>
      <c r="Q105" s="858"/>
      <c r="R105" s="858"/>
      <c r="S105" s="858"/>
      <c r="T105" s="858"/>
    </row>
    <row r="106" spans="1:20" x14ac:dyDescent="0.2">
      <c r="B106" s="858"/>
      <c r="C106" s="858"/>
      <c r="D106" s="858"/>
      <c r="E106" s="858"/>
      <c r="F106" s="858"/>
      <c r="G106" s="858"/>
      <c r="H106" s="858"/>
      <c r="I106" s="858"/>
      <c r="J106" s="858"/>
      <c r="K106" s="858"/>
      <c r="L106" s="858"/>
      <c r="M106" s="858"/>
      <c r="N106" s="858"/>
      <c r="O106" s="858"/>
      <c r="P106" s="858"/>
      <c r="Q106" s="858"/>
      <c r="R106" s="858"/>
      <c r="S106" s="858"/>
      <c r="T106" s="858"/>
    </row>
    <row r="107" spans="1:20" ht="6.75" customHeight="1" x14ac:dyDescent="0.2">
      <c r="M107" s="8"/>
      <c r="N107" s="388"/>
    </row>
    <row r="108" spans="1:20" ht="12" customHeight="1" x14ac:dyDescent="0.2">
      <c r="B108" s="858" t="s">
        <v>300</v>
      </c>
      <c r="C108" s="858"/>
      <c r="D108" s="858"/>
      <c r="E108" s="858"/>
      <c r="F108" s="858"/>
      <c r="G108" s="858"/>
      <c r="H108" s="858"/>
      <c r="I108" s="858"/>
      <c r="J108" s="858"/>
      <c r="K108" s="858"/>
      <c r="L108" s="858"/>
      <c r="M108" s="858"/>
      <c r="N108" s="858"/>
      <c r="O108" s="858"/>
      <c r="P108" s="858"/>
      <c r="Q108" s="858"/>
      <c r="R108" s="858"/>
      <c r="S108" s="858"/>
      <c r="T108" s="858"/>
    </row>
    <row r="109" spans="1:20" ht="12" customHeight="1" x14ac:dyDescent="0.2">
      <c r="B109" s="858"/>
      <c r="C109" s="858"/>
      <c r="D109" s="858"/>
      <c r="E109" s="858"/>
      <c r="F109" s="858"/>
      <c r="G109" s="858"/>
      <c r="H109" s="858"/>
      <c r="I109" s="858"/>
      <c r="J109" s="858"/>
      <c r="K109" s="858"/>
      <c r="L109" s="858"/>
      <c r="M109" s="858"/>
      <c r="N109" s="858"/>
      <c r="O109" s="858"/>
      <c r="P109" s="858"/>
      <c r="Q109" s="858"/>
      <c r="R109" s="858"/>
      <c r="S109" s="858"/>
      <c r="T109" s="858"/>
    </row>
    <row r="110" spans="1:20" ht="12" customHeight="1" x14ac:dyDescent="0.2">
      <c r="M110" s="8"/>
      <c r="N110" s="388"/>
      <c r="O110" s="12"/>
    </row>
    <row r="111" spans="1:20" ht="12.75" customHeight="1" x14ac:dyDescent="0.2">
      <c r="B111" s="54" t="s">
        <v>649</v>
      </c>
      <c r="C111" s="861" t="s">
        <v>301</v>
      </c>
      <c r="D111" s="861"/>
      <c r="E111" s="861"/>
      <c r="F111" s="861"/>
      <c r="G111" s="861"/>
      <c r="H111" s="861"/>
      <c r="I111" s="861"/>
      <c r="J111" s="861"/>
      <c r="O111" s="1012" t="str">
        <f>O85</f>
        <v>Equipment and Furniture</v>
      </c>
      <c r="P111" s="1004" t="str">
        <f>P85</f>
        <v>Library Books</v>
      </c>
      <c r="Q111" s="1004" t="str">
        <f>Q85</f>
        <v>Vehicles &amp; Motorized Equipment</v>
      </c>
      <c r="R111" s="1009" t="str">
        <f>R85</f>
        <v>Computer equipment</v>
      </c>
      <c r="S111" s="1009" t="str">
        <f>S85</f>
        <v>Other Asset Class 1</v>
      </c>
    </row>
    <row r="112" spans="1:20" ht="25.5" customHeight="1" x14ac:dyDescent="0.2">
      <c r="C112" s="861"/>
      <c r="D112" s="861"/>
      <c r="E112" s="861"/>
      <c r="F112" s="861"/>
      <c r="G112" s="861"/>
      <c r="H112" s="861"/>
      <c r="I112" s="861"/>
      <c r="J112" s="861"/>
      <c r="L112" s="46" t="str">
        <f>L85</f>
        <v>Land</v>
      </c>
      <c r="M112" s="46" t="str">
        <f>M85</f>
        <v>Buildings</v>
      </c>
      <c r="O112" s="1013"/>
      <c r="P112" s="1005"/>
      <c r="Q112" s="1005"/>
      <c r="R112" s="1028"/>
      <c r="S112" s="1028"/>
    </row>
    <row r="113" spans="2:19" x14ac:dyDescent="0.2">
      <c r="C113" s="42" t="s">
        <v>60</v>
      </c>
      <c r="D113" s="858" t="s">
        <v>302</v>
      </c>
      <c r="E113" s="858"/>
      <c r="F113" s="858"/>
      <c r="G113" s="858"/>
      <c r="H113" s="858"/>
      <c r="I113" s="858"/>
      <c r="J113" s="858"/>
      <c r="L113" s="996"/>
      <c r="M113" s="996"/>
      <c r="O113" s="996"/>
      <c r="P113" s="996"/>
      <c r="Q113" s="996"/>
      <c r="R113" s="998"/>
      <c r="S113" s="998"/>
    </row>
    <row r="114" spans="2:19" x14ac:dyDescent="0.2">
      <c r="C114" s="42"/>
      <c r="D114" s="858"/>
      <c r="E114" s="858"/>
      <c r="F114" s="858"/>
      <c r="G114" s="858"/>
      <c r="H114" s="858"/>
      <c r="I114" s="858"/>
      <c r="J114" s="858"/>
      <c r="L114" s="1001"/>
      <c r="M114" s="1001"/>
      <c r="O114" s="1001"/>
      <c r="P114" s="1001"/>
      <c r="Q114" s="1001"/>
      <c r="R114" s="1002"/>
      <c r="S114" s="1002"/>
    </row>
    <row r="115" spans="2:19" ht="6" customHeight="1" x14ac:dyDescent="0.2">
      <c r="C115" s="42"/>
      <c r="L115" s="36"/>
      <c r="M115" s="36"/>
      <c r="O115" s="36"/>
      <c r="P115" s="36"/>
      <c r="Q115" s="36"/>
    </row>
    <row r="116" spans="2:19" x14ac:dyDescent="0.2">
      <c r="C116" s="42" t="s">
        <v>62</v>
      </c>
      <c r="D116" s="858" t="s">
        <v>303</v>
      </c>
      <c r="E116" s="858"/>
      <c r="F116" s="858"/>
      <c r="G116" s="858"/>
      <c r="H116" s="858"/>
      <c r="I116" s="858"/>
      <c r="J116" s="858"/>
      <c r="L116" s="63" t="s">
        <v>521</v>
      </c>
      <c r="M116" s="1001"/>
      <c r="O116" s="1001"/>
      <c r="P116" s="1001"/>
      <c r="Q116" s="1001"/>
      <c r="R116" s="1001"/>
      <c r="S116" s="1001"/>
    </row>
    <row r="117" spans="2:19" x14ac:dyDescent="0.2">
      <c r="C117" s="42"/>
      <c r="D117" s="858"/>
      <c r="E117" s="858"/>
      <c r="F117" s="858"/>
      <c r="G117" s="858"/>
      <c r="H117" s="858"/>
      <c r="I117" s="858"/>
      <c r="J117" s="858"/>
      <c r="L117" s="63"/>
      <c r="M117" s="1001"/>
      <c r="O117" s="1001"/>
      <c r="P117" s="1001"/>
      <c r="Q117" s="1001"/>
      <c r="R117" s="1001"/>
      <c r="S117" s="1001"/>
    </row>
    <row r="118" spans="2:19" ht="6" customHeight="1" x14ac:dyDescent="0.2">
      <c r="C118" s="42"/>
      <c r="L118" s="55"/>
      <c r="M118" s="36"/>
      <c r="O118" s="36"/>
      <c r="P118" s="36"/>
      <c r="Q118" s="36"/>
      <c r="R118" s="36"/>
      <c r="S118" s="36"/>
    </row>
    <row r="119" spans="2:19" x14ac:dyDescent="0.2">
      <c r="C119" s="42" t="s">
        <v>441</v>
      </c>
      <c r="D119" s="858" t="s">
        <v>304</v>
      </c>
      <c r="E119" s="858"/>
      <c r="F119" s="858"/>
      <c r="G119" s="858"/>
      <c r="H119" s="858"/>
      <c r="I119" s="858"/>
      <c r="J119" s="858"/>
      <c r="L119" s="63" t="s">
        <v>521</v>
      </c>
      <c r="M119" s="1001"/>
      <c r="O119" s="1001"/>
      <c r="P119" s="1001"/>
      <c r="Q119" s="1001"/>
      <c r="R119" s="1001"/>
      <c r="S119" s="1001"/>
    </row>
    <row r="120" spans="2:19" x14ac:dyDescent="0.2">
      <c r="C120" s="42"/>
      <c r="D120" s="858"/>
      <c r="E120" s="858"/>
      <c r="F120" s="858"/>
      <c r="G120" s="858"/>
      <c r="H120" s="858"/>
      <c r="I120" s="858"/>
      <c r="J120" s="858"/>
      <c r="L120" s="63"/>
      <c r="M120" s="1001"/>
      <c r="O120" s="1001"/>
      <c r="P120" s="1001"/>
      <c r="Q120" s="1001"/>
      <c r="R120" s="1001"/>
      <c r="S120" s="1001"/>
    </row>
    <row r="121" spans="2:19" ht="6" customHeight="1" x14ac:dyDescent="0.2">
      <c r="C121" s="42"/>
      <c r="L121" s="36"/>
      <c r="M121" s="36"/>
      <c r="O121" s="36"/>
      <c r="P121" s="36"/>
      <c r="Q121" s="36"/>
    </row>
    <row r="122" spans="2:19" x14ac:dyDescent="0.2">
      <c r="C122" s="42"/>
      <c r="E122" t="s">
        <v>305</v>
      </c>
      <c r="L122" s="61">
        <f>L113</f>
        <v>0</v>
      </c>
      <c r="M122" s="61">
        <f>M113-(M116+M119)</f>
        <v>0</v>
      </c>
      <c r="O122" s="61">
        <f>O113-(O116+O119)</f>
        <v>0</v>
      </c>
      <c r="P122" s="61">
        <f>P113-(P116+P119)</f>
        <v>0</v>
      </c>
      <c r="Q122" s="61">
        <f>Q113-(Q116+Q119)</f>
        <v>0</v>
      </c>
      <c r="R122" s="387"/>
      <c r="S122" s="387"/>
    </row>
    <row r="123" spans="2:19" ht="6.75" customHeight="1" x14ac:dyDescent="0.2">
      <c r="C123" s="42"/>
      <c r="L123" s="36"/>
      <c r="M123" s="36"/>
      <c r="N123" s="36"/>
      <c r="O123" s="36"/>
      <c r="P123" s="36"/>
    </row>
    <row r="124" spans="2:19" x14ac:dyDescent="0.2">
      <c r="B124" s="54" t="s">
        <v>650</v>
      </c>
      <c r="C124" s="1003" t="s">
        <v>127</v>
      </c>
      <c r="D124" s="1003"/>
      <c r="E124" s="1003"/>
      <c r="F124" s="1003"/>
      <c r="G124" s="1003"/>
      <c r="H124" s="1003"/>
      <c r="I124" s="1003"/>
      <c r="J124" s="1003"/>
      <c r="L124" s="1001"/>
      <c r="M124" s="36"/>
      <c r="N124" s="36"/>
      <c r="O124" s="36"/>
      <c r="P124" s="36"/>
    </row>
    <row r="125" spans="2:19" ht="12.75" customHeight="1" x14ac:dyDescent="0.2">
      <c r="C125" s="1003"/>
      <c r="D125" s="1003"/>
      <c r="E125" s="1003"/>
      <c r="F125" s="1003"/>
      <c r="G125" s="1003"/>
      <c r="H125" s="1003"/>
      <c r="I125" s="1003"/>
      <c r="J125" s="1003"/>
      <c r="L125" s="1001"/>
      <c r="M125" s="36"/>
      <c r="N125" s="36"/>
      <c r="O125" s="36"/>
      <c r="P125" s="36"/>
    </row>
    <row r="126" spans="2:19" ht="6.75" customHeight="1" x14ac:dyDescent="0.2">
      <c r="B126" s="4"/>
      <c r="C126" s="42"/>
      <c r="L126" s="36"/>
      <c r="M126" s="36"/>
      <c r="N126" s="36"/>
      <c r="O126" s="36"/>
      <c r="P126" s="36"/>
    </row>
    <row r="127" spans="2:19" ht="12.75" customHeight="1" x14ac:dyDescent="0.2">
      <c r="B127" s="54" t="s">
        <v>651</v>
      </c>
      <c r="C127" s="858" t="s">
        <v>549</v>
      </c>
      <c r="D127" s="858"/>
      <c r="E127" s="858"/>
      <c r="F127" s="858"/>
      <c r="G127" s="858"/>
      <c r="H127" s="858"/>
      <c r="I127" s="858"/>
      <c r="J127" s="858"/>
      <c r="L127" s="36"/>
      <c r="M127" s="36"/>
      <c r="N127" s="36"/>
      <c r="O127" s="36"/>
      <c r="P127" s="36"/>
    </row>
    <row r="128" spans="2:19" ht="11.25" customHeight="1" x14ac:dyDescent="0.2">
      <c r="C128" s="858"/>
      <c r="D128" s="858"/>
      <c r="E128" s="858"/>
      <c r="F128" s="858"/>
      <c r="G128" s="858"/>
      <c r="H128" s="858"/>
      <c r="I128" s="858"/>
      <c r="J128" s="858"/>
      <c r="L128" s="36"/>
      <c r="M128" s="36"/>
      <c r="N128" s="36"/>
      <c r="O128" s="36"/>
      <c r="P128" s="36"/>
    </row>
    <row r="129" spans="1:25" x14ac:dyDescent="0.2">
      <c r="C129" s="389" t="s">
        <v>60</v>
      </c>
      <c r="D129" s="858" t="s">
        <v>550</v>
      </c>
      <c r="E129" s="858"/>
      <c r="F129" s="858"/>
      <c r="G129" s="858"/>
      <c r="H129" s="858"/>
      <c r="I129" s="858"/>
      <c r="L129" s="1001"/>
      <c r="M129" s="1034" t="str">
        <f>IF(L129=0," ",L124/L129)</f>
        <v xml:space="preserve"> </v>
      </c>
      <c r="O129" s="390" t="s">
        <v>551</v>
      </c>
      <c r="P129" s="36"/>
    </row>
    <row r="130" spans="1:25" x14ac:dyDescent="0.2">
      <c r="C130" s="42"/>
      <c r="D130" s="858"/>
      <c r="E130" s="858"/>
      <c r="F130" s="858"/>
      <c r="G130" s="858"/>
      <c r="H130" s="858"/>
      <c r="I130" s="858"/>
      <c r="L130" s="1001"/>
      <c r="M130" s="1034"/>
      <c r="O130" s="118" t="s">
        <v>552</v>
      </c>
      <c r="P130" s="36"/>
    </row>
    <row r="131" spans="1:25" ht="10.5" customHeight="1" x14ac:dyDescent="0.2">
      <c r="C131" s="42"/>
      <c r="J131" s="47" t="s">
        <v>553</v>
      </c>
      <c r="L131" s="36"/>
      <c r="M131" s="36"/>
      <c r="N131" s="36"/>
      <c r="O131" s="36"/>
      <c r="P131" s="36"/>
    </row>
    <row r="132" spans="1:25" x14ac:dyDescent="0.2">
      <c r="C132" s="389" t="s">
        <v>62</v>
      </c>
      <c r="D132" s="858" t="s">
        <v>554</v>
      </c>
      <c r="E132" s="858"/>
      <c r="F132" s="858"/>
      <c r="G132" s="858"/>
      <c r="H132" s="858"/>
      <c r="I132" s="858"/>
      <c r="L132" s="1031"/>
      <c r="M132" s="1032">
        <f>L132*L124</f>
        <v>0</v>
      </c>
      <c r="Q132" s="1033" t="str">
        <f>IF(M132=0," ",(M132/M113))</f>
        <v xml:space="preserve"> </v>
      </c>
      <c r="R132" s="390" t="s">
        <v>551</v>
      </c>
      <c r="S132" s="36"/>
    </row>
    <row r="133" spans="1:25" x14ac:dyDescent="0.2">
      <c r="C133" s="42"/>
      <c r="D133" s="858"/>
      <c r="E133" s="858"/>
      <c r="F133" s="858"/>
      <c r="G133" s="858"/>
      <c r="H133" s="858"/>
      <c r="I133" s="858"/>
      <c r="L133" s="1031"/>
      <c r="M133" s="1032"/>
      <c r="O133" s="118" t="s">
        <v>555</v>
      </c>
      <c r="Q133" s="1033"/>
      <c r="R133" s="390" t="s">
        <v>556</v>
      </c>
      <c r="S133" s="36"/>
    </row>
    <row r="134" spans="1:25" ht="12.75" customHeight="1" x14ac:dyDescent="0.2">
      <c r="C134" s="42"/>
      <c r="L134" s="36"/>
      <c r="M134" s="36"/>
      <c r="N134" s="36"/>
      <c r="O134" s="36"/>
      <c r="P134" s="36"/>
    </row>
    <row r="135" spans="1:25" ht="12.75" customHeight="1" x14ac:dyDescent="0.2">
      <c r="B135" s="54" t="s">
        <v>335</v>
      </c>
      <c r="C135" s="4" t="s">
        <v>557</v>
      </c>
      <c r="D135" s="4"/>
      <c r="E135" s="4"/>
      <c r="F135" s="4"/>
      <c r="K135" s="1023" t="s">
        <v>558</v>
      </c>
      <c r="L135" s="1023"/>
      <c r="M135" s="392" t="str">
        <f>IF(L129=0,"0",((L122+M122+O122+P122+Q122+R122+S122+T122)*M129))</f>
        <v>0</v>
      </c>
      <c r="O135" s="1022" t="s">
        <v>559</v>
      </c>
      <c r="P135" s="1022"/>
      <c r="Q135" s="190" t="str">
        <f>IF(L132=0,"0",(L122+M122+O122+P122+Q122+R122+S122+T122)*Q132)</f>
        <v>0</v>
      </c>
    </row>
    <row r="136" spans="1:25" ht="6.75" customHeight="1" x14ac:dyDescent="0.2">
      <c r="B136" s="54"/>
      <c r="C136" s="4"/>
      <c r="D136" s="4"/>
      <c r="E136" s="4"/>
      <c r="F136" s="4"/>
      <c r="K136" s="391"/>
      <c r="L136" s="391"/>
      <c r="M136" s="393"/>
      <c r="N136" s="11"/>
      <c r="O136" s="394"/>
      <c r="P136" s="394"/>
      <c r="Q136" s="395"/>
    </row>
    <row r="137" spans="1:25" ht="12.75" customHeight="1" x14ac:dyDescent="0.2">
      <c r="A137" t="s">
        <v>351</v>
      </c>
      <c r="C137" s="42" t="s">
        <v>60</v>
      </c>
      <c r="D137" s="1038" t="s">
        <v>560</v>
      </c>
      <c r="E137" s="1038"/>
      <c r="F137" s="1038"/>
      <c r="G137" s="1038"/>
      <c r="H137" s="1038"/>
      <c r="I137" s="1038"/>
      <c r="L137" s="36"/>
      <c r="M137" s="36"/>
      <c r="T137" s="396"/>
    </row>
    <row r="138" spans="1:25" ht="12.75" customHeight="1" x14ac:dyDescent="0.2">
      <c r="C138" s="36"/>
      <c r="D138" s="1038"/>
      <c r="E138" s="1038"/>
      <c r="F138" s="1038"/>
      <c r="G138" s="1038"/>
      <c r="H138" s="1038"/>
      <c r="I138" s="1038"/>
      <c r="L138" s="36"/>
      <c r="M138" s="36"/>
      <c r="T138" s="396"/>
    </row>
    <row r="139" spans="1:25" x14ac:dyDescent="0.2">
      <c r="C139" s="36"/>
      <c r="D139" t="str">
        <f>L112</f>
        <v>Land</v>
      </c>
      <c r="H139" s="223"/>
      <c r="L139" s="36"/>
      <c r="M139" s="36"/>
    </row>
    <row r="140" spans="1:25" x14ac:dyDescent="0.2">
      <c r="C140" s="36"/>
      <c r="D140" t="str">
        <f>M112</f>
        <v>Buildings</v>
      </c>
      <c r="H140" s="223"/>
      <c r="L140" s="36"/>
      <c r="M140" s="36"/>
    </row>
    <row r="141" spans="1:25" x14ac:dyDescent="0.2">
      <c r="C141" s="36"/>
      <c r="D141" t="str">
        <f>O111</f>
        <v>Equipment and Furniture</v>
      </c>
      <c r="H141" s="223"/>
      <c r="L141" s="36"/>
      <c r="M141" s="36"/>
    </row>
    <row r="142" spans="1:25" x14ac:dyDescent="0.2">
      <c r="D142" t="str">
        <f>P111</f>
        <v>Library Books</v>
      </c>
      <c r="H142" s="223"/>
      <c r="L142" s="36"/>
      <c r="M142" s="36"/>
    </row>
    <row r="143" spans="1:25" x14ac:dyDescent="0.2">
      <c r="D143" t="str">
        <f>Q111</f>
        <v>Vehicles &amp; Motorized Equipment</v>
      </c>
      <c r="H143" s="223"/>
      <c r="L143" s="36"/>
      <c r="M143" s="36"/>
    </row>
    <row r="144" spans="1:25" x14ac:dyDescent="0.2">
      <c r="C144" s="36"/>
      <c r="D144" s="208" t="str">
        <f>R111</f>
        <v>Computer equipment</v>
      </c>
      <c r="H144" s="223"/>
      <c r="L144" s="36"/>
      <c r="M144" s="36"/>
      <c r="X144" s="1039" t="str">
        <f>IF(W144=AA121," ","Recheck number. Must match 4 above.")</f>
        <v xml:space="preserve"> </v>
      </c>
      <c r="Y144" s="1039"/>
    </row>
    <row r="145" spans="1:20" x14ac:dyDescent="0.2">
      <c r="C145" s="36"/>
      <c r="D145" s="208" t="str">
        <f>S111</f>
        <v>Other Asset Class 1</v>
      </c>
      <c r="H145" s="223"/>
      <c r="L145" s="36"/>
      <c r="M145" s="36"/>
    </row>
    <row r="146" spans="1:20" ht="24" customHeight="1" thickBot="1" x14ac:dyDescent="0.25">
      <c r="C146" s="36"/>
      <c r="D146" s="36"/>
      <c r="E146" s="36"/>
      <c r="H146" s="138">
        <f>SUM(H139:H145)</f>
        <v>0</v>
      </c>
      <c r="I146" s="1035" t="str">
        <f>IF(H146=M135+Q135," ","Recheck number. Must match loss amt. in 4 above.")</f>
        <v xml:space="preserve"> </v>
      </c>
      <c r="J146" s="1035"/>
      <c r="K146" s="1035"/>
      <c r="L146" s="36"/>
      <c r="M146" s="36"/>
      <c r="T146" s="397"/>
    </row>
    <row r="147" spans="1:20" ht="13.5" thickTop="1" x14ac:dyDescent="0.2">
      <c r="C147" s="42"/>
      <c r="L147" s="36"/>
      <c r="M147" s="36"/>
      <c r="N147" s="36"/>
      <c r="O147" s="36"/>
      <c r="P147" s="36"/>
    </row>
    <row r="148" spans="1:20" ht="11.25" customHeight="1" x14ac:dyDescent="0.2">
      <c r="B148" s="398" t="s">
        <v>336</v>
      </c>
      <c r="C148" s="1036" t="s">
        <v>561</v>
      </c>
      <c r="D148" s="1036"/>
      <c r="E148" s="1036"/>
      <c r="F148" s="1036"/>
      <c r="G148" s="1036"/>
      <c r="H148" s="1036"/>
      <c r="I148" s="1036"/>
      <c r="J148" s="32"/>
      <c r="K148" s="32"/>
      <c r="L148" s="44"/>
      <c r="M148" s="997"/>
      <c r="O148" s="44"/>
      <c r="P148" s="44"/>
      <c r="Q148" s="32"/>
      <c r="R148" s="32"/>
    </row>
    <row r="149" spans="1:20" x14ac:dyDescent="0.2">
      <c r="B149" s="32"/>
      <c r="C149" s="83" t="s">
        <v>60</v>
      </c>
      <c r="D149" s="32" t="s">
        <v>562</v>
      </c>
      <c r="F149" s="32"/>
      <c r="G149" s="32"/>
      <c r="H149" s="32"/>
      <c r="I149" s="32"/>
      <c r="J149" s="32"/>
      <c r="K149" s="32"/>
      <c r="L149" s="213"/>
      <c r="M149" s="1037"/>
      <c r="O149" s="213"/>
      <c r="P149" s="213"/>
      <c r="Q149" s="209"/>
      <c r="R149" s="209"/>
    </row>
    <row r="150" spans="1:20" ht="6.75" customHeight="1" x14ac:dyDescent="0.2">
      <c r="B150" s="32"/>
      <c r="C150" s="83"/>
      <c r="D150" s="32"/>
      <c r="E150" s="32"/>
      <c r="F150" s="32"/>
      <c r="G150" s="32"/>
      <c r="H150" s="32"/>
      <c r="I150" s="32"/>
      <c r="J150" s="32"/>
      <c r="K150" s="32"/>
      <c r="L150" s="44"/>
      <c r="M150" s="44"/>
      <c r="N150" s="44"/>
      <c r="O150" s="44"/>
      <c r="P150" s="44"/>
      <c r="Q150" s="32"/>
      <c r="R150" s="32"/>
    </row>
    <row r="151" spans="1:20" ht="24.75" customHeight="1" thickBot="1" x14ac:dyDescent="0.25">
      <c r="B151" s="32"/>
      <c r="C151" s="32" t="s">
        <v>62</v>
      </c>
      <c r="D151" s="32"/>
      <c r="E151" s="1042" t="s">
        <v>563</v>
      </c>
      <c r="F151" s="1042"/>
      <c r="G151" s="1042"/>
      <c r="H151" s="1042"/>
      <c r="I151" s="1042"/>
      <c r="J151" s="32"/>
      <c r="K151" s="32"/>
      <c r="L151" s="44"/>
      <c r="M151" s="71">
        <f>M148-(M135+Q135)</f>
        <v>0</v>
      </c>
      <c r="O151" s="44"/>
      <c r="P151" s="44"/>
      <c r="Q151" s="32"/>
      <c r="R151" s="32"/>
    </row>
    <row r="152" spans="1:20" ht="12.75" customHeight="1" thickTop="1" x14ac:dyDescent="0.2">
      <c r="B152" s="32"/>
      <c r="C152" s="32"/>
      <c r="D152" s="32"/>
      <c r="E152" s="32"/>
      <c r="F152" s="32"/>
      <c r="G152" s="32"/>
      <c r="H152" s="32"/>
      <c r="I152" s="32"/>
      <c r="J152" s="32"/>
      <c r="K152" s="32"/>
      <c r="L152" s="44"/>
      <c r="M152" s="44"/>
      <c r="O152" s="44"/>
      <c r="P152" s="44"/>
      <c r="Q152" s="32"/>
      <c r="R152" s="32"/>
    </row>
    <row r="153" spans="1:20" ht="12.75" customHeight="1" x14ac:dyDescent="0.2">
      <c r="B153" s="32"/>
      <c r="C153" s="32"/>
      <c r="D153" s="32"/>
      <c r="E153" s="32"/>
      <c r="F153" s="32"/>
      <c r="G153" s="32"/>
      <c r="H153" s="32"/>
      <c r="I153" s="32"/>
      <c r="J153" s="32"/>
      <c r="K153" s="32"/>
      <c r="L153" s="44"/>
      <c r="M153" s="44"/>
      <c r="O153" s="44"/>
      <c r="P153" s="44"/>
      <c r="Q153" s="32"/>
      <c r="R153" s="32"/>
    </row>
    <row r="154" spans="1:20" ht="25.5" customHeight="1" x14ac:dyDescent="0.2">
      <c r="A154" s="765" t="s">
        <v>517</v>
      </c>
      <c r="B154" s="971" t="s">
        <v>738</v>
      </c>
      <c r="C154" s="972"/>
      <c r="D154" s="972"/>
      <c r="E154" s="972"/>
      <c r="F154" s="972"/>
      <c r="G154" s="972"/>
      <c r="H154" s="972"/>
      <c r="I154" s="972"/>
      <c r="J154" s="972"/>
      <c r="K154" s="972"/>
      <c r="L154" s="972"/>
      <c r="M154" s="972"/>
      <c r="N154" s="972"/>
      <c r="O154" s="972"/>
      <c r="P154" s="972"/>
      <c r="Q154" s="972"/>
      <c r="R154" s="972"/>
      <c r="S154" s="972"/>
      <c r="T154" s="973"/>
    </row>
    <row r="155" spans="1:20" ht="12.75" customHeight="1" x14ac:dyDescent="0.2">
      <c r="B155" s="38" t="s">
        <v>182</v>
      </c>
      <c r="C155" s="858" t="s">
        <v>166</v>
      </c>
      <c r="D155" s="858"/>
      <c r="E155" s="858"/>
      <c r="F155" s="858"/>
      <c r="G155" s="858"/>
      <c r="H155" s="858"/>
      <c r="I155" s="858"/>
      <c r="J155" s="858"/>
      <c r="K155" s="32"/>
      <c r="L155" s="44"/>
      <c r="M155" s="44"/>
      <c r="O155" s="44"/>
      <c r="P155" s="44"/>
      <c r="Q155" s="32"/>
      <c r="R155" s="32"/>
    </row>
    <row r="156" spans="1:20" ht="12.75" customHeight="1" x14ac:dyDescent="0.2">
      <c r="C156" s="858"/>
      <c r="D156" s="858"/>
      <c r="E156" s="858"/>
      <c r="F156" s="858"/>
      <c r="G156" s="858"/>
      <c r="H156" s="858"/>
      <c r="I156" s="858"/>
      <c r="J156" s="858"/>
      <c r="K156" s="32"/>
      <c r="L156" s="44"/>
      <c r="M156" s="44"/>
      <c r="O156" s="44"/>
      <c r="P156" s="44"/>
      <c r="Q156" s="32"/>
      <c r="R156" s="32"/>
    </row>
    <row r="157" spans="1:20" ht="12.75" customHeight="1" x14ac:dyDescent="0.2">
      <c r="C157" t="s">
        <v>60</v>
      </c>
      <c r="D157" s="858" t="s">
        <v>167</v>
      </c>
      <c r="E157" s="858"/>
      <c r="F157" s="858"/>
      <c r="G157" s="858"/>
      <c r="H157" s="858"/>
      <c r="I157" s="858"/>
      <c r="J157" s="858"/>
      <c r="K157" s="32"/>
      <c r="L157" s="44"/>
      <c r="M157" s="44"/>
      <c r="O157" s="44"/>
      <c r="P157" s="44"/>
      <c r="Q157" s="32"/>
      <c r="R157" s="32"/>
    </row>
    <row r="158" spans="1:20" ht="12.75" customHeight="1" x14ac:dyDescent="0.2">
      <c r="D158" s="858"/>
      <c r="E158" s="858"/>
      <c r="F158" s="858"/>
      <c r="G158" s="858"/>
      <c r="H158" s="858"/>
      <c r="I158" s="858"/>
      <c r="J158" s="858"/>
      <c r="K158" s="32"/>
      <c r="L158" s="44"/>
      <c r="M158" s="44"/>
      <c r="O158" s="44"/>
      <c r="P158" s="44"/>
      <c r="Q158" s="32"/>
      <c r="R158" s="32"/>
    </row>
    <row r="159" spans="1:20" ht="12.75" customHeight="1" x14ac:dyDescent="0.2">
      <c r="D159" t="s">
        <v>168</v>
      </c>
      <c r="K159" s="426"/>
      <c r="L159" s="223"/>
      <c r="M159" s="44"/>
      <c r="O159" s="44"/>
      <c r="P159" s="44"/>
      <c r="Q159" s="32"/>
      <c r="R159" s="32"/>
    </row>
    <row r="160" spans="1:20" ht="12.75" customHeight="1" x14ac:dyDescent="0.2">
      <c r="D160" t="s">
        <v>160</v>
      </c>
      <c r="K160" s="32"/>
      <c r="L160" s="223"/>
      <c r="M160" s="44"/>
      <c r="O160" s="44"/>
      <c r="P160" s="44"/>
      <c r="Q160" s="32"/>
      <c r="R160" s="32"/>
    </row>
    <row r="161" spans="3:18" ht="12.75" customHeight="1" x14ac:dyDescent="0.2">
      <c r="K161" s="32"/>
      <c r="L161" s="44"/>
      <c r="M161" s="44"/>
      <c r="O161" s="44"/>
      <c r="P161" s="44"/>
      <c r="Q161" s="32"/>
      <c r="R161" s="32"/>
    </row>
    <row r="162" spans="3:18" ht="12.75" customHeight="1" x14ac:dyDescent="0.2">
      <c r="C162" t="s">
        <v>62</v>
      </c>
      <c r="D162" s="1038" t="s">
        <v>169</v>
      </c>
      <c r="E162" s="1038"/>
      <c r="F162" s="1038"/>
      <c r="G162" s="1038"/>
      <c r="H162" s="1038"/>
      <c r="I162" s="1038"/>
      <c r="J162" s="1038"/>
      <c r="K162" s="396"/>
      <c r="L162" s="44"/>
      <c r="M162" s="44"/>
    </row>
    <row r="163" spans="3:18" ht="12.75" customHeight="1" x14ac:dyDescent="0.2">
      <c r="C163" s="396"/>
      <c r="D163" s="1038"/>
      <c r="E163" s="1038"/>
      <c r="F163" s="1038"/>
      <c r="G163" s="1038"/>
      <c r="H163" s="1038"/>
      <c r="I163" s="1038"/>
      <c r="J163" s="1038"/>
      <c r="K163" s="396"/>
      <c r="L163" s="44"/>
      <c r="M163" s="44"/>
    </row>
    <row r="164" spans="3:18" ht="12.75" customHeight="1" x14ac:dyDescent="0.2">
      <c r="C164" s="396"/>
      <c r="D164" s="1038"/>
      <c r="E164" s="1038"/>
      <c r="F164" s="1038"/>
      <c r="G164" s="1038"/>
      <c r="H164" s="1038"/>
      <c r="I164" s="1038"/>
      <c r="J164" s="1038"/>
      <c r="L164" s="44"/>
      <c r="M164" s="44"/>
    </row>
    <row r="165" spans="3:18" ht="12.75" customHeight="1" x14ac:dyDescent="0.2">
      <c r="C165" s="42"/>
      <c r="E165" t="s">
        <v>170</v>
      </c>
      <c r="L165" s="223"/>
      <c r="O165" s="44"/>
    </row>
    <row r="166" spans="3:18" ht="12.75" customHeight="1" x14ac:dyDescent="0.2">
      <c r="C166" s="42"/>
      <c r="E166" t="s">
        <v>263</v>
      </c>
      <c r="L166" s="223"/>
      <c r="O166" s="44"/>
    </row>
    <row r="167" spans="3:18" ht="12.75" customHeight="1" x14ac:dyDescent="0.2">
      <c r="C167" s="42"/>
      <c r="E167" t="s">
        <v>264</v>
      </c>
      <c r="L167" s="223"/>
      <c r="O167" s="44"/>
    </row>
    <row r="168" spans="3:18" ht="12.75" customHeight="1" x14ac:dyDescent="0.2">
      <c r="C168" s="42"/>
      <c r="E168" t="s">
        <v>265</v>
      </c>
      <c r="L168" s="223"/>
      <c r="O168" s="44"/>
    </row>
    <row r="169" spans="3:18" ht="12.75" customHeight="1" x14ac:dyDescent="0.2">
      <c r="C169" s="42"/>
      <c r="E169" t="s">
        <v>266</v>
      </c>
      <c r="L169" s="223"/>
      <c r="O169" s="44"/>
    </row>
    <row r="170" spans="3:18" ht="12.75" customHeight="1" x14ac:dyDescent="0.2">
      <c r="C170" s="42"/>
      <c r="E170" t="s">
        <v>267</v>
      </c>
      <c r="L170" s="223"/>
      <c r="O170" s="44"/>
    </row>
    <row r="171" spans="3:18" ht="12.75" customHeight="1" x14ac:dyDescent="0.2">
      <c r="C171" s="42"/>
      <c r="E171" t="s">
        <v>268</v>
      </c>
      <c r="L171" s="223"/>
      <c r="O171" s="44"/>
    </row>
    <row r="172" spans="3:18" ht="12.75" customHeight="1" x14ac:dyDescent="0.2">
      <c r="C172" s="42"/>
      <c r="E172" t="s">
        <v>269</v>
      </c>
      <c r="L172" s="223"/>
      <c r="O172" s="44"/>
    </row>
    <row r="173" spans="3:18" ht="12.75" customHeight="1" x14ac:dyDescent="0.2">
      <c r="C173" s="42"/>
      <c r="E173" t="s">
        <v>378</v>
      </c>
      <c r="L173" s="223"/>
      <c r="O173" s="44"/>
    </row>
    <row r="174" spans="3:18" ht="12.75" customHeight="1" x14ac:dyDescent="0.2">
      <c r="C174" s="42"/>
      <c r="E174" t="s">
        <v>270</v>
      </c>
      <c r="L174" s="223"/>
      <c r="O174" s="44"/>
    </row>
    <row r="175" spans="3:18" ht="12.75" customHeight="1" x14ac:dyDescent="0.2">
      <c r="C175" s="42"/>
      <c r="E175" t="s">
        <v>237</v>
      </c>
      <c r="L175" s="223"/>
      <c r="O175" s="44"/>
    </row>
    <row r="176" spans="3:18" ht="12.75" customHeight="1" x14ac:dyDescent="0.2">
      <c r="C176" s="42"/>
      <c r="E176" t="s">
        <v>238</v>
      </c>
      <c r="L176" s="223"/>
      <c r="O176" s="44"/>
    </row>
    <row r="177" spans="1:20" ht="12.75" customHeight="1" x14ac:dyDescent="0.2">
      <c r="C177" s="42"/>
      <c r="E177" t="s">
        <v>271</v>
      </c>
      <c r="L177" s="223"/>
      <c r="O177" s="44"/>
    </row>
    <row r="178" spans="1:20" ht="12.75" customHeight="1" x14ac:dyDescent="0.2">
      <c r="C178" s="42"/>
      <c r="E178" t="s">
        <v>273</v>
      </c>
      <c r="L178" s="223"/>
      <c r="O178" s="44"/>
    </row>
    <row r="179" spans="1:20" ht="12.75" customHeight="1" x14ac:dyDescent="0.2">
      <c r="C179" s="42"/>
      <c r="E179" t="s">
        <v>274</v>
      </c>
      <c r="L179" s="223"/>
      <c r="O179" s="44"/>
    </row>
    <row r="180" spans="1:20" ht="12.75" customHeight="1" x14ac:dyDescent="0.2">
      <c r="C180" s="42"/>
      <c r="E180" t="s">
        <v>272</v>
      </c>
      <c r="L180" s="223"/>
      <c r="O180" s="44"/>
    </row>
    <row r="181" spans="1:20" ht="12.75" customHeight="1" x14ac:dyDescent="0.2">
      <c r="C181" s="42"/>
      <c r="E181" t="s">
        <v>257</v>
      </c>
      <c r="L181" s="223"/>
      <c r="O181" s="44"/>
    </row>
    <row r="182" spans="1:20" ht="12.75" customHeight="1" x14ac:dyDescent="0.2">
      <c r="C182" s="42"/>
      <c r="E182" t="s">
        <v>55</v>
      </c>
      <c r="L182" s="223"/>
      <c r="O182" s="44"/>
    </row>
    <row r="183" spans="1:20" x14ac:dyDescent="0.2">
      <c r="C183" s="42"/>
      <c r="M183" s="992" t="str">
        <f>IF(L184=M151," ","Recheck entry. Total must match net gain or loss in 5.b above.")</f>
        <v xml:space="preserve"> </v>
      </c>
      <c r="N183" s="1043"/>
      <c r="O183" s="1043"/>
      <c r="P183" s="1043"/>
    </row>
    <row r="184" spans="1:20" x14ac:dyDescent="0.2">
      <c r="H184" s="23" t="s">
        <v>171</v>
      </c>
      <c r="L184" s="190">
        <f>L159+L160+SUM(L165:L182)</f>
        <v>0</v>
      </c>
      <c r="M184" s="1043"/>
      <c r="N184" s="1043"/>
      <c r="O184" s="1043"/>
      <c r="P184" s="1043"/>
    </row>
    <row r="185" spans="1:20" ht="5.25" customHeight="1" x14ac:dyDescent="0.2">
      <c r="L185" s="36"/>
      <c r="M185" s="36"/>
      <c r="N185" s="36"/>
      <c r="O185" s="36"/>
      <c r="P185" s="36"/>
      <c r="Q185" s="36"/>
    </row>
    <row r="186" spans="1:20" ht="26.25" customHeight="1" x14ac:dyDescent="0.2">
      <c r="A186" s="765" t="s">
        <v>522</v>
      </c>
      <c r="B186" s="971" t="s">
        <v>322</v>
      </c>
      <c r="C186" s="972"/>
      <c r="D186" s="972"/>
      <c r="E186" s="972"/>
      <c r="F186" s="972"/>
      <c r="G186" s="972"/>
      <c r="H186" s="972"/>
      <c r="I186" s="972"/>
      <c r="J186" s="972"/>
      <c r="K186" s="972"/>
      <c r="L186" s="972"/>
      <c r="M186" s="972"/>
      <c r="N186" s="972"/>
      <c r="O186" s="972"/>
      <c r="P186" s="972"/>
      <c r="Q186" s="972"/>
      <c r="R186" s="972"/>
      <c r="S186" s="972"/>
      <c r="T186" s="973"/>
    </row>
    <row r="187" spans="1:20" ht="2.25" customHeight="1" x14ac:dyDescent="0.2"/>
    <row r="188" spans="1:20" x14ac:dyDescent="0.2">
      <c r="E188" t="s">
        <v>351</v>
      </c>
      <c r="M188" s="46" t="s">
        <v>645</v>
      </c>
      <c r="N188" s="42"/>
      <c r="O188" s="46" t="s">
        <v>646</v>
      </c>
    </row>
    <row r="189" spans="1:20" x14ac:dyDescent="0.2">
      <c r="D189" t="s">
        <v>132</v>
      </c>
      <c r="E189" s="11" t="str">
        <f>CONCATENATE("Accumulated depreciation - ", M85)</f>
        <v>Accumulated depreciation - Buildings</v>
      </c>
      <c r="F189" s="11"/>
      <c r="M189" s="64">
        <f t="shared" ref="M189:M194" si="5">X242</f>
        <v>0</v>
      </c>
      <c r="N189" s="11"/>
      <c r="O189" s="64"/>
    </row>
    <row r="190" spans="1:20" x14ac:dyDescent="0.2">
      <c r="E190" s="11" t="str">
        <f xml:space="preserve"> CONCATENATE("Accumulated depreciation - ",O85)</f>
        <v>Accumulated depreciation - Equipment and Furniture</v>
      </c>
      <c r="F190" s="11"/>
      <c r="M190" s="64">
        <f t="shared" si="5"/>
        <v>0</v>
      </c>
      <c r="N190" s="11"/>
      <c r="O190" s="64"/>
    </row>
    <row r="191" spans="1:20" x14ac:dyDescent="0.2">
      <c r="E191" s="11" t="str">
        <f>CONCATENATE("Accumulated depreciation - ", P85)</f>
        <v>Accumulated depreciation - Library Books</v>
      </c>
      <c r="F191" s="11"/>
      <c r="M191" s="64">
        <f t="shared" si="5"/>
        <v>0</v>
      </c>
      <c r="N191" s="11"/>
      <c r="O191" s="64"/>
    </row>
    <row r="192" spans="1:20" x14ac:dyDescent="0.2">
      <c r="E192" s="11" t="str">
        <f>CONCATENATE("Accumulated depreciation - ", Q85)</f>
        <v>Accumulated depreciation - Vehicles &amp; Motorized Equipment</v>
      </c>
      <c r="F192" s="11"/>
      <c r="M192" s="64">
        <f t="shared" si="5"/>
        <v>0</v>
      </c>
      <c r="N192" s="11"/>
      <c r="O192" s="64"/>
    </row>
    <row r="193" spans="5:15" x14ac:dyDescent="0.2">
      <c r="E193" s="11" t="str">
        <f xml:space="preserve"> CONCATENATE("Accumulated depreciation - ",R85)</f>
        <v>Accumulated depreciation - Computer equipment</v>
      </c>
      <c r="F193" s="11"/>
      <c r="M193" s="64">
        <f t="shared" si="5"/>
        <v>0</v>
      </c>
      <c r="N193" s="11"/>
      <c r="O193" s="64"/>
    </row>
    <row r="194" spans="5:15" x14ac:dyDescent="0.2">
      <c r="E194" s="11" t="str">
        <f>CONCATENATE("Accumulated depreciation - ", S85)</f>
        <v>Accumulated depreciation - Other Asset Class 1</v>
      </c>
      <c r="F194" s="11"/>
      <c r="M194" s="64">
        <f t="shared" si="5"/>
        <v>0</v>
      </c>
      <c r="N194" s="11"/>
      <c r="O194" s="64"/>
    </row>
    <row r="195" spans="5:15" x14ac:dyDescent="0.2">
      <c r="E195" s="11" t="s">
        <v>91</v>
      </c>
      <c r="F195" s="11"/>
      <c r="M195" s="64">
        <f>X248</f>
        <v>0</v>
      </c>
      <c r="N195" s="11"/>
      <c r="O195" s="64"/>
    </row>
    <row r="196" spans="5:15" x14ac:dyDescent="0.2">
      <c r="E196" t="s">
        <v>448</v>
      </c>
      <c r="M196" s="64">
        <f>X249</f>
        <v>0</v>
      </c>
      <c r="N196" s="11"/>
      <c r="O196" s="64"/>
    </row>
    <row r="197" spans="5:15" x14ac:dyDescent="0.2">
      <c r="E197" t="s">
        <v>417</v>
      </c>
      <c r="M197" s="64">
        <f>X250</f>
        <v>0</v>
      </c>
      <c r="N197" s="11"/>
      <c r="O197" s="64"/>
    </row>
    <row r="198" spans="5:15" x14ac:dyDescent="0.2">
      <c r="E198" s="11" t="s">
        <v>173</v>
      </c>
      <c r="M198" s="64"/>
      <c r="N198" s="11"/>
      <c r="O198" s="64">
        <f>X251</f>
        <v>0</v>
      </c>
    </row>
    <row r="199" spans="5:15" x14ac:dyDescent="0.2">
      <c r="E199" t="s">
        <v>446</v>
      </c>
      <c r="M199" s="64">
        <f>X252</f>
        <v>0</v>
      </c>
      <c r="N199" s="11"/>
      <c r="O199" s="64"/>
    </row>
    <row r="200" spans="5:15" x14ac:dyDescent="0.2">
      <c r="E200" t="s">
        <v>263</v>
      </c>
      <c r="M200" s="64">
        <f>X263</f>
        <v>0</v>
      </c>
      <c r="N200" s="11"/>
      <c r="O200" s="64"/>
    </row>
    <row r="201" spans="5:15" x14ac:dyDescent="0.2">
      <c r="E201" t="s">
        <v>264</v>
      </c>
      <c r="M201" s="64">
        <f t="shared" ref="M201:M216" si="6">X264</f>
        <v>0</v>
      </c>
      <c r="N201" s="11"/>
      <c r="O201" s="64"/>
    </row>
    <row r="202" spans="5:15" x14ac:dyDescent="0.2">
      <c r="E202" t="s">
        <v>265</v>
      </c>
      <c r="M202" s="64">
        <f t="shared" si="6"/>
        <v>0</v>
      </c>
      <c r="N202" s="11"/>
      <c r="O202" s="64"/>
    </row>
    <row r="203" spans="5:15" x14ac:dyDescent="0.2">
      <c r="E203" t="s">
        <v>266</v>
      </c>
      <c r="M203" s="64">
        <f t="shared" si="6"/>
        <v>0</v>
      </c>
      <c r="N203" s="11"/>
      <c r="O203" s="64"/>
    </row>
    <row r="204" spans="5:15" x14ac:dyDescent="0.2">
      <c r="E204" t="s">
        <v>267</v>
      </c>
      <c r="M204" s="64">
        <f t="shared" si="6"/>
        <v>0</v>
      </c>
      <c r="N204" s="11"/>
      <c r="O204" s="64"/>
    </row>
    <row r="205" spans="5:15" x14ac:dyDescent="0.2">
      <c r="E205" t="s">
        <v>268</v>
      </c>
      <c r="M205" s="64">
        <f t="shared" si="6"/>
        <v>0</v>
      </c>
      <c r="N205" s="11"/>
      <c r="O205" s="64"/>
    </row>
    <row r="206" spans="5:15" x14ac:dyDescent="0.2">
      <c r="E206" t="s">
        <v>269</v>
      </c>
      <c r="M206" s="64">
        <f t="shared" si="6"/>
        <v>0</v>
      </c>
      <c r="N206" s="11"/>
      <c r="O206" s="64"/>
    </row>
    <row r="207" spans="5:15" x14ac:dyDescent="0.2">
      <c r="E207" t="s">
        <v>378</v>
      </c>
      <c r="M207" s="64">
        <f t="shared" si="6"/>
        <v>0</v>
      </c>
      <c r="N207" s="11"/>
      <c r="O207" s="64"/>
    </row>
    <row r="208" spans="5:15" x14ac:dyDescent="0.2">
      <c r="E208" t="s">
        <v>270</v>
      </c>
      <c r="M208" s="64">
        <f t="shared" si="6"/>
        <v>0</v>
      </c>
      <c r="N208" s="11"/>
      <c r="O208" s="64"/>
    </row>
    <row r="209" spans="4:15" x14ac:dyDescent="0.2">
      <c r="E209" t="s">
        <v>237</v>
      </c>
      <c r="M209" s="64">
        <f t="shared" si="6"/>
        <v>0</v>
      </c>
      <c r="N209" s="11"/>
      <c r="O209" s="64"/>
    </row>
    <row r="210" spans="4:15" x14ac:dyDescent="0.2">
      <c r="E210" t="s">
        <v>238</v>
      </c>
      <c r="M210" s="64">
        <f t="shared" si="6"/>
        <v>0</v>
      </c>
      <c r="N210" s="11"/>
      <c r="O210" s="64"/>
    </row>
    <row r="211" spans="4:15" x14ac:dyDescent="0.2">
      <c r="E211" t="s">
        <v>271</v>
      </c>
      <c r="M211" s="64">
        <f t="shared" si="6"/>
        <v>0</v>
      </c>
      <c r="N211" s="11"/>
      <c r="O211" s="64"/>
    </row>
    <row r="212" spans="4:15" x14ac:dyDescent="0.2">
      <c r="E212" t="s">
        <v>273</v>
      </c>
      <c r="M212" s="64">
        <f t="shared" si="6"/>
        <v>0</v>
      </c>
      <c r="N212" s="11"/>
      <c r="O212" s="64"/>
    </row>
    <row r="213" spans="4:15" x14ac:dyDescent="0.2">
      <c r="E213" t="s">
        <v>274</v>
      </c>
      <c r="M213" s="64">
        <f t="shared" si="6"/>
        <v>0</v>
      </c>
      <c r="N213" s="11"/>
      <c r="O213" s="64"/>
    </row>
    <row r="214" spans="4:15" x14ac:dyDescent="0.2">
      <c r="E214" t="s">
        <v>272</v>
      </c>
      <c r="M214" s="64">
        <f t="shared" si="6"/>
        <v>0</v>
      </c>
      <c r="N214" s="11"/>
      <c r="O214" s="64"/>
    </row>
    <row r="215" spans="4:15" x14ac:dyDescent="0.2">
      <c r="E215" t="s">
        <v>257</v>
      </c>
      <c r="M215" s="64">
        <f t="shared" si="6"/>
        <v>0</v>
      </c>
      <c r="N215" s="11"/>
      <c r="O215" s="64"/>
    </row>
    <row r="216" spans="4:15" x14ac:dyDescent="0.2">
      <c r="E216" t="s">
        <v>55</v>
      </c>
      <c r="M216" s="64">
        <f t="shared" si="6"/>
        <v>0</v>
      </c>
      <c r="N216" s="11"/>
      <c r="O216" s="64"/>
    </row>
    <row r="217" spans="4:15" x14ac:dyDescent="0.2">
      <c r="F217" s="11" t="str">
        <f>L23</f>
        <v>Land</v>
      </c>
      <c r="M217" s="64">
        <f t="shared" ref="M217:M223" si="7">X253</f>
        <v>0</v>
      </c>
      <c r="N217" s="11"/>
      <c r="O217" s="64">
        <f t="shared" ref="O217:O225" si="8">Y253</f>
        <v>0</v>
      </c>
    </row>
    <row r="218" spans="4:15" x14ac:dyDescent="0.2">
      <c r="F218" s="11" t="str">
        <f>M23</f>
        <v>Buildings</v>
      </c>
      <c r="M218" s="64">
        <f t="shared" si="7"/>
        <v>0</v>
      </c>
      <c r="N218" s="11"/>
      <c r="O218" s="64">
        <f t="shared" si="8"/>
        <v>0</v>
      </c>
    </row>
    <row r="219" spans="4:15" x14ac:dyDescent="0.2">
      <c r="F219" s="11" t="str">
        <f>O22</f>
        <v>Equipment and Furniture</v>
      </c>
      <c r="M219" s="64">
        <f t="shared" si="7"/>
        <v>0</v>
      </c>
      <c r="N219" s="11"/>
      <c r="O219" s="64">
        <f t="shared" si="8"/>
        <v>0</v>
      </c>
    </row>
    <row r="220" spans="4:15" x14ac:dyDescent="0.2">
      <c r="F220" s="11" t="str">
        <f>P22</f>
        <v>Library Books</v>
      </c>
      <c r="M220" s="64">
        <f t="shared" si="7"/>
        <v>0</v>
      </c>
      <c r="N220" s="11"/>
      <c r="O220" s="64">
        <f t="shared" si="8"/>
        <v>0</v>
      </c>
    </row>
    <row r="221" spans="4:15" x14ac:dyDescent="0.2">
      <c r="F221" s="11" t="str">
        <f>Q22</f>
        <v>Vehicles &amp; Motorized Equipment</v>
      </c>
      <c r="M221" s="64">
        <f t="shared" si="7"/>
        <v>0</v>
      </c>
      <c r="N221" s="11"/>
      <c r="O221" s="64">
        <f t="shared" si="8"/>
        <v>0</v>
      </c>
    </row>
    <row r="222" spans="4:15" x14ac:dyDescent="0.2">
      <c r="D222" s="208"/>
      <c r="F222" s="311" t="str">
        <f>R22</f>
        <v>Computer equipment</v>
      </c>
      <c r="M222" s="64">
        <f t="shared" si="7"/>
        <v>0</v>
      </c>
      <c r="N222" s="11"/>
      <c r="O222" s="64">
        <f t="shared" si="8"/>
        <v>0</v>
      </c>
    </row>
    <row r="223" spans="4:15" x14ac:dyDescent="0.2">
      <c r="D223" s="208"/>
      <c r="F223" s="311" t="str">
        <f>S22</f>
        <v>Other Asset Class 1</v>
      </c>
      <c r="M223" s="64">
        <f t="shared" si="7"/>
        <v>0</v>
      </c>
      <c r="N223" s="11"/>
      <c r="O223" s="64">
        <f t="shared" si="8"/>
        <v>0</v>
      </c>
    </row>
    <row r="224" spans="4:15" ht="15" x14ac:dyDescent="0.2">
      <c r="F224" s="11" t="s">
        <v>447</v>
      </c>
      <c r="M224" s="64"/>
      <c r="N224" s="11"/>
      <c r="O224" s="64">
        <f t="shared" si="8"/>
        <v>0</v>
      </c>
    </row>
    <row r="225" spans="1:25" ht="15" x14ac:dyDescent="0.2">
      <c r="F225" t="s">
        <v>449</v>
      </c>
      <c r="M225" s="64"/>
      <c r="N225" s="11"/>
      <c r="O225" s="64">
        <f t="shared" si="8"/>
        <v>0</v>
      </c>
    </row>
    <row r="226" spans="1:25" x14ac:dyDescent="0.2">
      <c r="F226" s="219" t="s">
        <v>174</v>
      </c>
      <c r="M226" s="64">
        <f>X262</f>
        <v>0</v>
      </c>
      <c r="N226" s="11"/>
      <c r="O226" s="64">
        <f>Z262</f>
        <v>0</v>
      </c>
    </row>
    <row r="227" spans="1:25" ht="12" customHeight="1" thickBot="1" x14ac:dyDescent="0.25">
      <c r="M227" s="66">
        <f>SUM(M189:M226)</f>
        <v>0</v>
      </c>
      <c r="N227" s="11"/>
      <c r="O227" s="66">
        <f>SUM(O189:O226)</f>
        <v>0</v>
      </c>
    </row>
    <row r="228" spans="1:25" ht="6.75" customHeight="1" thickTop="1" x14ac:dyDescent="0.2">
      <c r="M228" s="5"/>
      <c r="N228" s="11"/>
      <c r="O228" s="5"/>
    </row>
    <row r="229" spans="1:25" ht="13.5" customHeight="1" x14ac:dyDescent="0.2">
      <c r="C229" s="74" t="s">
        <v>142</v>
      </c>
      <c r="D229" s="1015" t="s">
        <v>128</v>
      </c>
      <c r="E229" s="1015"/>
      <c r="F229" s="1015"/>
      <c r="G229" s="1015"/>
      <c r="H229" s="1015"/>
      <c r="I229" s="1015"/>
      <c r="J229" s="1015"/>
      <c r="K229" s="1015"/>
      <c r="L229" s="1015"/>
      <c r="M229" s="1015"/>
      <c r="N229" s="1015"/>
      <c r="O229" s="1015"/>
      <c r="P229" s="1015"/>
      <c r="Q229" s="1015"/>
      <c r="R229" s="1015"/>
      <c r="S229" s="1015"/>
      <c r="T229" s="1015"/>
      <c r="U229" s="386"/>
      <c r="V229" s="386"/>
    </row>
    <row r="230" spans="1:25" ht="12.75" customHeight="1" x14ac:dyDescent="0.2">
      <c r="C230" s="74"/>
      <c r="D230" s="1015"/>
      <c r="E230" s="1015"/>
      <c r="F230" s="1015"/>
      <c r="G230" s="1015"/>
      <c r="H230" s="1015"/>
      <c r="I230" s="1015"/>
      <c r="J230" s="1015"/>
      <c r="K230" s="1015"/>
      <c r="L230" s="1015"/>
      <c r="M230" s="1015"/>
      <c r="N230" s="1015"/>
      <c r="O230" s="1015"/>
      <c r="P230" s="1015"/>
      <c r="Q230" s="1015"/>
      <c r="R230" s="1015"/>
      <c r="S230" s="1015"/>
      <c r="T230" s="1015"/>
      <c r="U230" s="386"/>
      <c r="V230" s="386"/>
    </row>
    <row r="231" spans="1:25" ht="15" x14ac:dyDescent="0.2">
      <c r="C231" s="74" t="s">
        <v>143</v>
      </c>
      <c r="D231" s="99" t="s">
        <v>679</v>
      </c>
    </row>
    <row r="239" spans="1:25" ht="19.5" customHeight="1" x14ac:dyDescent="0.25">
      <c r="A239" s="1048" t="s">
        <v>577</v>
      </c>
      <c r="B239" s="1049"/>
      <c r="C239" s="1049"/>
      <c r="D239" s="1049"/>
      <c r="E239" s="1049"/>
      <c r="F239" s="1049"/>
      <c r="G239" s="1049"/>
      <c r="H239" s="1049"/>
      <c r="I239" s="1049"/>
      <c r="J239" s="1049"/>
      <c r="K239" s="1049"/>
      <c r="L239" s="1049"/>
      <c r="M239" s="1049"/>
      <c r="N239" s="1049"/>
      <c r="O239" s="1049"/>
      <c r="P239" s="1049"/>
      <c r="Q239" s="1049"/>
      <c r="R239" s="1049"/>
      <c r="S239" s="1049"/>
      <c r="T239" s="1049"/>
      <c r="U239" s="1049"/>
      <c r="V239" s="1049"/>
      <c r="W239" s="1049"/>
      <c r="X239" s="1049"/>
      <c r="Y239" s="1050"/>
    </row>
    <row r="240" spans="1:25" x14ac:dyDescent="0.2">
      <c r="L240" s="1044" t="s">
        <v>183</v>
      </c>
      <c r="M240" s="1045"/>
      <c r="N240" s="43"/>
      <c r="O240" s="1044" t="s">
        <v>184</v>
      </c>
      <c r="P240" s="1046"/>
      <c r="Q240" s="1044" t="s">
        <v>179</v>
      </c>
      <c r="R240" s="1045"/>
      <c r="S240" s="1047" t="s">
        <v>180</v>
      </c>
      <c r="T240" s="1047"/>
      <c r="U240" s="1040" t="s">
        <v>172</v>
      </c>
      <c r="V240" s="1041"/>
      <c r="W240" s="759"/>
      <c r="X240" s="1040" t="s">
        <v>181</v>
      </c>
      <c r="Y240" s="1041"/>
    </row>
    <row r="241" spans="1:25" x14ac:dyDescent="0.2">
      <c r="L241" s="767" t="s">
        <v>645</v>
      </c>
      <c r="M241" s="768" t="s">
        <v>646</v>
      </c>
      <c r="N241" s="3"/>
      <c r="O241" s="767" t="s">
        <v>645</v>
      </c>
      <c r="P241" s="760" t="s">
        <v>646</v>
      </c>
      <c r="Q241" s="767" t="s">
        <v>645</v>
      </c>
      <c r="R241" s="768" t="s">
        <v>646</v>
      </c>
      <c r="S241" s="760" t="s">
        <v>645</v>
      </c>
      <c r="T241" s="760" t="s">
        <v>646</v>
      </c>
      <c r="U241" s="767" t="s">
        <v>645</v>
      </c>
      <c r="V241" s="768" t="s">
        <v>646</v>
      </c>
      <c r="W241" s="760"/>
      <c r="X241" s="781" t="s">
        <v>645</v>
      </c>
      <c r="Y241" s="777" t="s">
        <v>646</v>
      </c>
    </row>
    <row r="242" spans="1:25" x14ac:dyDescent="0.2">
      <c r="A242" t="s">
        <v>132</v>
      </c>
      <c r="C242" t="str">
        <f>CONCATENATE("Accumulated depreciation - ", M23)</f>
        <v>Accumulated depreciation - Buildings</v>
      </c>
      <c r="L242" s="769">
        <f>M29+M32</f>
        <v>0</v>
      </c>
      <c r="M242" s="770"/>
      <c r="O242" s="769">
        <f>M48+M51</f>
        <v>0</v>
      </c>
      <c r="P242" s="45"/>
      <c r="Q242" s="769">
        <f>M71+M74</f>
        <v>0</v>
      </c>
      <c r="R242" s="773"/>
      <c r="S242" s="45">
        <f>M88+M90</f>
        <v>0</v>
      </c>
      <c r="T242" s="45"/>
      <c r="U242" s="778"/>
      <c r="V242" s="784"/>
      <c r="W242" s="12"/>
      <c r="X242" s="782">
        <f t="shared" ref="X242:X259" si="9">L242+O242+Q242+S242</f>
        <v>0</v>
      </c>
      <c r="Y242" s="779"/>
    </row>
    <row r="243" spans="1:25" x14ac:dyDescent="0.2">
      <c r="C243" s="11" t="str">
        <f>CONCATENATE("Accumulated depreciation - ", O22)</f>
        <v>Accumulated depreciation - Equipment and Furniture</v>
      </c>
      <c r="D243" s="11"/>
      <c r="L243" s="769">
        <f>O29+O32</f>
        <v>0</v>
      </c>
      <c r="M243" s="770"/>
      <c r="O243" s="769">
        <f>O48+O51</f>
        <v>0</v>
      </c>
      <c r="P243" s="45"/>
      <c r="Q243" s="769">
        <f>O71+O74</f>
        <v>0</v>
      </c>
      <c r="R243" s="773"/>
      <c r="S243" s="45">
        <f>O88+O90</f>
        <v>0</v>
      </c>
      <c r="T243" s="45"/>
      <c r="U243" s="778"/>
      <c r="V243" s="784"/>
      <c r="W243" s="12"/>
      <c r="X243" s="782">
        <f t="shared" si="9"/>
        <v>0</v>
      </c>
      <c r="Y243" s="779"/>
    </row>
    <row r="244" spans="1:25" x14ac:dyDescent="0.2">
      <c r="C244" s="11" t="str">
        <f>CONCATENATE("Accumulated depreciation - ", P22)</f>
        <v>Accumulated depreciation - Library Books</v>
      </c>
      <c r="D244" s="11"/>
      <c r="L244" s="769">
        <f>P29+P32</f>
        <v>0</v>
      </c>
      <c r="M244" s="770"/>
      <c r="O244" s="769">
        <f>P48+P51</f>
        <v>0</v>
      </c>
      <c r="P244" s="45"/>
      <c r="Q244" s="769">
        <f>P71+P74</f>
        <v>0</v>
      </c>
      <c r="R244" s="773"/>
      <c r="S244" s="45">
        <f>P88+P90</f>
        <v>0</v>
      </c>
      <c r="T244" s="45"/>
      <c r="U244" s="778"/>
      <c r="V244" s="784"/>
      <c r="W244" s="12"/>
      <c r="X244" s="782">
        <f t="shared" si="9"/>
        <v>0</v>
      </c>
      <c r="Y244" s="779"/>
    </row>
    <row r="245" spans="1:25" x14ac:dyDescent="0.2">
      <c r="C245" s="11" t="str">
        <f>CONCATENATE("Accumulated depreciation - ", Q22)</f>
        <v>Accumulated depreciation - Vehicles &amp; Motorized Equipment</v>
      </c>
      <c r="D245" s="11"/>
      <c r="L245" s="769">
        <f>Q29+Q32</f>
        <v>0</v>
      </c>
      <c r="M245" s="770"/>
      <c r="O245" s="769">
        <f>Q48+Q51</f>
        <v>0</v>
      </c>
      <c r="P245" s="45"/>
      <c r="Q245" s="769">
        <f>Q71+Q74</f>
        <v>0</v>
      </c>
      <c r="R245" s="773"/>
      <c r="S245" s="45">
        <f>Q88+Q90</f>
        <v>0</v>
      </c>
      <c r="T245" s="45"/>
      <c r="U245" s="778"/>
      <c r="V245" s="784"/>
      <c r="W245" s="12"/>
      <c r="X245" s="782">
        <f t="shared" si="9"/>
        <v>0</v>
      </c>
      <c r="Y245" s="779"/>
    </row>
    <row r="246" spans="1:25" x14ac:dyDescent="0.2">
      <c r="C246" s="11" t="str">
        <f>CONCATENATE("Accumulated depreciation - ", R22)</f>
        <v>Accumulated depreciation - Computer equipment</v>
      </c>
      <c r="D246" s="11"/>
      <c r="L246" s="769">
        <f>R29+R32</f>
        <v>0</v>
      </c>
      <c r="M246" s="770"/>
      <c r="O246" s="769">
        <f>R48+R51</f>
        <v>0</v>
      </c>
      <c r="P246" s="45"/>
      <c r="Q246" s="769">
        <f>R71+R74</f>
        <v>0</v>
      </c>
      <c r="R246" s="773"/>
      <c r="S246" s="45">
        <f>R88+R90</f>
        <v>0</v>
      </c>
      <c r="T246" s="45"/>
      <c r="U246" s="778"/>
      <c r="V246" s="784"/>
      <c r="W246" s="12"/>
      <c r="X246" s="782">
        <f t="shared" si="9"/>
        <v>0</v>
      </c>
      <c r="Y246" s="779"/>
    </row>
    <row r="247" spans="1:25" x14ac:dyDescent="0.2">
      <c r="C247" s="11" t="str">
        <f>CONCATENATE("Accumulated depreciation - ", S22)</f>
        <v>Accumulated depreciation - Other Asset Class 1</v>
      </c>
      <c r="D247" s="11"/>
      <c r="L247" s="769">
        <f>S29+S32</f>
        <v>0</v>
      </c>
      <c r="M247" s="770"/>
      <c r="O247" s="769">
        <f>S48+S51</f>
        <v>0</v>
      </c>
      <c r="P247" s="45"/>
      <c r="Q247" s="769">
        <f>S71+S74</f>
        <v>0</v>
      </c>
      <c r="R247" s="773"/>
      <c r="S247" s="45">
        <f>S88+S90</f>
        <v>0</v>
      </c>
      <c r="T247" s="45"/>
      <c r="U247" s="778"/>
      <c r="V247" s="784"/>
      <c r="W247" s="12"/>
      <c r="X247" s="782">
        <f t="shared" si="9"/>
        <v>0</v>
      </c>
      <c r="Y247" s="779"/>
    </row>
    <row r="248" spans="1:25" x14ac:dyDescent="0.2">
      <c r="C248" s="11" t="s">
        <v>663</v>
      </c>
      <c r="D248" s="11"/>
      <c r="L248" s="769">
        <f>L37+M37+O37+P37+Q37+R37+S37</f>
        <v>0</v>
      </c>
      <c r="M248" s="770"/>
      <c r="O248" s="769">
        <f>L58+M58+O58+P58+Q58+R58+S58</f>
        <v>0</v>
      </c>
      <c r="P248" s="45"/>
      <c r="Q248" s="769"/>
      <c r="R248" s="773"/>
      <c r="S248" s="45"/>
      <c r="T248" s="45"/>
      <c r="U248" s="778"/>
      <c r="V248" s="784"/>
      <c r="W248" s="12"/>
      <c r="X248" s="782">
        <f t="shared" si="9"/>
        <v>0</v>
      </c>
      <c r="Y248" s="779"/>
    </row>
    <row r="249" spans="1:25" x14ac:dyDescent="0.2">
      <c r="C249" t="s">
        <v>573</v>
      </c>
      <c r="L249" s="769"/>
      <c r="M249" s="770"/>
      <c r="O249" s="769">
        <f>L57+M57+O57+P57+Q57+R57+S57</f>
        <v>0</v>
      </c>
      <c r="P249" s="45"/>
      <c r="Q249" s="769"/>
      <c r="R249" s="773"/>
      <c r="S249" s="45"/>
      <c r="T249" s="45"/>
      <c r="U249" s="778"/>
      <c r="V249" s="784"/>
      <c r="W249" s="12"/>
      <c r="X249" s="782">
        <f t="shared" si="9"/>
        <v>0</v>
      </c>
      <c r="Y249" s="779"/>
    </row>
    <row r="250" spans="1:25" x14ac:dyDescent="0.2">
      <c r="C250" t="s">
        <v>418</v>
      </c>
      <c r="L250" s="769"/>
      <c r="M250" s="770"/>
      <c r="O250" s="769"/>
      <c r="P250" s="45"/>
      <c r="Q250" s="769"/>
      <c r="R250" s="773"/>
      <c r="S250" s="45">
        <f>((M93+O93+P93+Q93+R93+S93)-O95)</f>
        <v>0</v>
      </c>
      <c r="T250" s="45"/>
      <c r="U250" s="778"/>
      <c r="V250" s="784"/>
      <c r="W250" s="12"/>
      <c r="X250" s="782">
        <f t="shared" si="9"/>
        <v>0</v>
      </c>
      <c r="Y250" s="779"/>
    </row>
    <row r="251" spans="1:25" x14ac:dyDescent="0.2">
      <c r="C251" s="11" t="s">
        <v>173</v>
      </c>
      <c r="L251" s="769"/>
      <c r="M251" s="770"/>
      <c r="O251" s="769"/>
      <c r="P251" s="45"/>
      <c r="Q251" s="769"/>
      <c r="R251" s="773"/>
      <c r="S251" s="45"/>
      <c r="T251" s="45"/>
      <c r="U251" s="778">
        <f>M148</f>
        <v>0</v>
      </c>
      <c r="V251" s="773"/>
      <c r="W251" s="12"/>
      <c r="X251" s="782">
        <f>U251</f>
        <v>0</v>
      </c>
      <c r="Y251" s="779"/>
    </row>
    <row r="252" spans="1:25" x14ac:dyDescent="0.2">
      <c r="C252" s="11" t="s">
        <v>446</v>
      </c>
      <c r="L252" s="769"/>
      <c r="M252" s="770"/>
      <c r="O252" s="769"/>
      <c r="P252" s="45"/>
      <c r="Q252" s="769"/>
      <c r="R252" s="773"/>
      <c r="S252" s="45">
        <f>O95</f>
        <v>0</v>
      </c>
      <c r="T252" s="45"/>
      <c r="U252" s="778"/>
      <c r="V252" s="784"/>
      <c r="W252" s="12"/>
      <c r="X252" s="782">
        <f t="shared" si="9"/>
        <v>0</v>
      </c>
      <c r="Y252" s="779"/>
    </row>
    <row r="253" spans="1:25" x14ac:dyDescent="0.2">
      <c r="C253" t="s">
        <v>518</v>
      </c>
      <c r="L253" s="769"/>
      <c r="M253" s="770">
        <f>L26</f>
        <v>0</v>
      </c>
      <c r="O253" s="769"/>
      <c r="P253" s="45">
        <f>L45</f>
        <v>0</v>
      </c>
      <c r="Q253" s="769">
        <f>L79</f>
        <v>0</v>
      </c>
      <c r="R253" s="774">
        <f>L68</f>
        <v>0</v>
      </c>
      <c r="S253" s="45"/>
      <c r="T253" s="45"/>
      <c r="U253" s="778"/>
      <c r="V253" s="784">
        <f>H139</f>
        <v>0</v>
      </c>
      <c r="W253" s="12"/>
      <c r="X253" s="782">
        <f t="shared" si="9"/>
        <v>0</v>
      </c>
      <c r="Y253" s="779">
        <f t="shared" ref="Y253:Y260" si="10">M253+P253+R253+T253+V253</f>
        <v>0</v>
      </c>
    </row>
    <row r="254" spans="1:25" x14ac:dyDescent="0.2">
      <c r="C254" s="11" t="str">
        <f>M23</f>
        <v>Buildings</v>
      </c>
      <c r="L254" s="769"/>
      <c r="M254" s="770">
        <f>M26</f>
        <v>0</v>
      </c>
      <c r="O254" s="769"/>
      <c r="P254" s="45">
        <f>M45</f>
        <v>0</v>
      </c>
      <c r="Q254" s="769">
        <f>M79</f>
        <v>0</v>
      </c>
      <c r="R254" s="774">
        <f>M68</f>
        <v>0</v>
      </c>
      <c r="S254" s="45"/>
      <c r="T254" s="45">
        <f>M86</f>
        <v>0</v>
      </c>
      <c r="U254" s="778"/>
      <c r="V254" s="784">
        <f t="shared" ref="V254:V259" si="11">H140</f>
        <v>0</v>
      </c>
      <c r="W254" s="12"/>
      <c r="X254" s="782">
        <f t="shared" si="9"/>
        <v>0</v>
      </c>
      <c r="Y254" s="779">
        <f t="shared" si="10"/>
        <v>0</v>
      </c>
    </row>
    <row r="255" spans="1:25" x14ac:dyDescent="0.2">
      <c r="C255" s="11" t="str">
        <f>O22</f>
        <v>Equipment and Furniture</v>
      </c>
      <c r="L255" s="769"/>
      <c r="M255" s="770">
        <f>O26</f>
        <v>0</v>
      </c>
      <c r="O255" s="769"/>
      <c r="P255" s="45">
        <f>O45</f>
        <v>0</v>
      </c>
      <c r="Q255" s="769">
        <f>O79</f>
        <v>0</v>
      </c>
      <c r="R255" s="774">
        <f>O68</f>
        <v>0</v>
      </c>
      <c r="S255" s="45"/>
      <c r="T255" s="45">
        <f>O86</f>
        <v>0</v>
      </c>
      <c r="U255" s="778"/>
      <c r="V255" s="784">
        <f t="shared" si="11"/>
        <v>0</v>
      </c>
      <c r="W255" s="12"/>
      <c r="X255" s="782">
        <f t="shared" si="9"/>
        <v>0</v>
      </c>
      <c r="Y255" s="779">
        <f t="shared" si="10"/>
        <v>0</v>
      </c>
    </row>
    <row r="256" spans="1:25" x14ac:dyDescent="0.2">
      <c r="C256" s="11" t="str">
        <f>P22</f>
        <v>Library Books</v>
      </c>
      <c r="L256" s="769"/>
      <c r="M256" s="770">
        <f>P26</f>
        <v>0</v>
      </c>
      <c r="O256" s="769"/>
      <c r="P256" s="45">
        <f>P45</f>
        <v>0</v>
      </c>
      <c r="Q256" s="769">
        <f>P79</f>
        <v>0</v>
      </c>
      <c r="R256" s="774">
        <f>P68</f>
        <v>0</v>
      </c>
      <c r="S256" s="45"/>
      <c r="T256" s="45">
        <f>P86</f>
        <v>0</v>
      </c>
      <c r="U256" s="778"/>
      <c r="V256" s="784">
        <f t="shared" si="11"/>
        <v>0</v>
      </c>
      <c r="W256" s="12"/>
      <c r="X256" s="782">
        <f t="shared" si="9"/>
        <v>0</v>
      </c>
      <c r="Y256" s="779">
        <f t="shared" si="10"/>
        <v>0</v>
      </c>
    </row>
    <row r="257" spans="3:25" x14ac:dyDescent="0.2">
      <c r="C257" s="11" t="str">
        <f>Q22</f>
        <v>Vehicles &amp; Motorized Equipment</v>
      </c>
      <c r="L257" s="769"/>
      <c r="M257" s="770">
        <f>Q26</f>
        <v>0</v>
      </c>
      <c r="O257" s="769"/>
      <c r="P257" s="45">
        <f>Q45</f>
        <v>0</v>
      </c>
      <c r="Q257" s="769">
        <f>Q79</f>
        <v>0</v>
      </c>
      <c r="R257" s="774">
        <f>Q68</f>
        <v>0</v>
      </c>
      <c r="S257" s="45"/>
      <c r="T257" s="45">
        <f>Q86</f>
        <v>0</v>
      </c>
      <c r="U257" s="778"/>
      <c r="V257" s="784">
        <f t="shared" si="11"/>
        <v>0</v>
      </c>
      <c r="W257" s="12"/>
      <c r="X257" s="782">
        <f t="shared" si="9"/>
        <v>0</v>
      </c>
      <c r="Y257" s="779">
        <f t="shared" si="10"/>
        <v>0</v>
      </c>
    </row>
    <row r="258" spans="3:25" x14ac:dyDescent="0.2">
      <c r="C258" s="311" t="str">
        <f>R22</f>
        <v>Computer equipment</v>
      </c>
      <c r="G258" s="208"/>
      <c r="L258" s="769"/>
      <c r="M258" s="770">
        <f>R26</f>
        <v>0</v>
      </c>
      <c r="O258" s="769"/>
      <c r="P258" s="45">
        <f>R45</f>
        <v>0</v>
      </c>
      <c r="Q258" s="769">
        <f>R79</f>
        <v>0</v>
      </c>
      <c r="R258" s="774">
        <f>R68</f>
        <v>0</v>
      </c>
      <c r="S258" s="45"/>
      <c r="T258" s="45">
        <f>R86</f>
        <v>0</v>
      </c>
      <c r="U258" s="778"/>
      <c r="V258" s="784">
        <f t="shared" si="11"/>
        <v>0</v>
      </c>
      <c r="W258" s="12"/>
      <c r="X258" s="782">
        <f t="shared" si="9"/>
        <v>0</v>
      </c>
      <c r="Y258" s="779">
        <f t="shared" si="10"/>
        <v>0</v>
      </c>
    </row>
    <row r="259" spans="3:25" x14ac:dyDescent="0.2">
      <c r="C259" s="311" t="str">
        <f>S22</f>
        <v>Other Asset Class 1</v>
      </c>
      <c r="G259" s="208"/>
      <c r="L259" s="769"/>
      <c r="M259" s="770">
        <f>S26</f>
        <v>0</v>
      </c>
      <c r="O259" s="769"/>
      <c r="P259" s="45">
        <f>S45</f>
        <v>0</v>
      </c>
      <c r="Q259" s="775">
        <f>S79</f>
        <v>0</v>
      </c>
      <c r="R259" s="774">
        <f>S68</f>
        <v>0</v>
      </c>
      <c r="S259" s="45"/>
      <c r="T259" s="45">
        <f>S86</f>
        <v>0</v>
      </c>
      <c r="U259" s="778"/>
      <c r="V259" s="784">
        <f t="shared" si="11"/>
        <v>0</v>
      </c>
      <c r="W259" s="12"/>
      <c r="X259" s="782">
        <f t="shared" si="9"/>
        <v>0</v>
      </c>
      <c r="Y259" s="779">
        <f t="shared" si="10"/>
        <v>0</v>
      </c>
    </row>
    <row r="260" spans="3:25" x14ac:dyDescent="0.2">
      <c r="C260" s="11" t="s">
        <v>187</v>
      </c>
      <c r="L260" s="769"/>
      <c r="M260" s="770"/>
      <c r="O260" s="769"/>
      <c r="P260" s="45">
        <f>L60+M60+O60+P60+Q60+R60+S60</f>
        <v>0</v>
      </c>
      <c r="Q260" s="776"/>
      <c r="R260" s="773"/>
      <c r="S260" s="45"/>
      <c r="T260" s="45"/>
      <c r="U260" s="778"/>
      <c r="V260" s="784">
        <f>L160</f>
        <v>0</v>
      </c>
      <c r="W260" s="12"/>
      <c r="X260" s="782"/>
      <c r="Y260" s="779">
        <f t="shared" si="10"/>
        <v>0</v>
      </c>
    </row>
    <row r="261" spans="3:25" x14ac:dyDescent="0.2">
      <c r="C261" s="11" t="s">
        <v>348</v>
      </c>
      <c r="L261" s="769"/>
      <c r="M261" s="770">
        <f>L39+M39+O39+P39+Q39+R39+S39</f>
        <v>0</v>
      </c>
      <c r="O261" s="769"/>
      <c r="P261" s="45"/>
      <c r="Q261" s="776"/>
      <c r="R261" s="773"/>
      <c r="S261" s="45"/>
      <c r="T261" s="45"/>
      <c r="U261" s="778"/>
      <c r="V261" s="784"/>
      <c r="W261" s="12"/>
      <c r="X261" s="782"/>
      <c r="Y261" s="779">
        <f>M261+P261+R261+T261</f>
        <v>0</v>
      </c>
    </row>
    <row r="262" spans="3:25" x14ac:dyDescent="0.2">
      <c r="C262" s="219" t="s">
        <v>419</v>
      </c>
      <c r="L262" s="769"/>
      <c r="M262" s="770"/>
      <c r="O262" s="769"/>
      <c r="P262" s="45"/>
      <c r="Q262" s="776"/>
      <c r="R262" s="773"/>
      <c r="S262" s="45"/>
      <c r="T262" s="45"/>
      <c r="U262" s="778">
        <f>L165*-1</f>
        <v>0</v>
      </c>
      <c r="V262" s="784">
        <f>L159</f>
        <v>0</v>
      </c>
      <c r="W262" s="12"/>
      <c r="X262" s="782">
        <f>U262</f>
        <v>0</v>
      </c>
      <c r="Y262" s="779">
        <f>V262</f>
        <v>0</v>
      </c>
    </row>
    <row r="263" spans="3:25" x14ac:dyDescent="0.2">
      <c r="C263" t="s">
        <v>263</v>
      </c>
      <c r="L263" s="769"/>
      <c r="M263" s="770"/>
      <c r="O263" s="769"/>
      <c r="P263" s="45"/>
      <c r="Q263" s="776"/>
      <c r="R263" s="773"/>
      <c r="S263" s="45"/>
      <c r="T263" s="45"/>
      <c r="U263" s="778">
        <f>L166*-1</f>
        <v>0</v>
      </c>
      <c r="V263" s="784"/>
      <c r="W263" s="12"/>
      <c r="X263" s="782">
        <f>U263</f>
        <v>0</v>
      </c>
      <c r="Y263" s="779"/>
    </row>
    <row r="264" spans="3:25" x14ac:dyDescent="0.2">
      <c r="C264" t="s">
        <v>264</v>
      </c>
      <c r="L264" s="769"/>
      <c r="M264" s="770"/>
      <c r="O264" s="769"/>
      <c r="P264" s="45"/>
      <c r="Q264" s="776"/>
      <c r="R264" s="773"/>
      <c r="S264" s="45"/>
      <c r="T264" s="45"/>
      <c r="U264" s="778">
        <f t="shared" ref="U264:U279" si="12">L167*-1</f>
        <v>0</v>
      </c>
      <c r="V264" s="784"/>
      <c r="W264" s="12"/>
      <c r="X264" s="782">
        <f t="shared" ref="X264:X279" si="13">U264</f>
        <v>0</v>
      </c>
      <c r="Y264" s="779"/>
    </row>
    <row r="265" spans="3:25" x14ac:dyDescent="0.2">
      <c r="C265" t="s">
        <v>265</v>
      </c>
      <c r="L265" s="769"/>
      <c r="M265" s="770"/>
      <c r="O265" s="769"/>
      <c r="P265" s="45"/>
      <c r="Q265" s="776"/>
      <c r="R265" s="773"/>
      <c r="S265" s="45"/>
      <c r="T265" s="45"/>
      <c r="U265" s="778">
        <f t="shared" si="12"/>
        <v>0</v>
      </c>
      <c r="V265" s="784"/>
      <c r="W265" s="12"/>
      <c r="X265" s="782">
        <f t="shared" si="13"/>
        <v>0</v>
      </c>
      <c r="Y265" s="779"/>
    </row>
    <row r="266" spans="3:25" x14ac:dyDescent="0.2">
      <c r="C266" t="s">
        <v>266</v>
      </c>
      <c r="L266" s="769"/>
      <c r="M266" s="770"/>
      <c r="O266" s="769"/>
      <c r="P266" s="45"/>
      <c r="Q266" s="776"/>
      <c r="R266" s="773"/>
      <c r="S266" s="45"/>
      <c r="T266" s="45"/>
      <c r="U266" s="778">
        <f t="shared" si="12"/>
        <v>0</v>
      </c>
      <c r="V266" s="784"/>
      <c r="W266" s="12"/>
      <c r="X266" s="782">
        <f t="shared" si="13"/>
        <v>0</v>
      </c>
      <c r="Y266" s="779"/>
    </row>
    <row r="267" spans="3:25" x14ac:dyDescent="0.2">
      <c r="C267" t="s">
        <v>267</v>
      </c>
      <c r="L267" s="769"/>
      <c r="M267" s="770"/>
      <c r="O267" s="769"/>
      <c r="P267" s="45"/>
      <c r="Q267" s="776"/>
      <c r="R267" s="773"/>
      <c r="S267" s="45"/>
      <c r="T267" s="45"/>
      <c r="U267" s="778">
        <f t="shared" si="12"/>
        <v>0</v>
      </c>
      <c r="V267" s="784"/>
      <c r="W267" s="12"/>
      <c r="X267" s="782">
        <f t="shared" si="13"/>
        <v>0</v>
      </c>
      <c r="Y267" s="779"/>
    </row>
    <row r="268" spans="3:25" x14ac:dyDescent="0.2">
      <c r="C268" t="s">
        <v>268</v>
      </c>
      <c r="L268" s="769"/>
      <c r="M268" s="770"/>
      <c r="O268" s="769"/>
      <c r="P268" s="45"/>
      <c r="Q268" s="776"/>
      <c r="R268" s="773"/>
      <c r="S268" s="45"/>
      <c r="T268" s="45"/>
      <c r="U268" s="778">
        <f t="shared" si="12"/>
        <v>0</v>
      </c>
      <c r="V268" s="784"/>
      <c r="W268" s="12"/>
      <c r="X268" s="782">
        <f t="shared" si="13"/>
        <v>0</v>
      </c>
      <c r="Y268" s="779"/>
    </row>
    <row r="269" spans="3:25" x14ac:dyDescent="0.2">
      <c r="C269" t="s">
        <v>269</v>
      </c>
      <c r="L269" s="769"/>
      <c r="M269" s="770"/>
      <c r="O269" s="769"/>
      <c r="P269" s="45"/>
      <c r="Q269" s="776"/>
      <c r="R269" s="773"/>
      <c r="S269" s="45"/>
      <c r="T269" s="45"/>
      <c r="U269" s="778">
        <f t="shared" si="12"/>
        <v>0</v>
      </c>
      <c r="V269" s="784"/>
      <c r="W269" s="12"/>
      <c r="X269" s="782">
        <f t="shared" si="13"/>
        <v>0</v>
      </c>
      <c r="Y269" s="779"/>
    </row>
    <row r="270" spans="3:25" x14ac:dyDescent="0.2">
      <c r="C270" t="s">
        <v>378</v>
      </c>
      <c r="L270" s="769"/>
      <c r="M270" s="770"/>
      <c r="O270" s="769"/>
      <c r="P270" s="45"/>
      <c r="Q270" s="776"/>
      <c r="R270" s="773"/>
      <c r="S270" s="45"/>
      <c r="T270" s="45"/>
      <c r="U270" s="778">
        <f t="shared" si="12"/>
        <v>0</v>
      </c>
      <c r="V270" s="784"/>
      <c r="W270" s="12"/>
      <c r="X270" s="782">
        <f t="shared" si="13"/>
        <v>0</v>
      </c>
      <c r="Y270" s="779"/>
    </row>
    <row r="271" spans="3:25" x14ac:dyDescent="0.2">
      <c r="C271" t="s">
        <v>270</v>
      </c>
      <c r="L271" s="769"/>
      <c r="M271" s="770"/>
      <c r="O271" s="769"/>
      <c r="P271" s="45"/>
      <c r="Q271" s="776"/>
      <c r="R271" s="773"/>
      <c r="S271" s="45"/>
      <c r="T271" s="45"/>
      <c r="U271" s="778">
        <f t="shared" si="12"/>
        <v>0</v>
      </c>
      <c r="V271" s="784"/>
      <c r="W271" s="12"/>
      <c r="X271" s="782">
        <f t="shared" si="13"/>
        <v>0</v>
      </c>
      <c r="Y271" s="779"/>
    </row>
    <row r="272" spans="3:25" x14ac:dyDescent="0.2">
      <c r="C272" t="s">
        <v>237</v>
      </c>
      <c r="L272" s="769"/>
      <c r="M272" s="770"/>
      <c r="O272" s="769"/>
      <c r="P272" s="45"/>
      <c r="Q272" s="776"/>
      <c r="R272" s="773"/>
      <c r="S272" s="45"/>
      <c r="T272" s="45"/>
      <c r="U272" s="778">
        <f t="shared" si="12"/>
        <v>0</v>
      </c>
      <c r="V272" s="784"/>
      <c r="W272" s="12"/>
      <c r="X272" s="782">
        <f t="shared" si="13"/>
        <v>0</v>
      </c>
      <c r="Y272" s="779"/>
    </row>
    <row r="273" spans="3:25" x14ac:dyDescent="0.2">
      <c r="C273" t="s">
        <v>238</v>
      </c>
      <c r="L273" s="769"/>
      <c r="M273" s="770"/>
      <c r="O273" s="769"/>
      <c r="P273" s="45"/>
      <c r="Q273" s="776"/>
      <c r="R273" s="773"/>
      <c r="S273" s="45"/>
      <c r="T273" s="45"/>
      <c r="U273" s="778">
        <f t="shared" si="12"/>
        <v>0</v>
      </c>
      <c r="V273" s="784"/>
      <c r="W273" s="12"/>
      <c r="X273" s="782">
        <f t="shared" si="13"/>
        <v>0</v>
      </c>
      <c r="Y273" s="779"/>
    </row>
    <row r="274" spans="3:25" x14ac:dyDescent="0.2">
      <c r="C274" t="s">
        <v>271</v>
      </c>
      <c r="L274" s="769"/>
      <c r="M274" s="770"/>
      <c r="O274" s="769"/>
      <c r="P274" s="45"/>
      <c r="Q274" s="776"/>
      <c r="R274" s="773"/>
      <c r="S274" s="45"/>
      <c r="T274" s="45"/>
      <c r="U274" s="778">
        <f t="shared" si="12"/>
        <v>0</v>
      </c>
      <c r="V274" s="784"/>
      <c r="W274" s="12"/>
      <c r="X274" s="782">
        <f t="shared" si="13"/>
        <v>0</v>
      </c>
      <c r="Y274" s="779"/>
    </row>
    <row r="275" spans="3:25" x14ac:dyDescent="0.2">
      <c r="C275" t="s">
        <v>273</v>
      </c>
      <c r="L275" s="769"/>
      <c r="M275" s="770"/>
      <c r="O275" s="769"/>
      <c r="P275" s="45"/>
      <c r="Q275" s="776"/>
      <c r="R275" s="773"/>
      <c r="S275" s="45"/>
      <c r="T275" s="45"/>
      <c r="U275" s="778">
        <f t="shared" si="12"/>
        <v>0</v>
      </c>
      <c r="V275" s="784"/>
      <c r="W275" s="12"/>
      <c r="X275" s="782">
        <f t="shared" si="13"/>
        <v>0</v>
      </c>
      <c r="Y275" s="779"/>
    </row>
    <row r="276" spans="3:25" x14ac:dyDescent="0.2">
      <c r="C276" t="s">
        <v>274</v>
      </c>
      <c r="L276" s="769"/>
      <c r="M276" s="770"/>
      <c r="O276" s="769"/>
      <c r="P276" s="45"/>
      <c r="Q276" s="776"/>
      <c r="R276" s="773"/>
      <c r="S276" s="45"/>
      <c r="T276" s="45"/>
      <c r="U276" s="778">
        <f t="shared" si="12"/>
        <v>0</v>
      </c>
      <c r="V276" s="784"/>
      <c r="W276" s="12"/>
      <c r="X276" s="782">
        <f t="shared" si="13"/>
        <v>0</v>
      </c>
      <c r="Y276" s="779"/>
    </row>
    <row r="277" spans="3:25" x14ac:dyDescent="0.2">
      <c r="C277" t="s">
        <v>272</v>
      </c>
      <c r="L277" s="769"/>
      <c r="M277" s="770"/>
      <c r="O277" s="769"/>
      <c r="P277" s="45"/>
      <c r="Q277" s="776"/>
      <c r="R277" s="773"/>
      <c r="S277" s="45"/>
      <c r="T277" s="45"/>
      <c r="U277" s="778">
        <f t="shared" si="12"/>
        <v>0</v>
      </c>
      <c r="V277" s="784"/>
      <c r="W277" s="12"/>
      <c r="X277" s="782">
        <f t="shared" si="13"/>
        <v>0</v>
      </c>
      <c r="Y277" s="779"/>
    </row>
    <row r="278" spans="3:25" x14ac:dyDescent="0.2">
      <c r="C278" t="s">
        <v>257</v>
      </c>
      <c r="L278" s="769"/>
      <c r="M278" s="770"/>
      <c r="O278" s="769"/>
      <c r="P278" s="45"/>
      <c r="Q278" s="776"/>
      <c r="R278" s="773"/>
      <c r="S278" s="45"/>
      <c r="T278" s="45"/>
      <c r="U278" s="778">
        <f t="shared" si="12"/>
        <v>0</v>
      </c>
      <c r="V278" s="784"/>
      <c r="W278" s="12"/>
      <c r="X278" s="782">
        <f t="shared" si="13"/>
        <v>0</v>
      </c>
      <c r="Y278" s="779"/>
    </row>
    <row r="279" spans="3:25" x14ac:dyDescent="0.2">
      <c r="C279" t="s">
        <v>55</v>
      </c>
      <c r="L279" s="769"/>
      <c r="M279" s="770"/>
      <c r="O279" s="769"/>
      <c r="P279" s="45"/>
      <c r="Q279" s="776"/>
      <c r="R279" s="773"/>
      <c r="S279" s="45"/>
      <c r="T279" s="45"/>
      <c r="U279" s="778">
        <f t="shared" si="12"/>
        <v>0</v>
      </c>
      <c r="V279" s="784"/>
      <c r="W279" s="12"/>
      <c r="X279" s="782">
        <f t="shared" si="13"/>
        <v>0</v>
      </c>
      <c r="Y279" s="779"/>
    </row>
    <row r="280" spans="3:25" ht="7.5" customHeight="1" x14ac:dyDescent="0.2">
      <c r="L280" s="769"/>
      <c r="M280" s="770"/>
      <c r="O280" s="769"/>
      <c r="P280" s="45"/>
      <c r="Q280" s="776"/>
      <c r="R280" s="773"/>
      <c r="S280" s="45"/>
      <c r="T280" s="45"/>
      <c r="U280" s="769"/>
      <c r="V280" s="770"/>
      <c r="W280" s="12"/>
      <c r="X280" s="782"/>
      <c r="Y280" s="779"/>
    </row>
    <row r="281" spans="3:25" ht="13.5" thickBot="1" x14ac:dyDescent="0.25">
      <c r="L281" s="771">
        <f>SUM(L242:L280)</f>
        <v>0</v>
      </c>
      <c r="M281" s="772">
        <f>SUM(M242:M280)</f>
        <v>0</v>
      </c>
      <c r="N281" s="10"/>
      <c r="O281" s="771">
        <f t="shared" ref="O281:V281" si="14">SUM(O242:O280)</f>
        <v>0</v>
      </c>
      <c r="P281" s="24">
        <f t="shared" si="14"/>
        <v>0</v>
      </c>
      <c r="Q281" s="771">
        <f t="shared" si="14"/>
        <v>0</v>
      </c>
      <c r="R281" s="772">
        <f t="shared" si="14"/>
        <v>0</v>
      </c>
      <c r="S281" s="24">
        <f t="shared" si="14"/>
        <v>0</v>
      </c>
      <c r="T281" s="24">
        <f t="shared" si="14"/>
        <v>0</v>
      </c>
      <c r="U281" s="771">
        <f t="shared" si="14"/>
        <v>0</v>
      </c>
      <c r="V281" s="772">
        <f t="shared" si="14"/>
        <v>0</v>
      </c>
      <c r="W281" s="10"/>
      <c r="X281" s="783">
        <f>SUM(X242:X280)</f>
        <v>0</v>
      </c>
      <c r="Y281" s="780">
        <f>SUM(Y242:Y280)</f>
        <v>0</v>
      </c>
    </row>
    <row r="282" spans="3:25" ht="13.5" thickTop="1" x14ac:dyDescent="0.2">
      <c r="L282" s="5">
        <f>L281-M281</f>
        <v>0</v>
      </c>
      <c r="O282" s="5">
        <f>O281-P281</f>
        <v>0</v>
      </c>
      <c r="Q282" s="5">
        <f>Q281-R281</f>
        <v>0</v>
      </c>
      <c r="S282" s="5">
        <f>S281-T281</f>
        <v>0</v>
      </c>
      <c r="U282" s="5">
        <f>U281-V281</f>
        <v>0</v>
      </c>
      <c r="X282" s="33">
        <f>X281-Y281</f>
        <v>0</v>
      </c>
    </row>
    <row r="291" spans="4:4" x14ac:dyDescent="0.2">
      <c r="D291" s="208"/>
    </row>
    <row r="292" spans="4:4" x14ac:dyDescent="0.2">
      <c r="D292" s="208"/>
    </row>
    <row r="293" spans="4:4" x14ac:dyDescent="0.2">
      <c r="D293" s="208"/>
    </row>
  </sheetData>
  <sheetProtection algorithmName="SHA-512" hashValue="2+X9ly9xJfo8R+RhYAAg3tnMS6Re0n+ScX2pjdpPpaI7zIYZ2orTW5wel7Ws4aSFCfRLy9nQR1kHIS4pcovM4g==" saltValue="EthdIlX6cmOPcw7oTLaZKQ==" spinCount="100000" sheet="1" objects="1" scenarios="1"/>
  <mergeCells count="195">
    <mergeCell ref="I146:K146"/>
    <mergeCell ref="C148:I148"/>
    <mergeCell ref="M148:M149"/>
    <mergeCell ref="D162:J164"/>
    <mergeCell ref="D137:I138"/>
    <mergeCell ref="X144:Y144"/>
    <mergeCell ref="U240:V240"/>
    <mergeCell ref="E151:I151"/>
    <mergeCell ref="B154:T154"/>
    <mergeCell ref="C155:J156"/>
    <mergeCell ref="D157:J158"/>
    <mergeCell ref="M183:P184"/>
    <mergeCell ref="B186:T186"/>
    <mergeCell ref="L240:M240"/>
    <mergeCell ref="O240:P240"/>
    <mergeCell ref="Q240:R240"/>
    <mergeCell ref="X240:Y240"/>
    <mergeCell ref="S240:T240"/>
    <mergeCell ref="A239:Y239"/>
    <mergeCell ref="D229:T230"/>
    <mergeCell ref="M119:M120"/>
    <mergeCell ref="O119:O120"/>
    <mergeCell ref="P119:P120"/>
    <mergeCell ref="D132:I133"/>
    <mergeCell ref="L132:L133"/>
    <mergeCell ref="M132:M133"/>
    <mergeCell ref="Q132:Q133"/>
    <mergeCell ref="C127:J128"/>
    <mergeCell ref="D129:I130"/>
    <mergeCell ref="L129:L130"/>
    <mergeCell ref="M129:M130"/>
    <mergeCell ref="Q119:Q120"/>
    <mergeCell ref="F83:H83"/>
    <mergeCell ref="F65:H65"/>
    <mergeCell ref="B82:T82"/>
    <mergeCell ref="W79:Y79"/>
    <mergeCell ref="D71:I72"/>
    <mergeCell ref="D74:I75"/>
    <mergeCell ref="Q68:Q69"/>
    <mergeCell ref="D113:J114"/>
    <mergeCell ref="L113:L114"/>
    <mergeCell ref="R111:R112"/>
    <mergeCell ref="S111:S112"/>
    <mergeCell ref="O111:O112"/>
    <mergeCell ref="P71:P72"/>
    <mergeCell ref="Q74:Q75"/>
    <mergeCell ref="M74:M75"/>
    <mergeCell ref="O74:O75"/>
    <mergeCell ref="M71:M72"/>
    <mergeCell ref="P95:S97"/>
    <mergeCell ref="P74:P75"/>
    <mergeCell ref="T74:T75"/>
    <mergeCell ref="Q90:Q91"/>
    <mergeCell ref="R79:R80"/>
    <mergeCell ref="T90:T91"/>
    <mergeCell ref="P90:P91"/>
    <mergeCell ref="Q116:Q117"/>
    <mergeCell ref="R116:R117"/>
    <mergeCell ref="S116:S117"/>
    <mergeCell ref="P113:P114"/>
    <mergeCell ref="Q113:Q114"/>
    <mergeCell ref="R113:R114"/>
    <mergeCell ref="S113:S114"/>
    <mergeCell ref="M113:M114"/>
    <mergeCell ref="O113:O114"/>
    <mergeCell ref="K135:L135"/>
    <mergeCell ref="A1:T1"/>
    <mergeCell ref="D29:I30"/>
    <mergeCell ref="D26:I27"/>
    <mergeCell ref="O32:O33"/>
    <mergeCell ref="P32:P33"/>
    <mergeCell ref="R66:R67"/>
    <mergeCell ref="R32:R33"/>
    <mergeCell ref="Q32:Q33"/>
    <mergeCell ref="T26:T27"/>
    <mergeCell ref="T29:T30"/>
    <mergeCell ref="M32:M33"/>
    <mergeCell ref="B64:T64"/>
    <mergeCell ref="D56:I56"/>
    <mergeCell ref="R90:R91"/>
    <mergeCell ref="S90:S91"/>
    <mergeCell ref="B2:N2"/>
    <mergeCell ref="B21:T21"/>
    <mergeCell ref="B3:T3"/>
    <mergeCell ref="L26:L27"/>
    <mergeCell ref="M26:M27"/>
    <mergeCell ref="D37:H37"/>
    <mergeCell ref="S26:S27"/>
    <mergeCell ref="T32:T33"/>
    <mergeCell ref="R26:R27"/>
    <mergeCell ref="M29:M30"/>
    <mergeCell ref="O71:O72"/>
    <mergeCell ref="D79:I80"/>
    <mergeCell ref="M79:M80"/>
    <mergeCell ref="O79:O80"/>
    <mergeCell ref="P79:P80"/>
    <mergeCell ref="L79:L80"/>
    <mergeCell ref="O135:P135"/>
    <mergeCell ref="D116:J117"/>
    <mergeCell ref="M116:M117"/>
    <mergeCell ref="L45:L46"/>
    <mergeCell ref="M45:M46"/>
    <mergeCell ref="O45:O46"/>
    <mergeCell ref="P45:P46"/>
    <mergeCell ref="M51:M52"/>
    <mergeCell ref="O51:O52"/>
    <mergeCell ref="P51:P52"/>
    <mergeCell ref="Q51:Q52"/>
    <mergeCell ref="M48:M49"/>
    <mergeCell ref="O48:O49"/>
    <mergeCell ref="P26:P27"/>
    <mergeCell ref="O29:O30"/>
    <mergeCell ref="Q26:Q27"/>
    <mergeCell ref="Q71:Q72"/>
    <mergeCell ref="T48:T49"/>
    <mergeCell ref="T51:T52"/>
    <mergeCell ref="D41:T41"/>
    <mergeCell ref="P29:P30"/>
    <mergeCell ref="Q29:Q30"/>
    <mergeCell ref="D32:I33"/>
    <mergeCell ref="C5:T6"/>
    <mergeCell ref="C11:T12"/>
    <mergeCell ref="C18:T19"/>
    <mergeCell ref="C14:T14"/>
    <mergeCell ref="C8:T9"/>
    <mergeCell ref="C16:T16"/>
    <mergeCell ref="R22:R23"/>
    <mergeCell ref="S22:S23"/>
    <mergeCell ref="O22:O23"/>
    <mergeCell ref="P22:P23"/>
    <mergeCell ref="Q22:Q23"/>
    <mergeCell ref="E35:I35"/>
    <mergeCell ref="O26:O27"/>
    <mergeCell ref="T45:T46"/>
    <mergeCell ref="D51:I52"/>
    <mergeCell ref="Q45:Q46"/>
    <mergeCell ref="Q48:Q49"/>
    <mergeCell ref="R45:R46"/>
    <mergeCell ref="S48:S49"/>
    <mergeCell ref="S45:S46"/>
    <mergeCell ref="D68:I69"/>
    <mergeCell ref="L68:L69"/>
    <mergeCell ref="M68:M69"/>
    <mergeCell ref="O66:O67"/>
    <mergeCell ref="P66:P67"/>
    <mergeCell ref="Q66:Q67"/>
    <mergeCell ref="D45:I46"/>
    <mergeCell ref="O90:O91"/>
    <mergeCell ref="S32:S33"/>
    <mergeCell ref="R29:R30"/>
    <mergeCell ref="S29:S30"/>
    <mergeCell ref="S66:S67"/>
    <mergeCell ref="R43:R44"/>
    <mergeCell ref="S43:S44"/>
    <mergeCell ref="S51:S52"/>
    <mergeCell ref="R51:R52"/>
    <mergeCell ref="R48:R49"/>
    <mergeCell ref="O43:O44"/>
    <mergeCell ref="P43:P44"/>
    <mergeCell ref="Q43:Q44"/>
    <mergeCell ref="P48:P49"/>
    <mergeCell ref="D62:T62"/>
    <mergeCell ref="D48:I49"/>
    <mergeCell ref="R71:R72"/>
    <mergeCell ref="T68:T69"/>
    <mergeCell ref="S68:S69"/>
    <mergeCell ref="O68:O69"/>
    <mergeCell ref="P68:P69"/>
    <mergeCell ref="R68:R69"/>
    <mergeCell ref="S71:S72"/>
    <mergeCell ref="T71:T72"/>
    <mergeCell ref="Q79:Q80"/>
    <mergeCell ref="B102:T106"/>
    <mergeCell ref="S74:S75"/>
    <mergeCell ref="R74:R75"/>
    <mergeCell ref="O116:O117"/>
    <mergeCell ref="P116:P117"/>
    <mergeCell ref="R119:R120"/>
    <mergeCell ref="S119:S120"/>
    <mergeCell ref="C124:J125"/>
    <mergeCell ref="L124:L125"/>
    <mergeCell ref="D119:J120"/>
    <mergeCell ref="B100:T100"/>
    <mergeCell ref="B108:T109"/>
    <mergeCell ref="C111:J112"/>
    <mergeCell ref="Q111:Q112"/>
    <mergeCell ref="P111:P112"/>
    <mergeCell ref="S79:S80"/>
    <mergeCell ref="T79:T80"/>
    <mergeCell ref="O95:O97"/>
    <mergeCell ref="D95:J97"/>
    <mergeCell ref="D86:J86"/>
    <mergeCell ref="D88:J88"/>
    <mergeCell ref="D90:J91"/>
    <mergeCell ref="M90:M91"/>
  </mergeCells>
  <phoneticPr fontId="0" type="noConversion"/>
  <printOptions horizontalCentered="1"/>
  <pageMargins left="0.5" right="0.45" top="0.67" bottom="0.62" header="0.5" footer="0.5"/>
  <pageSetup scale="61" orientation="landscape" r:id="rId1"/>
  <headerFooter alignWithMargins="0">
    <oddHeader>&amp;R&amp;"Arial,Bold"&amp;12Entry D</oddHeader>
    <oddFooter>&amp;R  &amp;P</oddFooter>
  </headerFooter>
  <rowBreaks count="6" manualBreakCount="6">
    <brk id="62" max="19" man="1"/>
    <brk id="98" max="19" man="1"/>
    <brk id="153" max="19" man="1"/>
    <brk id="185" max="19" man="1"/>
    <brk id="231" max="19" man="1"/>
    <brk id="237" max="22" man="1"/>
  </rowBreaks>
  <ignoredErrors>
    <ignoredError sqref="B5 B8 B11 B14 B16 B18 B24 B44 B111 B124 B127 B135 B148 B155" numberStoredAsText="1"/>
    <ignoredError sqref="R66:S66" unlockedFormula="1"/>
    <ignoredError sqref="X251" formula="1"/>
  </ignoredErrors>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16"/>
  <sheetViews>
    <sheetView workbookViewId="0">
      <selection activeCell="A2" sqref="A2:P2"/>
    </sheetView>
  </sheetViews>
  <sheetFormatPr defaultRowHeight="12.75" x14ac:dyDescent="0.2"/>
  <cols>
    <col min="1" max="1" width="4" style="4" customWidth="1"/>
    <col min="2" max="2" width="4" customWidth="1"/>
    <col min="4" max="4" width="9.28515625" customWidth="1"/>
    <col min="5" max="5" width="4.42578125" customWidth="1"/>
    <col min="6" max="6" width="10.42578125" bestFit="1" customWidth="1"/>
    <col min="7" max="7" width="11.28515625" bestFit="1" customWidth="1"/>
    <col min="8" max="8" width="1.42578125" style="1" customWidth="1"/>
    <col min="10" max="10" width="13.7109375" customWidth="1"/>
    <col min="11" max="11" width="12.5703125" customWidth="1"/>
    <col min="12" max="12" width="13.7109375" customWidth="1"/>
    <col min="13" max="13" width="1.7109375" customWidth="1"/>
    <col min="14" max="14" width="13.7109375" customWidth="1"/>
    <col min="15" max="15" width="10.7109375" customWidth="1"/>
    <col min="16" max="16" width="8.5703125" customWidth="1"/>
  </cols>
  <sheetData>
    <row r="1" spans="1:16" ht="7.5" customHeight="1" x14ac:dyDescent="0.2"/>
    <row r="2" spans="1:16" ht="33.75" customHeight="1" x14ac:dyDescent="0.2">
      <c r="A2" s="963" t="s">
        <v>94</v>
      </c>
      <c r="B2" s="964"/>
      <c r="C2" s="964"/>
      <c r="D2" s="964"/>
      <c r="E2" s="964"/>
      <c r="F2" s="964"/>
      <c r="G2" s="964"/>
      <c r="H2" s="964"/>
      <c r="I2" s="964"/>
      <c r="J2" s="964"/>
      <c r="K2" s="964"/>
      <c r="L2" s="964"/>
      <c r="M2" s="964"/>
      <c r="N2" s="964"/>
      <c r="O2" s="964"/>
      <c r="P2" s="965"/>
    </row>
    <row r="3" spans="1:16" ht="11.25" customHeight="1" x14ac:dyDescent="0.2">
      <c r="O3" s="2"/>
    </row>
    <row r="4" spans="1:16" ht="105" customHeight="1" x14ac:dyDescent="0.2">
      <c r="B4" s="858" t="s">
        <v>433</v>
      </c>
      <c r="C4" s="858"/>
      <c r="D4" s="858"/>
      <c r="E4" s="858"/>
      <c r="F4" s="858"/>
      <c r="G4" s="858"/>
      <c r="H4" s="858"/>
      <c r="I4" s="858"/>
      <c r="J4" s="858"/>
      <c r="K4" s="858"/>
      <c r="L4" s="858"/>
      <c r="M4" s="858"/>
      <c r="N4" s="858"/>
      <c r="O4" s="858"/>
      <c r="P4" s="858"/>
    </row>
    <row r="5" spans="1:16" ht="9" customHeight="1" x14ac:dyDescent="0.2"/>
    <row r="6" spans="1:16" ht="12.75" customHeight="1" x14ac:dyDescent="0.2">
      <c r="B6" s="38" t="s">
        <v>649</v>
      </c>
      <c r="C6" s="858" t="s">
        <v>413</v>
      </c>
      <c r="D6" s="858"/>
      <c r="E6" s="858"/>
      <c r="F6" s="858"/>
      <c r="G6" s="858"/>
      <c r="H6" s="858"/>
      <c r="I6" s="858"/>
      <c r="J6" s="858"/>
      <c r="K6" s="858"/>
      <c r="L6" s="858"/>
      <c r="M6" s="858"/>
      <c r="N6" s="858"/>
      <c r="O6" s="858"/>
      <c r="P6" s="858"/>
    </row>
    <row r="7" spans="1:16" ht="25.5" customHeight="1" x14ac:dyDescent="0.2">
      <c r="C7" s="858"/>
      <c r="D7" s="858"/>
      <c r="E7" s="858"/>
      <c r="F7" s="858"/>
      <c r="G7" s="858"/>
      <c r="H7" s="858"/>
      <c r="I7" s="858"/>
      <c r="J7" s="858"/>
      <c r="K7" s="858"/>
      <c r="L7" s="858"/>
      <c r="M7" s="858"/>
      <c r="N7" s="858"/>
      <c r="O7" s="858"/>
      <c r="P7" s="858"/>
    </row>
    <row r="8" spans="1:16" ht="6" customHeight="1" x14ac:dyDescent="0.2"/>
    <row r="9" spans="1:16" ht="11.25" customHeight="1" x14ac:dyDescent="0.2">
      <c r="B9" s="38" t="s">
        <v>650</v>
      </c>
      <c r="C9" s="858" t="s">
        <v>328</v>
      </c>
      <c r="D9" s="858"/>
      <c r="E9" s="858"/>
      <c r="F9" s="858"/>
      <c r="G9" s="858"/>
      <c r="H9" s="858"/>
      <c r="I9" s="858"/>
      <c r="J9" s="858"/>
      <c r="K9" s="858"/>
      <c r="L9" s="858"/>
      <c r="M9" s="858"/>
      <c r="N9" s="858"/>
      <c r="O9" s="858"/>
      <c r="P9" s="858"/>
    </row>
    <row r="10" spans="1:16" ht="12" customHeight="1" x14ac:dyDescent="0.2">
      <c r="B10" s="38"/>
      <c r="C10" s="858"/>
      <c r="D10" s="858"/>
      <c r="E10" s="858"/>
      <c r="F10" s="858"/>
      <c r="G10" s="858"/>
      <c r="H10" s="858"/>
      <c r="I10" s="858"/>
      <c r="J10" s="858"/>
      <c r="K10" s="858"/>
      <c r="L10" s="858"/>
      <c r="M10" s="858"/>
      <c r="N10" s="858"/>
      <c r="O10" s="858"/>
      <c r="P10" s="858"/>
    </row>
    <row r="11" spans="1:16" ht="5.25" customHeight="1" x14ac:dyDescent="0.2">
      <c r="B11" s="38"/>
      <c r="C11" s="34"/>
      <c r="D11" s="34"/>
      <c r="E11" s="34"/>
      <c r="F11" s="34"/>
      <c r="G11" s="34"/>
      <c r="H11" s="34"/>
      <c r="I11" s="34"/>
      <c r="J11" s="34"/>
      <c r="K11" s="34"/>
      <c r="L11" s="34"/>
      <c r="M11" s="34"/>
      <c r="N11" s="34"/>
      <c r="O11" s="34"/>
      <c r="P11" s="34"/>
    </row>
    <row r="12" spans="1:16" ht="12" customHeight="1" x14ac:dyDescent="0.2">
      <c r="B12" s="38" t="s">
        <v>516</v>
      </c>
      <c r="C12" s="858" t="s">
        <v>329</v>
      </c>
      <c r="D12" s="858"/>
      <c r="E12" s="858"/>
      <c r="F12" s="858"/>
      <c r="G12" s="858"/>
      <c r="H12" s="858"/>
      <c r="I12" s="858"/>
      <c r="J12" s="858"/>
      <c r="K12" s="858"/>
      <c r="L12" s="858"/>
      <c r="M12" s="858"/>
      <c r="N12" s="858"/>
      <c r="O12" s="858"/>
      <c r="P12" s="858"/>
    </row>
    <row r="13" spans="1:16" ht="13.5" hidden="1" customHeight="1" x14ac:dyDescent="0.2">
      <c r="B13" s="38"/>
      <c r="C13" s="858"/>
      <c r="D13" s="858"/>
      <c r="E13" s="858"/>
      <c r="F13" s="858"/>
      <c r="G13" s="858"/>
      <c r="H13" s="858"/>
      <c r="I13" s="858"/>
      <c r="J13" s="858"/>
      <c r="K13" s="858"/>
      <c r="L13" s="858"/>
      <c r="M13" s="858"/>
      <c r="N13" s="858"/>
      <c r="O13" s="858"/>
      <c r="P13" s="858"/>
    </row>
    <row r="14" spans="1:16" ht="5.25" customHeight="1" x14ac:dyDescent="0.2">
      <c r="B14" s="38"/>
    </row>
    <row r="15" spans="1:16" ht="12.75" customHeight="1" x14ac:dyDescent="0.2">
      <c r="B15" s="38" t="s">
        <v>330</v>
      </c>
      <c r="C15" s="858" t="s">
        <v>524</v>
      </c>
      <c r="D15" s="858"/>
      <c r="E15" s="858"/>
      <c r="F15" s="858"/>
      <c r="G15" s="858"/>
      <c r="H15" s="858"/>
      <c r="I15" s="858"/>
      <c r="J15" s="858"/>
      <c r="K15" s="858"/>
      <c r="L15" s="858"/>
      <c r="M15" s="858"/>
      <c r="N15" s="858"/>
      <c r="O15" s="858"/>
    </row>
    <row r="16" spans="1:16" ht="11.25" customHeight="1" x14ac:dyDescent="0.2">
      <c r="B16" s="38"/>
      <c r="C16" s="858"/>
      <c r="D16" s="858"/>
      <c r="E16" s="858"/>
      <c r="F16" s="858"/>
      <c r="G16" s="858"/>
      <c r="H16" s="858"/>
      <c r="I16" s="858"/>
      <c r="J16" s="858"/>
      <c r="K16" s="858"/>
      <c r="L16" s="858"/>
      <c r="M16" s="858"/>
      <c r="N16" s="858"/>
      <c r="O16" s="858"/>
    </row>
    <row r="17" spans="1:16" ht="6" customHeight="1" x14ac:dyDescent="0.2"/>
    <row r="18" spans="1:16" ht="12.75" customHeight="1" x14ac:dyDescent="0.2"/>
    <row r="19" spans="1:16" ht="25.5" customHeight="1" x14ac:dyDescent="0.2">
      <c r="A19" s="765" t="s">
        <v>333</v>
      </c>
      <c r="B19" s="971" t="s">
        <v>475</v>
      </c>
      <c r="C19" s="972"/>
      <c r="D19" s="972"/>
      <c r="E19" s="972"/>
      <c r="F19" s="972"/>
      <c r="G19" s="972"/>
      <c r="H19" s="972"/>
      <c r="I19" s="972"/>
      <c r="J19" s="972"/>
      <c r="K19" s="972"/>
      <c r="L19" s="972"/>
      <c r="M19" s="972"/>
      <c r="N19" s="972"/>
      <c r="O19" s="972"/>
      <c r="P19" s="973"/>
    </row>
    <row r="20" spans="1:16" x14ac:dyDescent="0.2">
      <c r="H20" s="9"/>
      <c r="I20" s="9"/>
      <c r="J20" s="9"/>
      <c r="K20" s="9"/>
      <c r="L20" s="9"/>
      <c r="N20" s="9"/>
    </row>
    <row r="21" spans="1:16" ht="39" customHeight="1" x14ac:dyDescent="0.2">
      <c r="B21" s="858" t="s">
        <v>546</v>
      </c>
      <c r="C21" s="858"/>
      <c r="D21" s="858"/>
      <c r="E21" s="858"/>
      <c r="F21" s="858"/>
      <c r="G21" s="858"/>
      <c r="H21" s="858"/>
      <c r="I21" s="858"/>
      <c r="J21" s="858"/>
      <c r="K21" s="858"/>
      <c r="L21" s="858"/>
      <c r="M21" s="858"/>
      <c r="N21" s="858"/>
      <c r="O21" s="858"/>
      <c r="P21" s="858"/>
    </row>
    <row r="22" spans="1:16" x14ac:dyDescent="0.2">
      <c r="B22" s="38"/>
      <c r="H22"/>
      <c r="J22" s="42"/>
      <c r="K22" s="35"/>
      <c r="L22" s="35"/>
      <c r="M22" s="35"/>
      <c r="N22" s="35"/>
    </row>
    <row r="23" spans="1:16" x14ac:dyDescent="0.2">
      <c r="B23" s="38"/>
      <c r="H23"/>
      <c r="J23" s="42" t="s">
        <v>372</v>
      </c>
      <c r="L23" s="343" t="s">
        <v>325</v>
      </c>
    </row>
    <row r="24" spans="1:16" x14ac:dyDescent="0.2">
      <c r="B24" s="38"/>
      <c r="C24" t="s">
        <v>263</v>
      </c>
      <c r="H24"/>
      <c r="J24" s="226"/>
      <c r="L24" s="226"/>
    </row>
    <row r="25" spans="1:16" x14ac:dyDescent="0.2">
      <c r="B25" s="38"/>
      <c r="C25" t="s">
        <v>264</v>
      </c>
      <c r="H25"/>
      <c r="J25" s="226"/>
      <c r="L25" s="226"/>
    </row>
    <row r="26" spans="1:16" x14ac:dyDescent="0.2">
      <c r="B26" s="38"/>
      <c r="C26" t="s">
        <v>265</v>
      </c>
      <c r="H26"/>
      <c r="J26" s="226"/>
      <c r="L26" s="226"/>
    </row>
    <row r="27" spans="1:16" x14ac:dyDescent="0.2">
      <c r="B27" s="38"/>
      <c r="C27" t="s">
        <v>266</v>
      </c>
      <c r="H27"/>
      <c r="J27" s="226"/>
      <c r="L27" s="226"/>
    </row>
    <row r="28" spans="1:16" x14ac:dyDescent="0.2">
      <c r="B28" s="38"/>
      <c r="C28" t="s">
        <v>267</v>
      </c>
      <c r="H28"/>
      <c r="J28" s="226"/>
      <c r="L28" s="226"/>
    </row>
    <row r="29" spans="1:16" x14ac:dyDescent="0.2">
      <c r="B29" s="38"/>
      <c r="C29" t="s">
        <v>268</v>
      </c>
      <c r="H29"/>
      <c r="J29" s="226"/>
      <c r="L29" s="226"/>
    </row>
    <row r="30" spans="1:16" x14ac:dyDescent="0.2">
      <c r="B30" s="38"/>
      <c r="C30" t="s">
        <v>269</v>
      </c>
      <c r="H30"/>
      <c r="J30" s="226"/>
      <c r="L30" s="226"/>
    </row>
    <row r="31" spans="1:16" x14ac:dyDescent="0.2">
      <c r="B31" s="38"/>
      <c r="C31" t="s">
        <v>378</v>
      </c>
      <c r="H31"/>
      <c r="J31" s="226"/>
      <c r="L31" s="226"/>
    </row>
    <row r="32" spans="1:16" x14ac:dyDescent="0.2">
      <c r="B32" s="38"/>
      <c r="C32" t="s">
        <v>270</v>
      </c>
      <c r="H32"/>
      <c r="J32" s="226"/>
      <c r="L32" s="226"/>
    </row>
    <row r="33" spans="1:16" x14ac:dyDescent="0.2">
      <c r="B33" s="38"/>
      <c r="C33" t="s">
        <v>237</v>
      </c>
      <c r="H33"/>
      <c r="J33" s="226"/>
      <c r="L33" s="226"/>
    </row>
    <row r="34" spans="1:16" x14ac:dyDescent="0.2">
      <c r="B34" s="38"/>
      <c r="C34" t="s">
        <v>238</v>
      </c>
      <c r="H34"/>
      <c r="J34" s="226"/>
      <c r="L34" s="226"/>
    </row>
    <row r="35" spans="1:16" x14ac:dyDescent="0.2">
      <c r="B35" s="38"/>
      <c r="C35" t="s">
        <v>271</v>
      </c>
      <c r="H35"/>
      <c r="J35" s="226"/>
      <c r="L35" s="226"/>
    </row>
    <row r="36" spans="1:16" x14ac:dyDescent="0.2">
      <c r="B36" s="38"/>
      <c r="C36" t="s">
        <v>273</v>
      </c>
      <c r="H36"/>
      <c r="J36" s="226"/>
      <c r="L36" s="226"/>
    </row>
    <row r="37" spans="1:16" x14ac:dyDescent="0.2">
      <c r="B37" s="38"/>
      <c r="C37" t="s">
        <v>274</v>
      </c>
      <c r="H37"/>
      <c r="J37" s="226"/>
      <c r="L37" s="226"/>
    </row>
    <row r="38" spans="1:16" x14ac:dyDescent="0.2">
      <c r="B38" s="38"/>
      <c r="C38" t="s">
        <v>272</v>
      </c>
      <c r="H38"/>
      <c r="J38" s="226"/>
      <c r="L38" s="226"/>
    </row>
    <row r="39" spans="1:16" x14ac:dyDescent="0.2">
      <c r="C39" t="s">
        <v>257</v>
      </c>
      <c r="H39"/>
      <c r="J39" s="226"/>
      <c r="L39" s="227"/>
    </row>
    <row r="40" spans="1:16" x14ac:dyDescent="0.2">
      <c r="C40" t="s">
        <v>55</v>
      </c>
      <c r="H40"/>
      <c r="J40" s="226"/>
      <c r="L40" s="227"/>
    </row>
    <row r="41" spans="1:16" x14ac:dyDescent="0.2">
      <c r="H41"/>
      <c r="L41" s="9"/>
      <c r="O41" s="1054"/>
      <c r="P41" s="1054"/>
    </row>
    <row r="42" spans="1:16" ht="18.75" customHeight="1" thickBot="1" x14ac:dyDescent="0.25">
      <c r="C42" s="349" t="s">
        <v>452</v>
      </c>
      <c r="H42"/>
      <c r="J42" s="138">
        <f>SUM(J24:J40)</f>
        <v>0</v>
      </c>
      <c r="L42" s="76">
        <f>SUM(L24:L40)</f>
        <v>0</v>
      </c>
      <c r="O42" s="1054"/>
      <c r="P42" s="1054"/>
    </row>
    <row r="43" spans="1:16" ht="12.75" customHeight="1" thickTop="1" x14ac:dyDescent="0.2"/>
    <row r="44" spans="1:16" ht="25.5" customHeight="1" x14ac:dyDescent="0.2">
      <c r="A44" s="765" t="s">
        <v>334</v>
      </c>
      <c r="B44" s="971" t="s">
        <v>547</v>
      </c>
      <c r="C44" s="972"/>
      <c r="D44" s="972"/>
      <c r="E44" s="972"/>
      <c r="F44" s="972"/>
      <c r="G44" s="972"/>
      <c r="H44" s="972"/>
      <c r="I44" s="972"/>
      <c r="J44" s="972"/>
      <c r="K44" s="972"/>
      <c r="L44" s="972"/>
      <c r="M44" s="972"/>
      <c r="N44" s="972"/>
      <c r="O44" s="972"/>
      <c r="P44" s="973"/>
    </row>
    <row r="45" spans="1:16" ht="6" customHeight="1" x14ac:dyDescent="0.2">
      <c r="B45" s="41"/>
      <c r="C45" s="32"/>
      <c r="D45" s="32"/>
      <c r="E45" s="32"/>
      <c r="F45" s="32"/>
      <c r="G45" s="32"/>
      <c r="H45" s="31"/>
      <c r="I45" s="32"/>
      <c r="J45" s="32"/>
      <c r="K45" s="32"/>
      <c r="L45" s="32"/>
      <c r="M45" s="32"/>
      <c r="N45" s="32"/>
    </row>
    <row r="46" spans="1:16" x14ac:dyDescent="0.2">
      <c r="H46"/>
      <c r="L46" s="3" t="s">
        <v>644</v>
      </c>
    </row>
    <row r="47" spans="1:16" ht="6" customHeight="1" x14ac:dyDescent="0.2">
      <c r="H47"/>
    </row>
    <row r="48" spans="1:16" ht="12.75" customHeight="1" x14ac:dyDescent="0.2">
      <c r="B48" s="38" t="s">
        <v>649</v>
      </c>
      <c r="C48" s="858" t="s">
        <v>371</v>
      </c>
      <c r="D48" s="858"/>
      <c r="E48" s="858"/>
      <c r="F48" s="858"/>
      <c r="G48" s="858"/>
      <c r="H48" s="858"/>
      <c r="I48" s="858"/>
      <c r="J48" s="858"/>
      <c r="L48" s="77"/>
    </row>
    <row r="49" spans="2:16" ht="12.75" customHeight="1" x14ac:dyDescent="0.2">
      <c r="B49" s="38"/>
      <c r="C49" s="858"/>
      <c r="D49" s="858"/>
      <c r="E49" s="858"/>
      <c r="F49" s="858"/>
      <c r="G49" s="858"/>
      <c r="H49" s="858"/>
      <c r="I49" s="858"/>
      <c r="J49" s="858"/>
      <c r="L49" s="77"/>
    </row>
    <row r="50" spans="2:16" x14ac:dyDescent="0.2">
      <c r="D50" t="s">
        <v>115</v>
      </c>
      <c r="H50"/>
      <c r="L50" s="226">
        <v>6439</v>
      </c>
    </row>
    <row r="51" spans="2:16" x14ac:dyDescent="0.2">
      <c r="D51" t="s">
        <v>709</v>
      </c>
      <c r="H51"/>
      <c r="L51" s="226">
        <v>25000</v>
      </c>
    </row>
    <row r="52" spans="2:16" x14ac:dyDescent="0.2">
      <c r="D52" s="830" t="s">
        <v>1655</v>
      </c>
      <c r="H52"/>
      <c r="L52" s="226">
        <v>0</v>
      </c>
    </row>
    <row r="53" spans="2:16" x14ac:dyDescent="0.2">
      <c r="D53" t="s">
        <v>98</v>
      </c>
      <c r="H53"/>
      <c r="L53" s="226">
        <v>0</v>
      </c>
    </row>
    <row r="54" spans="2:16" ht="15" thickBot="1" x14ac:dyDescent="0.25">
      <c r="D54" s="118" t="s">
        <v>291</v>
      </c>
      <c r="H54"/>
      <c r="K54" s="348" t="s">
        <v>141</v>
      </c>
      <c r="L54" s="76">
        <f>SUM(L50:L53)</f>
        <v>31439</v>
      </c>
      <c r="M54" s="2"/>
      <c r="N54" s="1056" t="str">
        <f>IF(L54=L61," ","Recheck numbers. Entry does not appear to zero out.")</f>
        <v xml:space="preserve"> </v>
      </c>
      <c r="O54" s="1056"/>
    </row>
    <row r="55" spans="2:16" ht="13.5" thickTop="1" x14ac:dyDescent="0.2">
      <c r="H55"/>
      <c r="L55" s="31"/>
      <c r="N55" s="1056"/>
      <c r="O55" s="1056"/>
    </row>
    <row r="56" spans="2:16" x14ac:dyDescent="0.2">
      <c r="B56" s="38" t="s">
        <v>650</v>
      </c>
      <c r="C56" s="858" t="s">
        <v>602</v>
      </c>
      <c r="D56" s="858"/>
      <c r="E56" s="858"/>
      <c r="F56" s="858"/>
      <c r="G56" s="858"/>
      <c r="H56" s="858"/>
      <c r="I56" s="858"/>
      <c r="J56" s="858"/>
      <c r="L56" s="31"/>
    </row>
    <row r="57" spans="2:16" x14ac:dyDescent="0.2">
      <c r="C57" s="858"/>
      <c r="D57" s="858"/>
      <c r="E57" s="858"/>
      <c r="F57" s="858"/>
      <c r="G57" s="858"/>
      <c r="H57" s="858"/>
      <c r="I57" s="858"/>
      <c r="J57" s="858"/>
      <c r="L57" s="31"/>
    </row>
    <row r="58" spans="2:16" x14ac:dyDescent="0.2">
      <c r="D58" t="s">
        <v>370</v>
      </c>
      <c r="H58"/>
      <c r="L58" s="162">
        <f>'Conversion Worksheet'!W409+'Conversion Worksheet'!W410-'Conversion Worksheet'!X409-'Conversion Worksheet'!X410</f>
        <v>31439</v>
      </c>
    </row>
    <row r="59" spans="2:16" x14ac:dyDescent="0.2">
      <c r="D59" t="s">
        <v>435</v>
      </c>
      <c r="H59"/>
      <c r="L59" s="162">
        <f>'C. Capital Outlay &amp; Donations'!K130</f>
        <v>0</v>
      </c>
    </row>
    <row r="60" spans="2:16" x14ac:dyDescent="0.2">
      <c r="D60" t="s">
        <v>436</v>
      </c>
      <c r="H60"/>
      <c r="L60" s="162">
        <f>J42</f>
        <v>0</v>
      </c>
    </row>
    <row r="61" spans="2:16" ht="15" thickBot="1" x14ac:dyDescent="0.25">
      <c r="D61" s="118" t="s">
        <v>603</v>
      </c>
      <c r="H61"/>
      <c r="K61" s="348" t="s">
        <v>141</v>
      </c>
      <c r="L61" s="76">
        <f>SUM(L58:L60)</f>
        <v>31439</v>
      </c>
    </row>
    <row r="62" spans="2:16" ht="13.5" thickTop="1" x14ac:dyDescent="0.2">
      <c r="H62"/>
      <c r="L62" s="31"/>
    </row>
    <row r="63" spans="2:16" x14ac:dyDescent="0.2">
      <c r="H63"/>
      <c r="L63" s="31"/>
    </row>
    <row r="64" spans="2:16" ht="25.5" customHeight="1" x14ac:dyDescent="0.2">
      <c r="C64" s="1055" t="s">
        <v>437</v>
      </c>
      <c r="D64" s="1055"/>
      <c r="E64" s="1055"/>
      <c r="F64" s="1055"/>
      <c r="G64" s="1055"/>
      <c r="H64" s="1055"/>
      <c r="I64" s="1055"/>
      <c r="J64" s="1055"/>
      <c r="K64" s="1055"/>
      <c r="L64" s="1055"/>
      <c r="M64" s="1055"/>
      <c r="N64" s="1055"/>
      <c r="O64" s="1055"/>
      <c r="P64" s="1055"/>
    </row>
    <row r="65" spans="1:16" hidden="1" x14ac:dyDescent="0.2">
      <c r="C65" s="1055"/>
      <c r="D65" s="1055"/>
      <c r="E65" s="1055"/>
      <c r="F65" s="1055"/>
      <c r="G65" s="1055"/>
      <c r="H65" s="1055"/>
      <c r="I65" s="1055"/>
      <c r="J65" s="1055"/>
      <c r="K65" s="1055"/>
      <c r="L65" s="1055"/>
      <c r="M65" s="1055"/>
      <c r="N65" s="1055"/>
      <c r="O65" s="1055"/>
      <c r="P65" s="1055"/>
    </row>
    <row r="66" spans="1:16" x14ac:dyDescent="0.2">
      <c r="D66" s="2"/>
      <c r="H66"/>
      <c r="L66" s="31"/>
    </row>
    <row r="67" spans="1:16" ht="25.5" customHeight="1" x14ac:dyDescent="0.2">
      <c r="A67" s="765" t="s">
        <v>515</v>
      </c>
      <c r="B67" s="971" t="s">
        <v>434</v>
      </c>
      <c r="C67" s="972"/>
      <c r="D67" s="972"/>
      <c r="E67" s="972"/>
      <c r="F67" s="972"/>
      <c r="G67" s="972"/>
      <c r="H67" s="972"/>
      <c r="I67" s="972"/>
      <c r="J67" s="972"/>
      <c r="K67" s="972"/>
      <c r="L67" s="972"/>
      <c r="M67" s="972"/>
      <c r="N67" s="972"/>
      <c r="O67" s="972"/>
      <c r="P67" s="973"/>
    </row>
    <row r="68" spans="1:16" x14ac:dyDescent="0.2">
      <c r="H68" s="9"/>
      <c r="I68" s="9"/>
      <c r="J68" s="9"/>
      <c r="K68" s="9"/>
      <c r="L68" s="9"/>
      <c r="N68" s="9"/>
    </row>
    <row r="69" spans="1:16" x14ac:dyDescent="0.2">
      <c r="H69" s="9"/>
      <c r="I69" s="9"/>
      <c r="K69" s="9"/>
      <c r="L69" s="3" t="s">
        <v>644</v>
      </c>
      <c r="N69" s="9"/>
    </row>
    <row r="70" spans="1:16" x14ac:dyDescent="0.2">
      <c r="H70"/>
      <c r="K70" s="9"/>
      <c r="L70" s="11"/>
    </row>
    <row r="71" spans="1:16" ht="12" customHeight="1" x14ac:dyDescent="0.2">
      <c r="B71" s="38" t="s">
        <v>649</v>
      </c>
      <c r="C71" t="s">
        <v>525</v>
      </c>
      <c r="H71"/>
      <c r="K71" s="9"/>
      <c r="L71" s="220">
        <v>1256</v>
      </c>
    </row>
    <row r="72" spans="1:16" x14ac:dyDescent="0.2">
      <c r="H72"/>
      <c r="K72" s="9"/>
      <c r="L72" s="11"/>
    </row>
    <row r="73" spans="1:16" x14ac:dyDescent="0.2">
      <c r="B73" s="38" t="s">
        <v>650</v>
      </c>
      <c r="C73" t="s">
        <v>526</v>
      </c>
      <c r="H73"/>
      <c r="K73" s="9"/>
      <c r="L73" s="220">
        <v>1867</v>
      </c>
    </row>
    <row r="74" spans="1:16" ht="6.75" customHeight="1" x14ac:dyDescent="0.2">
      <c r="B74" s="38"/>
      <c r="H74"/>
      <c r="K74" s="9"/>
    </row>
    <row r="75" spans="1:16" ht="13.5" thickBot="1" x14ac:dyDescent="0.25">
      <c r="B75" s="38"/>
      <c r="C75" s="349" t="s">
        <v>327</v>
      </c>
      <c r="H75"/>
      <c r="K75" s="9"/>
      <c r="L75" s="75">
        <f>L73-L71</f>
        <v>611</v>
      </c>
    </row>
    <row r="76" spans="1:16" ht="13.5" thickTop="1" x14ac:dyDescent="0.2">
      <c r="H76"/>
      <c r="L76" s="9"/>
      <c r="N76" s="9"/>
      <c r="O76" s="331"/>
    </row>
    <row r="77" spans="1:16" ht="25.5" customHeight="1" x14ac:dyDescent="0.2">
      <c r="A77" s="765" t="s">
        <v>517</v>
      </c>
      <c r="B77" s="1051" t="s">
        <v>474</v>
      </c>
      <c r="C77" s="1052"/>
      <c r="D77" s="1052"/>
      <c r="E77" s="1052"/>
      <c r="F77" s="1052"/>
      <c r="G77" s="1052"/>
      <c r="H77" s="1052"/>
      <c r="I77" s="1052"/>
      <c r="J77" s="1052"/>
      <c r="K77" s="1052"/>
      <c r="L77" s="1052"/>
      <c r="M77" s="1052"/>
      <c r="N77" s="1052"/>
      <c r="O77" s="1052"/>
      <c r="P77" s="1053"/>
    </row>
    <row r="78" spans="1:16" ht="6.75" customHeight="1" x14ac:dyDescent="0.2"/>
    <row r="79" spans="1:16" x14ac:dyDescent="0.2">
      <c r="L79" s="46" t="s">
        <v>645</v>
      </c>
      <c r="M79" s="42"/>
      <c r="N79" s="46" t="s">
        <v>646</v>
      </c>
    </row>
    <row r="80" spans="1:16" ht="6.75" customHeight="1" x14ac:dyDescent="0.2"/>
    <row r="81" spans="4:14" ht="12.75" customHeight="1" x14ac:dyDescent="0.2">
      <c r="D81" t="s">
        <v>689</v>
      </c>
      <c r="E81" t="s">
        <v>611</v>
      </c>
      <c r="L81" s="70">
        <f>J42</f>
        <v>0</v>
      </c>
      <c r="M81" s="11"/>
      <c r="N81" s="70"/>
    </row>
    <row r="82" spans="4:14" ht="12.75" customHeight="1" x14ac:dyDescent="0.2">
      <c r="E82" t="s">
        <v>311</v>
      </c>
      <c r="L82" s="70">
        <f>L42</f>
        <v>0</v>
      </c>
      <c r="M82" s="11"/>
      <c r="N82" s="70"/>
    </row>
    <row r="83" spans="4:14" ht="12.75" customHeight="1" x14ac:dyDescent="0.2">
      <c r="F83" t="s">
        <v>263</v>
      </c>
      <c r="L83" s="70"/>
      <c r="M83" s="11"/>
      <c r="N83" s="70">
        <f>J24+L24</f>
        <v>0</v>
      </c>
    </row>
    <row r="84" spans="4:14" ht="12.75" customHeight="1" x14ac:dyDescent="0.2">
      <c r="F84" t="s">
        <v>264</v>
      </c>
      <c r="L84" s="70"/>
      <c r="M84" s="11"/>
      <c r="N84" s="70">
        <f t="shared" ref="N84:N99" si="0">J25+L25</f>
        <v>0</v>
      </c>
    </row>
    <row r="85" spans="4:14" ht="12.75" customHeight="1" x14ac:dyDescent="0.2">
      <c r="F85" t="s">
        <v>265</v>
      </c>
      <c r="L85" s="70"/>
      <c r="M85" s="11"/>
      <c r="N85" s="70">
        <f t="shared" si="0"/>
        <v>0</v>
      </c>
    </row>
    <row r="86" spans="4:14" ht="12.75" customHeight="1" x14ac:dyDescent="0.2">
      <c r="F86" t="s">
        <v>266</v>
      </c>
      <c r="L86" s="70"/>
      <c r="M86" s="11"/>
      <c r="N86" s="70">
        <f t="shared" si="0"/>
        <v>0</v>
      </c>
    </row>
    <row r="87" spans="4:14" ht="12.75" customHeight="1" x14ac:dyDescent="0.2">
      <c r="F87" t="s">
        <v>267</v>
      </c>
      <c r="L87" s="70"/>
      <c r="M87" s="11"/>
      <c r="N87" s="70">
        <f t="shared" si="0"/>
        <v>0</v>
      </c>
    </row>
    <row r="88" spans="4:14" ht="12.75" customHeight="1" x14ac:dyDescent="0.2">
      <c r="F88" t="s">
        <v>268</v>
      </c>
      <c r="L88" s="70"/>
      <c r="M88" s="11"/>
      <c r="N88" s="70">
        <f t="shared" si="0"/>
        <v>0</v>
      </c>
    </row>
    <row r="89" spans="4:14" ht="12.75" customHeight="1" x14ac:dyDescent="0.2">
      <c r="F89" t="s">
        <v>269</v>
      </c>
      <c r="L89" s="70"/>
      <c r="M89" s="11"/>
      <c r="N89" s="70">
        <f t="shared" si="0"/>
        <v>0</v>
      </c>
    </row>
    <row r="90" spans="4:14" ht="12.75" customHeight="1" x14ac:dyDescent="0.2">
      <c r="F90" t="s">
        <v>378</v>
      </c>
      <c r="L90" s="70"/>
      <c r="M90" s="11"/>
      <c r="N90" s="70">
        <f t="shared" si="0"/>
        <v>0</v>
      </c>
    </row>
    <row r="91" spans="4:14" ht="12.75" customHeight="1" x14ac:dyDescent="0.2">
      <c r="F91" t="s">
        <v>270</v>
      </c>
      <c r="L91" s="70"/>
      <c r="M91" s="11"/>
      <c r="N91" s="70">
        <f t="shared" si="0"/>
        <v>0</v>
      </c>
    </row>
    <row r="92" spans="4:14" ht="12.75" customHeight="1" x14ac:dyDescent="0.2">
      <c r="F92" t="s">
        <v>237</v>
      </c>
      <c r="L92" s="70"/>
      <c r="M92" s="11"/>
      <c r="N92" s="70">
        <f t="shared" si="0"/>
        <v>0</v>
      </c>
    </row>
    <row r="93" spans="4:14" ht="12.75" customHeight="1" x14ac:dyDescent="0.2">
      <c r="F93" t="s">
        <v>238</v>
      </c>
      <c r="L93" s="70"/>
      <c r="M93" s="11"/>
      <c r="N93" s="70">
        <f t="shared" si="0"/>
        <v>0</v>
      </c>
    </row>
    <row r="94" spans="4:14" ht="12.75" customHeight="1" x14ac:dyDescent="0.2">
      <c r="F94" t="s">
        <v>271</v>
      </c>
      <c r="L94" s="70"/>
      <c r="M94" s="11"/>
      <c r="N94" s="70">
        <f t="shared" si="0"/>
        <v>0</v>
      </c>
    </row>
    <row r="95" spans="4:14" ht="12.75" customHeight="1" x14ac:dyDescent="0.2">
      <c r="F95" t="s">
        <v>273</v>
      </c>
      <c r="L95" s="70"/>
      <c r="M95" s="11"/>
      <c r="N95" s="70">
        <f t="shared" si="0"/>
        <v>0</v>
      </c>
    </row>
    <row r="96" spans="4:14" ht="12.75" customHeight="1" x14ac:dyDescent="0.2">
      <c r="F96" t="s">
        <v>274</v>
      </c>
      <c r="L96" s="70"/>
      <c r="M96" s="11"/>
      <c r="N96" s="70">
        <f t="shared" si="0"/>
        <v>0</v>
      </c>
    </row>
    <row r="97" spans="4:14" ht="12.75" customHeight="1" x14ac:dyDescent="0.2">
      <c r="F97" t="s">
        <v>272</v>
      </c>
      <c r="L97" s="70"/>
      <c r="M97" s="11"/>
      <c r="N97" s="70">
        <f t="shared" si="0"/>
        <v>0</v>
      </c>
    </row>
    <row r="98" spans="4:14" ht="12.75" customHeight="1" x14ac:dyDescent="0.2">
      <c r="F98" t="s">
        <v>257</v>
      </c>
      <c r="L98" s="70"/>
      <c r="M98" s="11"/>
      <c r="N98" s="70">
        <f t="shared" si="0"/>
        <v>0</v>
      </c>
    </row>
    <row r="99" spans="4:14" x14ac:dyDescent="0.2">
      <c r="F99" t="s">
        <v>55</v>
      </c>
      <c r="L99" s="70"/>
      <c r="M99" s="11"/>
      <c r="N99" s="70">
        <f t="shared" si="0"/>
        <v>0</v>
      </c>
    </row>
    <row r="100" spans="4:14" ht="6" customHeight="1" x14ac:dyDescent="0.2"/>
    <row r="101" spans="4:14" ht="12.75" customHeight="1" x14ac:dyDescent="0.2">
      <c r="D101" t="s">
        <v>572</v>
      </c>
      <c r="E101" t="s">
        <v>116</v>
      </c>
      <c r="L101" s="70">
        <f>L50</f>
        <v>6439</v>
      </c>
      <c r="M101" s="11"/>
      <c r="N101" s="70"/>
    </row>
    <row r="102" spans="4:14" ht="12.75" customHeight="1" x14ac:dyDescent="0.2">
      <c r="E102" t="s">
        <v>709</v>
      </c>
      <c r="L102" s="70">
        <f>L51</f>
        <v>25000</v>
      </c>
      <c r="M102" s="11"/>
      <c r="N102" s="70"/>
    </row>
    <row r="103" spans="4:14" ht="12.75" customHeight="1" x14ac:dyDescent="0.2">
      <c r="E103" t="s">
        <v>710</v>
      </c>
      <c r="L103" s="70">
        <f>L52</f>
        <v>0</v>
      </c>
      <c r="M103" s="11"/>
      <c r="N103" s="70"/>
    </row>
    <row r="104" spans="4:14" ht="12.75" customHeight="1" x14ac:dyDescent="0.2">
      <c r="E104" t="s">
        <v>98</v>
      </c>
      <c r="L104" s="70">
        <f>L53</f>
        <v>0</v>
      </c>
      <c r="M104" s="11"/>
      <c r="N104" s="70"/>
    </row>
    <row r="105" spans="4:14" x14ac:dyDescent="0.2">
      <c r="F105" t="s">
        <v>611</v>
      </c>
      <c r="L105" s="70"/>
      <c r="M105" s="11"/>
      <c r="N105" s="70">
        <f>SUM(L101:L104)</f>
        <v>31439</v>
      </c>
    </row>
    <row r="106" spans="4:14" ht="5.25" customHeight="1" x14ac:dyDescent="0.2">
      <c r="L106" s="77"/>
      <c r="M106" s="11"/>
      <c r="N106" s="77"/>
    </row>
    <row r="107" spans="4:14" x14ac:dyDescent="0.2">
      <c r="D107" t="s">
        <v>326</v>
      </c>
      <c r="E107" t="s">
        <v>342</v>
      </c>
      <c r="L107" s="70">
        <f>L71</f>
        <v>1256</v>
      </c>
      <c r="M107" s="11"/>
      <c r="N107" s="70"/>
    </row>
    <row r="108" spans="4:14" x14ac:dyDescent="0.2">
      <c r="F108" t="s">
        <v>341</v>
      </c>
      <c r="L108" s="70"/>
      <c r="M108" s="11"/>
      <c r="N108" s="70">
        <f>L71</f>
        <v>1256</v>
      </c>
    </row>
    <row r="109" spans="4:14" ht="6" customHeight="1" x14ac:dyDescent="0.2">
      <c r="L109" s="77"/>
      <c r="M109" s="11"/>
      <c r="N109" s="77"/>
    </row>
    <row r="110" spans="4:14" x14ac:dyDescent="0.2">
      <c r="D110" t="s">
        <v>331</v>
      </c>
      <c r="E110" t="s">
        <v>341</v>
      </c>
      <c r="L110" s="70">
        <f>IF(L71-L73&lt;0,0, L71-L73)</f>
        <v>0</v>
      </c>
      <c r="M110" s="78"/>
      <c r="N110" s="70">
        <f>IF(L71-L73&gt;0,0, L73-L71)</f>
        <v>611</v>
      </c>
    </row>
    <row r="111" spans="4:14" x14ac:dyDescent="0.2">
      <c r="F111" t="s">
        <v>311</v>
      </c>
      <c r="L111" s="70">
        <f>N110</f>
        <v>611</v>
      </c>
      <c r="M111" s="78"/>
      <c r="N111" s="70">
        <f>L110</f>
        <v>0</v>
      </c>
    </row>
    <row r="112" spans="4:14" ht="6" customHeight="1" x14ac:dyDescent="0.2">
      <c r="M112" s="78"/>
    </row>
    <row r="113" spans="12:14" ht="13.5" thickBot="1" x14ac:dyDescent="0.25">
      <c r="L113" s="76">
        <f>SUM(L81:L112)</f>
        <v>33306</v>
      </c>
      <c r="M113" s="11"/>
      <c r="N113" s="76">
        <f>SUM(N81:N112)</f>
        <v>33306</v>
      </c>
    </row>
    <row r="114" spans="12:14" ht="13.5" thickTop="1" x14ac:dyDescent="0.2">
      <c r="L114" s="77">
        <f>L113-N113</f>
        <v>0</v>
      </c>
      <c r="M114" s="11"/>
      <c r="N114" s="77"/>
    </row>
    <row r="115" spans="12:14" x14ac:dyDescent="0.2">
      <c r="L115" s="77"/>
      <c r="M115" s="11"/>
      <c r="N115" s="77"/>
    </row>
    <row r="116" spans="12:14" ht="4.5" customHeight="1" x14ac:dyDescent="0.2">
      <c r="L116" s="77"/>
      <c r="M116" s="11"/>
      <c r="N116" s="77"/>
    </row>
  </sheetData>
  <sheetProtection algorithmName="SHA-512" hashValue="2SryUtkkV+dGVzZxEfgzoSl4Vs/ZSABiSBf1z1m7CorZhCZX9UujgVHJB+a3ZvWlpJ332QHh+tHDSiIyCco1Qw==" saltValue="+UIhj60ZSvrQj+nGc9F/4Q==" spinCount="100000" sheet="1" objects="1" scenarios="1"/>
  <mergeCells count="16">
    <mergeCell ref="B77:P77"/>
    <mergeCell ref="A2:P2"/>
    <mergeCell ref="B4:P4"/>
    <mergeCell ref="C9:P10"/>
    <mergeCell ref="C12:P13"/>
    <mergeCell ref="C15:O16"/>
    <mergeCell ref="O41:P42"/>
    <mergeCell ref="C6:P7"/>
    <mergeCell ref="B19:P19"/>
    <mergeCell ref="B44:P44"/>
    <mergeCell ref="B67:P67"/>
    <mergeCell ref="C64:P65"/>
    <mergeCell ref="B21:P21"/>
    <mergeCell ref="C48:J49"/>
    <mergeCell ref="C56:J57"/>
    <mergeCell ref="N54:O55"/>
  </mergeCells>
  <phoneticPr fontId="0" type="noConversion"/>
  <printOptions horizontalCentered="1"/>
  <pageMargins left="0.36" right="0.37" top="0.71" bottom="0.5" header="0.5" footer="0.5"/>
  <pageSetup scale="75" orientation="portrait" r:id="rId1"/>
  <headerFooter alignWithMargins="0">
    <oddHeader>&amp;R&amp;"Arial,Bold"&amp;12Entry E</oddHeader>
    <oddFooter>&amp;R&amp;P</oddFooter>
  </headerFooter>
  <rowBreaks count="1" manualBreakCount="1">
    <brk id="64" max="15" man="1"/>
  </rowBreaks>
  <ignoredErrors>
    <ignoredError sqref="B6 B9 B12 B15 B48 B56 B71 B73" numberStoredAsText="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79"/>
  <sheetViews>
    <sheetView workbookViewId="0">
      <selection activeCell="A2" sqref="A2:P2"/>
    </sheetView>
  </sheetViews>
  <sheetFormatPr defaultRowHeight="12.75" x14ac:dyDescent="0.2"/>
  <cols>
    <col min="1" max="1" width="4" style="4" customWidth="1"/>
    <col min="2" max="2" width="4" customWidth="1"/>
    <col min="4" max="4" width="9.28515625" customWidth="1"/>
    <col min="5" max="5" width="5.42578125" customWidth="1"/>
    <col min="6" max="6" width="10.42578125" bestFit="1" customWidth="1"/>
    <col min="7" max="7" width="11.28515625" bestFit="1" customWidth="1"/>
    <col min="8" max="8" width="1.42578125" style="1" customWidth="1"/>
    <col min="9" max="9" width="11.28515625" customWidth="1"/>
    <col min="10" max="10" width="13.7109375" customWidth="1"/>
    <col min="11" max="11" width="11.140625" customWidth="1"/>
    <col min="12" max="12" width="13.7109375" customWidth="1"/>
    <col min="13" max="13" width="1.7109375" customWidth="1"/>
    <col min="14" max="14" width="13.7109375" customWidth="1"/>
    <col min="15" max="15" width="10" bestFit="1" customWidth="1"/>
    <col min="16" max="16" width="1.7109375" customWidth="1"/>
    <col min="17" max="17" width="11.28515625" customWidth="1"/>
    <col min="18" max="19" width="11.42578125" customWidth="1"/>
  </cols>
  <sheetData>
    <row r="1" spans="1:16" ht="7.5" customHeight="1" x14ac:dyDescent="0.2"/>
    <row r="2" spans="1:16" ht="33.75" customHeight="1" x14ac:dyDescent="0.2">
      <c r="A2" s="963" t="s">
        <v>92</v>
      </c>
      <c r="B2" s="964"/>
      <c r="C2" s="964"/>
      <c r="D2" s="964"/>
      <c r="E2" s="964"/>
      <c r="F2" s="964"/>
      <c r="G2" s="964"/>
      <c r="H2" s="964"/>
      <c r="I2" s="964"/>
      <c r="J2" s="964"/>
      <c r="K2" s="964"/>
      <c r="L2" s="964"/>
      <c r="M2" s="964"/>
      <c r="N2" s="964"/>
      <c r="O2" s="964"/>
      <c r="P2" s="965"/>
    </row>
    <row r="3" spans="1:16" ht="11.25" customHeight="1" x14ac:dyDescent="0.2"/>
    <row r="4" spans="1:16" ht="28.5" customHeight="1" x14ac:dyDescent="0.2">
      <c r="A4" s="970" t="s">
        <v>755</v>
      </c>
      <c r="B4" s="1055"/>
      <c r="C4" s="1055"/>
      <c r="D4" s="1055"/>
      <c r="E4" s="1055"/>
      <c r="F4" s="1055"/>
      <c r="G4" s="1055"/>
      <c r="H4" s="1055"/>
      <c r="I4" s="1055"/>
      <c r="J4" s="1055"/>
      <c r="K4" s="1055"/>
      <c r="L4" s="1055"/>
      <c r="M4" s="1055"/>
      <c r="N4" s="1055"/>
      <c r="O4" s="1055"/>
      <c r="P4" s="1055"/>
    </row>
    <row r="5" spans="1:16" ht="5.25" customHeight="1" x14ac:dyDescent="0.2">
      <c r="A5" s="385"/>
      <c r="B5" s="385"/>
      <c r="C5" s="385"/>
      <c r="D5" s="385"/>
      <c r="E5" s="385"/>
      <c r="F5" s="385"/>
      <c r="G5" s="385"/>
      <c r="H5" s="385"/>
      <c r="I5" s="385"/>
      <c r="J5" s="385"/>
      <c r="K5" s="385"/>
      <c r="L5" s="385"/>
      <c r="M5" s="385"/>
      <c r="N5" s="385"/>
      <c r="O5" s="385"/>
      <c r="P5" s="385"/>
    </row>
    <row r="6" spans="1:16" ht="72" customHeight="1" x14ac:dyDescent="0.2">
      <c r="A6" s="1055" t="s">
        <v>438</v>
      </c>
      <c r="B6" s="1058"/>
      <c r="C6" s="1058"/>
      <c r="D6" s="1058"/>
      <c r="E6" s="1058"/>
      <c r="F6" s="1058"/>
      <c r="G6" s="1058"/>
      <c r="H6" s="1058"/>
      <c r="I6" s="1058"/>
      <c r="J6" s="1058"/>
      <c r="K6" s="1058"/>
      <c r="L6" s="1058"/>
      <c r="M6" s="1058"/>
      <c r="N6" s="1058"/>
      <c r="O6" s="1058"/>
      <c r="P6" s="1058"/>
    </row>
    <row r="7" spans="1:16" ht="5.25" customHeight="1" x14ac:dyDescent="0.2"/>
    <row r="8" spans="1:16" ht="9" customHeight="1" x14ac:dyDescent="0.2"/>
    <row r="9" spans="1:16" ht="12.75" customHeight="1" x14ac:dyDescent="0.2">
      <c r="B9" s="38" t="s">
        <v>649</v>
      </c>
      <c r="C9" s="858" t="s">
        <v>412</v>
      </c>
      <c r="D9" s="858"/>
      <c r="E9" s="858"/>
      <c r="F9" s="858"/>
      <c r="G9" s="858"/>
      <c r="H9" s="858"/>
      <c r="I9" s="858"/>
      <c r="J9" s="858"/>
      <c r="K9" s="858"/>
      <c r="L9" s="858"/>
      <c r="M9" s="858"/>
      <c r="N9" s="858"/>
      <c r="O9" s="858"/>
      <c r="P9" s="858"/>
    </row>
    <row r="10" spans="1:16" ht="12.75" customHeight="1" x14ac:dyDescent="0.2">
      <c r="B10" s="38"/>
      <c r="C10" s="858"/>
      <c r="D10" s="858"/>
      <c r="E10" s="858"/>
      <c r="F10" s="858"/>
      <c r="G10" s="858"/>
      <c r="H10" s="858"/>
      <c r="I10" s="858"/>
      <c r="J10" s="858"/>
      <c r="K10" s="858"/>
      <c r="L10" s="858"/>
      <c r="M10" s="858"/>
      <c r="N10" s="858"/>
      <c r="O10" s="858"/>
      <c r="P10" s="858"/>
    </row>
    <row r="11" spans="1:16" ht="5.25" customHeight="1" x14ac:dyDescent="0.2">
      <c r="B11" s="38"/>
      <c r="C11" s="34"/>
      <c r="D11" s="34"/>
      <c r="E11" s="34"/>
      <c r="F11" s="34"/>
      <c r="G11" s="34"/>
      <c r="H11" s="34"/>
      <c r="I11" s="34"/>
      <c r="J11" s="34"/>
      <c r="K11" s="34"/>
      <c r="L11" s="34"/>
      <c r="M11" s="34"/>
      <c r="N11" s="34"/>
      <c r="O11" s="34"/>
      <c r="P11" s="34"/>
    </row>
    <row r="12" spans="1:16" ht="12.75" customHeight="1" x14ac:dyDescent="0.2">
      <c r="B12" s="38"/>
      <c r="C12" s="34"/>
      <c r="D12" s="34"/>
      <c r="E12" s="34"/>
      <c r="F12" s="34"/>
      <c r="G12" s="34"/>
      <c r="H12" s="34"/>
      <c r="I12" s="34"/>
      <c r="J12" s="34"/>
      <c r="K12" s="34"/>
      <c r="L12" s="34"/>
      <c r="M12" s="34"/>
      <c r="N12" s="34"/>
      <c r="O12" s="34"/>
    </row>
    <row r="13" spans="1:16" ht="6" customHeight="1" x14ac:dyDescent="0.2"/>
    <row r="14" spans="1:16" x14ac:dyDescent="0.2">
      <c r="C14" s="1057"/>
      <c r="D14" s="1057"/>
      <c r="E14" s="1057"/>
      <c r="F14" s="1057"/>
      <c r="G14" s="1057"/>
      <c r="H14" s="1057"/>
      <c r="I14" s="1057"/>
      <c r="J14" s="1057"/>
      <c r="K14" s="1057"/>
      <c r="L14" s="1057"/>
      <c r="M14" s="1057"/>
      <c r="N14" s="1057"/>
      <c r="O14" s="1057"/>
    </row>
    <row r="15" spans="1:16" ht="25.5" customHeight="1" x14ac:dyDescent="0.2">
      <c r="A15" s="765" t="s">
        <v>333</v>
      </c>
      <c r="B15" s="971" t="s">
        <v>101</v>
      </c>
      <c r="C15" s="972"/>
      <c r="D15" s="972"/>
      <c r="E15" s="972"/>
      <c r="F15" s="972"/>
      <c r="G15" s="972"/>
      <c r="H15" s="972"/>
      <c r="I15" s="972"/>
      <c r="J15" s="972"/>
      <c r="K15" s="972"/>
      <c r="L15" s="972"/>
      <c r="M15" s="972"/>
      <c r="N15" s="972"/>
      <c r="O15" s="973"/>
      <c r="P15" s="41"/>
    </row>
    <row r="16" spans="1:16" ht="12.75" customHeight="1" x14ac:dyDescent="0.2">
      <c r="B16" s="41"/>
      <c r="C16" s="32"/>
      <c r="D16" s="32"/>
      <c r="E16" s="32"/>
      <c r="F16" s="32"/>
      <c r="G16" s="32"/>
      <c r="H16" s="31"/>
      <c r="I16" s="32"/>
      <c r="J16" s="32"/>
      <c r="K16" s="32"/>
      <c r="L16" s="32"/>
      <c r="M16" s="32"/>
      <c r="N16" s="32"/>
    </row>
    <row r="17" spans="1:15" x14ac:dyDescent="0.2">
      <c r="B17" s="41"/>
      <c r="C17" s="32"/>
      <c r="D17" s="32"/>
      <c r="E17" s="32"/>
      <c r="F17" s="32"/>
      <c r="G17" s="32"/>
      <c r="H17" s="31"/>
      <c r="I17" s="32"/>
      <c r="J17" s="83" t="s">
        <v>90</v>
      </c>
      <c r="K17" s="83"/>
      <c r="L17" s="83"/>
      <c r="M17" s="83"/>
      <c r="N17" s="83"/>
    </row>
    <row r="18" spans="1:15" x14ac:dyDescent="0.2">
      <c r="H18" s="9"/>
      <c r="I18" s="9"/>
      <c r="J18" s="3" t="s">
        <v>644</v>
      </c>
      <c r="L18" s="43"/>
      <c r="M18" s="43"/>
      <c r="N18" s="43"/>
    </row>
    <row r="19" spans="1:15" ht="6" customHeight="1" x14ac:dyDescent="0.2">
      <c r="H19" s="9"/>
      <c r="I19" s="9"/>
    </row>
    <row r="20" spans="1:15" ht="13.5" customHeight="1" x14ac:dyDescent="0.2">
      <c r="B20" s="38" t="s">
        <v>649</v>
      </c>
      <c r="C20" s="859" t="s">
        <v>31</v>
      </c>
      <c r="D20" s="859"/>
      <c r="E20" s="859"/>
      <c r="F20" s="859"/>
      <c r="G20" s="859"/>
      <c r="H20" s="859"/>
      <c r="I20" s="9"/>
      <c r="J20" s="31"/>
    </row>
    <row r="21" spans="1:15" ht="15" customHeight="1" x14ac:dyDescent="0.2">
      <c r="B21" s="38"/>
      <c r="C21" s="859"/>
      <c r="D21" s="859"/>
      <c r="E21" s="859"/>
      <c r="F21" s="859"/>
      <c r="G21" s="859"/>
      <c r="H21" s="859"/>
      <c r="I21" s="9"/>
      <c r="J21" s="31"/>
    </row>
    <row r="22" spans="1:15" x14ac:dyDescent="0.2">
      <c r="C22" s="349" t="s">
        <v>704</v>
      </c>
      <c r="H22"/>
      <c r="I22" s="9"/>
      <c r="J22" s="227">
        <v>400000</v>
      </c>
      <c r="N22" s="11"/>
    </row>
    <row r="23" spans="1:15" x14ac:dyDescent="0.2">
      <c r="C23" s="355" t="s">
        <v>707</v>
      </c>
      <c r="H23"/>
      <c r="I23" s="9"/>
      <c r="J23" s="227">
        <v>25000</v>
      </c>
      <c r="N23" s="11"/>
    </row>
    <row r="24" spans="1:15" x14ac:dyDescent="0.2">
      <c r="C24" s="355" t="s">
        <v>1655</v>
      </c>
      <c r="H24"/>
      <c r="I24" s="9"/>
      <c r="J24" s="227">
        <v>0</v>
      </c>
      <c r="N24" s="11"/>
    </row>
    <row r="25" spans="1:15" x14ac:dyDescent="0.2">
      <c r="C25" s="355" t="s">
        <v>705</v>
      </c>
      <c r="H25"/>
      <c r="I25" s="9"/>
      <c r="J25" s="227">
        <v>0</v>
      </c>
      <c r="N25" s="11"/>
    </row>
    <row r="26" spans="1:15" x14ac:dyDescent="0.2">
      <c r="H26" s="9"/>
      <c r="I26" s="9"/>
      <c r="J26" s="228"/>
      <c r="N26" s="11"/>
    </row>
    <row r="27" spans="1:15" ht="7.5" customHeight="1" x14ac:dyDescent="0.2">
      <c r="H27" s="9"/>
      <c r="I27" s="9"/>
      <c r="J27" s="31"/>
    </row>
    <row r="28" spans="1:15" ht="17.25" thickBot="1" x14ac:dyDescent="0.4">
      <c r="D28" t="s">
        <v>609</v>
      </c>
      <c r="H28" s="9"/>
      <c r="I28" s="53"/>
      <c r="J28" s="71">
        <f>SUM(J22:J26)</f>
        <v>425000</v>
      </c>
    </row>
    <row r="29" spans="1:15" ht="17.25" thickTop="1" x14ac:dyDescent="0.35">
      <c r="H29" s="9"/>
      <c r="I29" s="53"/>
      <c r="J29" s="8"/>
    </row>
    <row r="30" spans="1:15" ht="12.75" customHeight="1" x14ac:dyDescent="0.2"/>
    <row r="31" spans="1:15" ht="25.5" customHeight="1" x14ac:dyDescent="0.2">
      <c r="A31" s="765" t="s">
        <v>334</v>
      </c>
      <c r="B31" s="971" t="s">
        <v>310</v>
      </c>
      <c r="C31" s="972"/>
      <c r="D31" s="972"/>
      <c r="E31" s="972"/>
      <c r="F31" s="972"/>
      <c r="G31" s="972"/>
      <c r="H31" s="972"/>
      <c r="I31" s="972"/>
      <c r="J31" s="972"/>
      <c r="K31" s="972"/>
      <c r="L31" s="972"/>
      <c r="M31" s="972"/>
      <c r="N31" s="972"/>
      <c r="O31" s="973"/>
    </row>
    <row r="32" spans="1:15" ht="19.5" customHeight="1" x14ac:dyDescent="0.2"/>
    <row r="33" spans="1:19" ht="12.75" customHeight="1" x14ac:dyDescent="0.2">
      <c r="L33" s="46" t="s">
        <v>645</v>
      </c>
      <c r="N33" s="46" t="s">
        <v>646</v>
      </c>
    </row>
    <row r="34" spans="1:19" ht="12.75" customHeight="1" x14ac:dyDescent="0.2">
      <c r="D34" t="s">
        <v>161</v>
      </c>
      <c r="E34" t="s">
        <v>102</v>
      </c>
      <c r="F34" t="s">
        <v>704</v>
      </c>
      <c r="L34" s="69">
        <f>J22</f>
        <v>400000</v>
      </c>
      <c r="M34" s="36"/>
      <c r="N34" s="69"/>
    </row>
    <row r="35" spans="1:19" ht="12.75" customHeight="1" x14ac:dyDescent="0.2">
      <c r="E35" t="s">
        <v>102</v>
      </c>
      <c r="F35" t="s">
        <v>707</v>
      </c>
      <c r="L35" s="69">
        <f>J23</f>
        <v>25000</v>
      </c>
      <c r="M35" s="36"/>
      <c r="N35" s="69"/>
    </row>
    <row r="36" spans="1:19" ht="12.75" customHeight="1" x14ac:dyDescent="0.2">
      <c r="E36" t="s">
        <v>102</v>
      </c>
      <c r="F36" t="s">
        <v>706</v>
      </c>
      <c r="L36" s="69">
        <f>J24</f>
        <v>0</v>
      </c>
      <c r="M36" s="36"/>
      <c r="N36" s="69"/>
    </row>
    <row r="37" spans="1:19" ht="12.75" customHeight="1" x14ac:dyDescent="0.2">
      <c r="E37" t="s">
        <v>102</v>
      </c>
      <c r="F37" t="s">
        <v>708</v>
      </c>
      <c r="L37" s="69">
        <f>J25</f>
        <v>0</v>
      </c>
      <c r="M37" s="36"/>
      <c r="N37" s="69"/>
    </row>
    <row r="38" spans="1:19" ht="12.75" customHeight="1" x14ac:dyDescent="0.2">
      <c r="F38" s="349" t="s">
        <v>704</v>
      </c>
      <c r="L38" s="69"/>
      <c r="M38" s="36"/>
      <c r="N38" s="69">
        <f>J22</f>
        <v>400000</v>
      </c>
    </row>
    <row r="39" spans="1:19" ht="12.75" customHeight="1" x14ac:dyDescent="0.2">
      <c r="F39" s="355" t="s">
        <v>707</v>
      </c>
      <c r="L39" s="69"/>
      <c r="M39" s="36"/>
      <c r="N39" s="69">
        <f>J23</f>
        <v>25000</v>
      </c>
    </row>
    <row r="40" spans="1:19" ht="12.75" customHeight="1" x14ac:dyDescent="0.2">
      <c r="F40" s="355" t="s">
        <v>706</v>
      </c>
      <c r="L40" s="69"/>
      <c r="M40" s="36"/>
      <c r="N40" s="69">
        <f>J24</f>
        <v>0</v>
      </c>
    </row>
    <row r="41" spans="1:19" ht="12.75" customHeight="1" x14ac:dyDescent="0.2">
      <c r="F41" s="355" t="s">
        <v>705</v>
      </c>
      <c r="L41" s="69"/>
      <c r="M41" s="36"/>
      <c r="N41" s="69">
        <f>J25</f>
        <v>0</v>
      </c>
    </row>
    <row r="42" spans="1:19" ht="12.75" customHeight="1" thickBot="1" x14ac:dyDescent="0.25">
      <c r="L42" s="62">
        <f>SUM(L34:L41)</f>
        <v>425000</v>
      </c>
      <c r="M42" s="36"/>
      <c r="N42" s="62">
        <f>SUM(N34:N41)</f>
        <v>425000</v>
      </c>
    </row>
    <row r="43" spans="1:19" ht="12.75" customHeight="1" thickTop="1" x14ac:dyDescent="0.2">
      <c r="L43" s="5"/>
    </row>
    <row r="44" spans="1:19" ht="12.75" customHeight="1" x14ac:dyDescent="0.2"/>
    <row r="45" spans="1:19" ht="12.75" customHeight="1" x14ac:dyDescent="0.2">
      <c r="A45"/>
      <c r="H45"/>
    </row>
    <row r="46" spans="1:19" ht="12.75" customHeight="1" x14ac:dyDescent="0.2"/>
    <row r="47" spans="1:19" ht="12.75" customHeight="1" x14ac:dyDescent="0.2">
      <c r="J47" s="1059"/>
      <c r="K47" s="1059"/>
      <c r="L47" s="1059"/>
      <c r="M47" s="1059"/>
      <c r="N47" s="1059"/>
      <c r="O47" s="1059"/>
      <c r="P47" s="1059"/>
      <c r="Q47" s="1059"/>
      <c r="R47" s="1059"/>
      <c r="S47" s="1059"/>
    </row>
    <row r="48" spans="1:19" x14ac:dyDescent="0.2">
      <c r="J48" s="163"/>
      <c r="K48" s="163"/>
      <c r="L48" s="43"/>
      <c r="M48" s="43"/>
      <c r="N48" s="43"/>
      <c r="O48" s="83"/>
      <c r="P48" s="12"/>
      <c r="Q48" s="83"/>
      <c r="R48" s="83"/>
      <c r="S48" s="83"/>
    </row>
    <row r="49" spans="1:19" ht="6.75" customHeight="1" x14ac:dyDescent="0.2">
      <c r="J49" s="12"/>
      <c r="K49" s="12"/>
      <c r="L49" s="12"/>
      <c r="M49" s="12"/>
      <c r="N49" s="12"/>
      <c r="O49" s="12"/>
      <c r="P49" s="12"/>
      <c r="Q49" s="12"/>
      <c r="R49" s="12"/>
      <c r="S49" s="12"/>
    </row>
    <row r="50" spans="1:19" ht="12.75" customHeight="1" x14ac:dyDescent="0.2">
      <c r="F50" s="1"/>
      <c r="H50"/>
      <c r="J50" s="31"/>
      <c r="K50" s="31"/>
      <c r="L50" s="12"/>
      <c r="M50" s="12"/>
      <c r="N50" s="12"/>
      <c r="O50" s="12"/>
      <c r="P50" s="12"/>
      <c r="Q50" s="12"/>
      <c r="R50" s="10"/>
      <c r="S50" s="10"/>
    </row>
    <row r="51" spans="1:19" x14ac:dyDescent="0.2">
      <c r="F51" s="1"/>
      <c r="H51"/>
      <c r="J51" s="31"/>
      <c r="K51" s="31"/>
      <c r="L51" s="12"/>
      <c r="M51" s="12"/>
      <c r="N51" s="12"/>
      <c r="O51" s="12"/>
      <c r="P51" s="12"/>
      <c r="Q51" s="12"/>
      <c r="R51" s="10"/>
      <c r="S51" s="10"/>
    </row>
    <row r="52" spans="1:19" x14ac:dyDescent="0.2">
      <c r="F52" s="1"/>
      <c r="H52"/>
      <c r="J52" s="31"/>
      <c r="K52" s="31"/>
      <c r="L52" s="12"/>
      <c r="M52" s="12"/>
      <c r="N52" s="12"/>
      <c r="O52" s="12"/>
      <c r="P52" s="12"/>
      <c r="Q52" s="12"/>
      <c r="R52" s="10"/>
      <c r="S52" s="10"/>
    </row>
    <row r="53" spans="1:19" x14ac:dyDescent="0.2">
      <c r="F53" s="1"/>
      <c r="H53"/>
      <c r="J53" s="31"/>
      <c r="K53" s="31"/>
      <c r="L53" s="8"/>
      <c r="M53" s="12"/>
      <c r="N53" s="12"/>
      <c r="O53" s="12"/>
      <c r="P53" s="12"/>
      <c r="Q53" s="12"/>
      <c r="R53" s="10"/>
      <c r="S53" s="10"/>
    </row>
    <row r="54" spans="1:19" x14ac:dyDescent="0.2">
      <c r="F54" s="1"/>
      <c r="H54"/>
      <c r="J54" s="31"/>
      <c r="K54" s="31"/>
      <c r="L54" s="12"/>
      <c r="M54" s="12"/>
      <c r="N54" s="12"/>
      <c r="O54" s="12"/>
      <c r="P54" s="12"/>
      <c r="Q54" s="12"/>
      <c r="R54" s="10"/>
      <c r="S54" s="10"/>
    </row>
    <row r="55" spans="1:19" x14ac:dyDescent="0.2">
      <c r="F55" s="1"/>
      <c r="H55"/>
      <c r="J55" s="31"/>
      <c r="K55" s="31"/>
      <c r="L55" s="10"/>
      <c r="M55" s="12"/>
      <c r="N55" s="10"/>
      <c r="O55" s="12"/>
      <c r="P55" s="12"/>
      <c r="Q55" s="10"/>
      <c r="R55" s="10"/>
      <c r="S55" s="10"/>
    </row>
    <row r="56" spans="1:19" s="11" customFormat="1" x14ac:dyDescent="0.2">
      <c r="A56" s="104"/>
      <c r="F56" s="77"/>
      <c r="J56" s="31"/>
      <c r="K56" s="31"/>
      <c r="L56" s="8"/>
      <c r="M56" s="32"/>
      <c r="N56" s="8"/>
      <c r="O56" s="32"/>
      <c r="P56" s="32"/>
      <c r="Q56" s="8"/>
      <c r="R56" s="8"/>
      <c r="S56" s="8"/>
    </row>
    <row r="57" spans="1:19" s="11" customFormat="1" x14ac:dyDescent="0.2">
      <c r="A57" s="104"/>
      <c r="F57" s="77"/>
      <c r="J57" s="31"/>
      <c r="K57" s="31"/>
      <c r="L57" s="8"/>
      <c r="M57" s="32"/>
      <c r="N57" s="32"/>
      <c r="O57" s="32"/>
      <c r="P57" s="32"/>
      <c r="Q57" s="8"/>
      <c r="R57" s="8"/>
      <c r="S57" s="8"/>
    </row>
    <row r="58" spans="1:19" x14ac:dyDescent="0.2">
      <c r="F58" s="1"/>
      <c r="H58"/>
      <c r="J58" s="31"/>
      <c r="K58" s="31"/>
      <c r="L58" s="10"/>
      <c r="M58" s="12"/>
      <c r="N58" s="12"/>
      <c r="O58" s="10"/>
      <c r="P58" s="12"/>
      <c r="Q58" s="12"/>
      <c r="R58" s="10"/>
      <c r="S58" s="10"/>
    </row>
    <row r="59" spans="1:19" x14ac:dyDescent="0.2">
      <c r="F59" s="1"/>
      <c r="H59"/>
      <c r="J59" s="31"/>
      <c r="K59" s="31"/>
      <c r="L59" s="12"/>
      <c r="M59" s="12"/>
      <c r="N59" s="10"/>
      <c r="O59" s="12"/>
      <c r="P59" s="12"/>
      <c r="Q59" s="12"/>
      <c r="R59" s="10"/>
      <c r="S59" s="10"/>
    </row>
    <row r="60" spans="1:19" x14ac:dyDescent="0.2">
      <c r="D60" s="11"/>
      <c r="E60" s="11"/>
      <c r="F60" s="77"/>
      <c r="G60" s="11"/>
      <c r="H60" s="11"/>
      <c r="I60" s="11"/>
      <c r="J60" s="31"/>
      <c r="K60" s="31"/>
      <c r="L60" s="32"/>
      <c r="M60" s="32"/>
      <c r="N60" s="8"/>
      <c r="O60" s="12"/>
      <c r="P60" s="12"/>
      <c r="Q60" s="12"/>
      <c r="R60" s="10"/>
      <c r="S60" s="10"/>
    </row>
    <row r="61" spans="1:19" x14ac:dyDescent="0.2">
      <c r="D61" s="11"/>
      <c r="E61" s="11"/>
      <c r="F61" s="77"/>
      <c r="G61" s="11"/>
      <c r="H61" s="11"/>
      <c r="I61" s="11"/>
      <c r="J61" s="31"/>
      <c r="K61" s="31"/>
      <c r="L61" s="32"/>
      <c r="M61" s="32"/>
      <c r="N61" s="8"/>
      <c r="O61" s="10"/>
      <c r="P61" s="12"/>
      <c r="Q61" s="12"/>
      <c r="R61" s="10"/>
      <c r="S61" s="10"/>
    </row>
    <row r="62" spans="1:19" x14ac:dyDescent="0.2">
      <c r="F62" s="1"/>
      <c r="H62"/>
      <c r="J62" s="31"/>
      <c r="K62" s="31"/>
      <c r="L62" s="12"/>
      <c r="M62" s="12"/>
      <c r="N62" s="12"/>
      <c r="O62" s="12"/>
      <c r="P62" s="12"/>
      <c r="Q62" s="12"/>
      <c r="R62" s="10"/>
      <c r="S62" s="10"/>
    </row>
    <row r="63" spans="1:19" x14ac:dyDescent="0.2">
      <c r="F63" s="1"/>
      <c r="H63"/>
      <c r="J63" s="31"/>
      <c r="K63" s="31"/>
      <c r="L63" s="12"/>
      <c r="M63" s="12"/>
      <c r="N63" s="10"/>
      <c r="O63" s="12"/>
      <c r="P63" s="12"/>
      <c r="Q63" s="12"/>
      <c r="R63" s="10"/>
      <c r="S63" s="10"/>
    </row>
    <row r="64" spans="1:19" x14ac:dyDescent="0.2">
      <c r="F64" s="1"/>
      <c r="H64"/>
      <c r="J64" s="31"/>
      <c r="K64" s="31"/>
      <c r="L64" s="12"/>
      <c r="M64" s="12"/>
      <c r="N64" s="12"/>
      <c r="O64" s="10"/>
      <c r="P64" s="12"/>
      <c r="Q64" s="12"/>
      <c r="R64" s="10"/>
      <c r="S64" s="10"/>
    </row>
    <row r="65" spans="6:19" x14ac:dyDescent="0.2">
      <c r="F65" s="1"/>
      <c r="H65"/>
      <c r="J65" s="31"/>
      <c r="K65" s="31"/>
      <c r="L65" s="10"/>
      <c r="M65" s="12"/>
      <c r="N65" s="10"/>
      <c r="O65" s="12"/>
      <c r="P65" s="12"/>
      <c r="Q65" s="12"/>
      <c r="R65" s="10"/>
      <c r="S65" s="10"/>
    </row>
    <row r="66" spans="6:19" x14ac:dyDescent="0.2">
      <c r="F66" s="1"/>
      <c r="H66"/>
      <c r="J66" s="31"/>
      <c r="K66" s="31"/>
      <c r="L66" s="12"/>
      <c r="M66" s="12"/>
      <c r="N66" s="12"/>
      <c r="O66" s="12"/>
      <c r="P66" s="12"/>
      <c r="Q66" s="12"/>
      <c r="R66" s="10"/>
      <c r="S66" s="10"/>
    </row>
    <row r="67" spans="6:19" x14ac:dyDescent="0.2">
      <c r="F67" s="1"/>
      <c r="H67"/>
      <c r="J67" s="31"/>
      <c r="K67" s="31"/>
      <c r="L67" s="12"/>
      <c r="M67" s="12"/>
      <c r="N67" s="12"/>
      <c r="O67" s="12"/>
      <c r="P67" s="12"/>
      <c r="Q67" s="12"/>
      <c r="R67" s="10"/>
      <c r="S67" s="10"/>
    </row>
    <row r="68" spans="6:19" x14ac:dyDescent="0.2">
      <c r="F68" s="1"/>
      <c r="H68"/>
      <c r="J68" s="31"/>
      <c r="K68" s="31"/>
      <c r="L68" s="12"/>
      <c r="M68" s="12"/>
      <c r="N68" s="12"/>
      <c r="O68" s="12"/>
      <c r="P68" s="12"/>
      <c r="Q68" s="12"/>
      <c r="R68" s="10"/>
      <c r="S68" s="10"/>
    </row>
    <row r="69" spans="6:19" ht="5.25" customHeight="1" x14ac:dyDescent="0.2">
      <c r="F69" s="1"/>
      <c r="H69"/>
      <c r="J69" s="31"/>
      <c r="K69" s="31"/>
      <c r="L69" s="12"/>
      <c r="M69" s="12"/>
      <c r="N69" s="12"/>
      <c r="O69" s="12"/>
      <c r="P69" s="12"/>
      <c r="Q69" s="12"/>
      <c r="R69" s="12"/>
      <c r="S69" s="12"/>
    </row>
    <row r="70" spans="6:19" x14ac:dyDescent="0.2">
      <c r="F70" s="1"/>
      <c r="H70"/>
      <c r="J70" s="10"/>
      <c r="K70" s="10"/>
      <c r="L70" s="10"/>
      <c r="M70" s="10"/>
      <c r="N70" s="10"/>
      <c r="O70" s="10"/>
      <c r="P70" s="10"/>
      <c r="Q70" s="10"/>
      <c r="R70" s="10"/>
      <c r="S70" s="10"/>
    </row>
    <row r="71" spans="6:19" x14ac:dyDescent="0.2">
      <c r="F71" s="1"/>
      <c r="H71"/>
    </row>
    <row r="79" spans="6:19" x14ac:dyDescent="0.2">
      <c r="L79" s="11"/>
    </row>
  </sheetData>
  <sheetProtection algorithmName="SHA-512" hashValue="/8McQ6xKdIDGxiegt17HeovLOAhGiISGmT0fNukh7rCNJ7HXZS99wg5P+3gcODQHQK52Cr85FKHTCtZf36qROQ==" saltValue="r/gx0JLJcDxE8ZomgfXTNA==" spinCount="100000" sheet="1" objects="1" scenarios="1"/>
  <mergeCells count="12">
    <mergeCell ref="C20:H21"/>
    <mergeCell ref="B31:O31"/>
    <mergeCell ref="R47:S47"/>
    <mergeCell ref="J47:K47"/>
    <mergeCell ref="L47:N47"/>
    <mergeCell ref="O47:Q47"/>
    <mergeCell ref="A2:P2"/>
    <mergeCell ref="C9:P10"/>
    <mergeCell ref="B15:O15"/>
    <mergeCell ref="C14:O14"/>
    <mergeCell ref="A4:P4"/>
    <mergeCell ref="A6:P6"/>
  </mergeCells>
  <phoneticPr fontId="0" type="noConversion"/>
  <printOptions horizontalCentered="1"/>
  <pageMargins left="0.36" right="0.37" top="0.71" bottom="0.5" header="0.5" footer="0.5"/>
  <pageSetup scale="75" orientation="portrait" r:id="rId1"/>
  <headerFooter alignWithMargins="0">
    <oddHeader>&amp;R&amp;"Arial,Bold"&amp;12Entry F</oddHeader>
    <oddFooter>&amp;R &amp;P</oddFooter>
  </headerFooter>
  <rowBreaks count="1" manualBreakCount="1">
    <brk id="43" max="18" man="1"/>
  </rowBreaks>
  <ignoredErrors>
    <ignoredError sqref="B20 B9" numberStoredAsText="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LongProperties xmlns="http://schemas.microsoft.com/office/2006/metadata/long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file>

<file path=customXml/item4.xml><?xml version="1.0" encoding="utf-8"?>
<ct:contentTypeSchema xmlns:ct="http://schemas.microsoft.com/office/2006/metadata/contentType" xmlns:ma="http://schemas.microsoft.com/office/2006/metadata/properties/metaAttributes" ct:_="" ma:_="" ma:contentTypeName="Document" ma:contentTypeID="0x01010063E6D748AC7C9C43A96C5224165110D7" ma:contentTypeVersion="14" ma:contentTypeDescription="Create a new document." ma:contentTypeScope="" ma:versionID="04c839d3a56f026a73d1cf96db788e9e">
  <xsd:schema xmlns:xsd="http://www.w3.org/2001/XMLSchema" xmlns:xs="http://www.w3.org/2001/XMLSchema" xmlns:p="http://schemas.microsoft.com/office/2006/metadata/properties" xmlns:ns2="b0d8bf0e-b15b-456f-8ae4-2bdf59acac1f" xmlns:ns3="d4ea4015-5b02-447c-9074-d5807a41497e" targetNamespace="http://schemas.microsoft.com/office/2006/metadata/properties" ma:root="true" ma:fieldsID="9e4fe7c83c102520a0fb93416c304af6" ns2:_="" ns3:_="">
    <xsd:import namespace="b0d8bf0e-b15b-456f-8ae4-2bdf59acac1f"/>
    <xsd:import namespace="d4ea4015-5b02-447c-9074-d5807a41497e"/>
    <xsd:element name="properties">
      <xsd:complexType>
        <xsd:sequence>
          <xsd:element name="documentManagement">
            <xsd:complexType>
              <xsd:all>
                <xsd:element ref="ns2:Category" minOccurs="0"/>
                <xsd:element ref="ns2:Description0" minOccurs="0"/>
                <xsd:element ref="ns2:Publication_x0020_Date" minOccurs="0"/>
                <xsd:element ref="ns2:Resource_x0020_Category" minOccurs="0"/>
                <xsd:element ref="ns2:Resource_x0020_Group" minOccurs="0"/>
                <xsd:element ref="ns2:Sort_x0020_Order" minOccurs="0"/>
                <xsd:element ref="ns3:_dlc_DocId" minOccurs="0"/>
                <xsd:element ref="ns3:_dlc_DocIdUrl" minOccurs="0"/>
                <xsd:element ref="ns3:_dlc_DocIdPersistId"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0d8bf0e-b15b-456f-8ae4-2bdf59acac1f" elementFormDefault="qualified">
    <xsd:import namespace="http://schemas.microsoft.com/office/2006/documentManagement/types"/>
    <xsd:import namespace="http://schemas.microsoft.com/office/infopath/2007/PartnerControls"/>
    <xsd:element name="Category" ma:index="4" nillable="true" ma:displayName="Category" ma:description="Category" ma:internalName="Category" ma:readOnly="false">
      <xsd:simpleType>
        <xsd:restriction base="dms:Text">
          <xsd:maxLength value="255"/>
        </xsd:restriction>
      </xsd:simpleType>
    </xsd:element>
    <xsd:element name="Description0" ma:index="5" nillable="true" ma:displayName="Description" ma:description="Description" ma:internalName="Description0" ma:readOnly="false">
      <xsd:simpleType>
        <xsd:restriction base="dms:Text">
          <xsd:maxLength value="255"/>
        </xsd:restriction>
      </xsd:simpleType>
    </xsd:element>
    <xsd:element name="Publication_x0020_Date" ma:index="7" nillable="true" ma:displayName="Publication Date" ma:description="Publication Date" ma:internalName="Publication_x0020_Date" ma:readOnly="false">
      <xsd:simpleType>
        <xsd:restriction base="dms:Text">
          <xsd:maxLength value="255"/>
        </xsd:restriction>
      </xsd:simpleType>
    </xsd:element>
    <xsd:element name="Resource_x0020_Category" ma:index="8" nillable="true" ma:displayName="Resource Category" ma:description="Determines if the item appears on the Sample Financial Statements page OR the Aids to Financial Statement Preparation page" ma:format="Dropdown" ma:internalName="Resource_x0020_Category" ma:readOnly="false">
      <xsd:simpleType>
        <xsd:restriction base="dms:Choice">
          <xsd:enumeration value="Sample Financial Statement"/>
          <xsd:enumeration value="Preparation Aid"/>
        </xsd:restriction>
      </xsd:simpleType>
    </xsd:element>
    <xsd:element name="Resource_x0020_Group" ma:index="9" nillable="true" ma:displayName="Resource Group" ma:format="Dropdown" ma:internalName="Resource_x0020_Group" ma:readOnly="false">
      <xsd:simpleType>
        <xsd:restriction base="dms:Choice">
          <xsd:enumeration value="Board of Education Specific Worksheets"/>
          <xsd:enumeration value="Charter School Specific Worksheets"/>
          <xsd:enumeration value="County Specific Worksheets"/>
          <xsd:enumeration value="Municipal Specific Worksheets"/>
          <xsd:enumeration value="Writing a Management Discussion &amp; Analysis"/>
        </xsd:restriction>
      </xsd:simpleType>
    </xsd:element>
    <xsd:element name="Sort_x0020_Order" ma:index="10" nillable="true" ma:displayName="Sort Order" ma:internalName="Sort_x0020_Order" ma:readOnly="false"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d4ea4015-5b02-447c-9074-d5807a41497e" elementFormDefault="qualified">
    <xsd:import namespace="http://schemas.microsoft.com/office/2006/documentManagement/types"/>
    <xsd:import namespace="http://schemas.microsoft.com/office/infopath/2007/PartnerControls"/>
    <xsd:element name="_dlc_DocId" ma:index="15" nillable="true" ma:displayName="Document ID Value" ma:description="The value of the document ID assigned to this item." ma:internalName="_dlc_DocId" ma:readOnly="true">
      <xsd:simpleType>
        <xsd:restriction base="dms:Text"/>
      </xsd:simpleType>
    </xsd:element>
    <xsd:element name="_dlc_DocIdUrl" ma:index="16"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7" nillable="true" ma:displayName="Persist ID" ma:description="Keep ID on add." ma:hidden="true" ma:internalName="_dlc_DocIdPersistId" ma:readOnly="true">
      <xsd:simpleType>
        <xsd:restriction base="dms:Boolean"/>
      </xsd:simpleType>
    </xsd:element>
    <xsd:element name="SharedWithUsers" ma:index="1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1" ma:displayName="Content Type"/>
        <xsd:element ref="dc:title" minOccurs="0" maxOccurs="1" ma:index="3" ma:displayName="Title"/>
        <xsd:element ref="dc:subject" minOccurs="0" maxOccurs="1"/>
        <xsd:element ref="dc:description" minOccurs="0" maxOccurs="1"/>
        <xsd:element name="keywords" minOccurs="0" maxOccurs="1" type="xsd:string" ma:index="6"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p:properties xmlns:p="http://schemas.microsoft.com/office/2006/metadata/properties" xmlns:xsi="http://www.w3.org/2001/XMLSchema-instance" xmlns:pc="http://schemas.microsoft.com/office/infopath/2007/PartnerControls">
  <documentManagement>
    <Sort_x0020_Order xmlns="b0d8bf0e-b15b-456f-8ae4-2bdf59acac1f">2</Sort_x0020_Order>
    <Resource_x0020_Category xmlns="b0d8bf0e-b15b-456f-8ae4-2bdf59acac1f">Preparation Aid</Resource_x0020_Category>
    <Publication_x0020_Date xmlns="b0d8bf0e-b15b-456f-8ae4-2bdf59acac1f">06/16/2016</Publication_x0020_Date>
    <Resource_x0020_Group xmlns="b0d8bf0e-b15b-456f-8ae4-2bdf59acac1f">Board of Education Specific Worksheets</Resource_x0020_Group>
    <Category xmlns="b0d8bf0e-b15b-456f-8ae4-2bdf59acac1f">Tools</Category>
    <Description0 xmlns="b0d8bf0e-b15b-456f-8ae4-2bdf59acac1f">Carolina County BOE Governmental Activities Conversion Worksheet</Description0>
    <_dlc_DocId xmlns="d4ea4015-5b02-447c-9074-d5807a41497e" xsi:nil="true"/>
  </documentManagement>
</p:properties>
</file>

<file path=customXml/itemProps1.xml><?xml version="1.0" encoding="utf-8"?>
<ds:datastoreItem xmlns:ds="http://schemas.openxmlformats.org/officeDocument/2006/customXml" ds:itemID="{5F367078-AC38-4877-B01C-21D4245022C5}"/>
</file>

<file path=customXml/itemProps2.xml><?xml version="1.0" encoding="utf-8"?>
<ds:datastoreItem xmlns:ds="http://schemas.openxmlformats.org/officeDocument/2006/customXml" ds:itemID="{65186A96-B8B1-441F-A921-6B6E7B506647}"/>
</file>

<file path=customXml/itemProps3.xml><?xml version="1.0" encoding="utf-8"?>
<ds:datastoreItem xmlns:ds="http://schemas.openxmlformats.org/officeDocument/2006/customXml" ds:itemID="{CF60231D-06DA-4DE6-9C10-A44C3C68C8DB}"/>
</file>

<file path=customXml/itemProps4.xml><?xml version="1.0" encoding="utf-8"?>
<ds:datastoreItem xmlns:ds="http://schemas.openxmlformats.org/officeDocument/2006/customXml" ds:itemID="{F6C2DC78-B2FD-4B00-8948-343096F49F27}"/>
</file>

<file path=customXml/itemProps5.xml><?xml version="1.0" encoding="utf-8"?>
<ds:datastoreItem xmlns:ds="http://schemas.openxmlformats.org/officeDocument/2006/customXml" ds:itemID="{E82749B1-C01C-4DB0-8F7A-99B967FBC91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20</vt:i4>
      </vt:variant>
      <vt:variant>
        <vt:lpstr>Named Ranges</vt:lpstr>
      </vt:variant>
      <vt:variant>
        <vt:i4>31</vt:i4>
      </vt:variant>
    </vt:vector>
  </HeadingPairs>
  <TitlesOfParts>
    <vt:vector size="51" baseType="lpstr">
      <vt:lpstr>Instructions</vt:lpstr>
      <vt:lpstr>Conversion Worksheet</vt:lpstr>
      <vt:lpstr>Beginning Capital Assets &amp; LTD</vt:lpstr>
      <vt:lpstr>A. Revenue by Function</vt:lpstr>
      <vt:lpstr>B. Depreciation</vt:lpstr>
      <vt:lpstr>C. Capital Outlay &amp; Donations</vt:lpstr>
      <vt:lpstr>D.  Capital Asset Disposal</vt:lpstr>
      <vt:lpstr>E. Debt Service</vt:lpstr>
      <vt:lpstr>F. Debt Issues</vt:lpstr>
      <vt:lpstr>G.  Other Asset Entries</vt:lpstr>
      <vt:lpstr>H. Other Liabilities &amp; Expenses</vt:lpstr>
      <vt:lpstr>I. Eliminations-Consolidations</vt:lpstr>
      <vt:lpstr>J. GASB 68 TSERS</vt:lpstr>
      <vt:lpstr>Ja. TSERS 2018 Summary</vt:lpstr>
      <vt:lpstr>Jb. TSERS 2017 Summary</vt:lpstr>
      <vt:lpstr>K. GASB 75 RHBF</vt:lpstr>
      <vt:lpstr>Ka. 2018 RHBF Summary</vt:lpstr>
      <vt:lpstr>L. GASB 75 DIPNC</vt:lpstr>
      <vt:lpstr>La. 2018 DIPNC Summary</vt:lpstr>
      <vt:lpstr>Jb. TSERS Data PY</vt:lpstr>
      <vt:lpstr>ERData</vt:lpstr>
      <vt:lpstr>'A. Revenue by Function'!Print_Area</vt:lpstr>
      <vt:lpstr>'B. Depreciation'!Print_Area</vt:lpstr>
      <vt:lpstr>'C. Capital Outlay &amp; Donations'!Print_Area</vt:lpstr>
      <vt:lpstr>'Conversion Worksheet'!Print_Area</vt:lpstr>
      <vt:lpstr>'D.  Capital Asset Disposal'!Print_Area</vt:lpstr>
      <vt:lpstr>'E. Debt Service'!Print_Area</vt:lpstr>
      <vt:lpstr>'F. Debt Issues'!Print_Area</vt:lpstr>
      <vt:lpstr>'G.  Other Asset Entries'!Print_Area</vt:lpstr>
      <vt:lpstr>'H. Other Liabilities &amp; Expenses'!Print_Area</vt:lpstr>
      <vt:lpstr>'I. Eliminations-Consolidations'!Print_Area</vt:lpstr>
      <vt:lpstr>Instructions!Print_Area</vt:lpstr>
      <vt:lpstr>'Ja. TSERS 2018 Summary'!Print_Area</vt:lpstr>
      <vt:lpstr>'Jb. TSERS Data PY'!Print_Area</vt:lpstr>
      <vt:lpstr>'Ka. 2018 RHBF Summary'!Print_Area</vt:lpstr>
      <vt:lpstr>'L. GASB 75 DIPNC'!Print_Area</vt:lpstr>
      <vt:lpstr>'La. 2018 DIPNC Summary'!Print_Area</vt:lpstr>
      <vt:lpstr>'A. Revenue by Function'!Print_Titles</vt:lpstr>
      <vt:lpstr>'Beginning Capital Assets &amp; LTD'!Print_Titles</vt:lpstr>
      <vt:lpstr>'C. Capital Outlay &amp; Donations'!Print_Titles</vt:lpstr>
      <vt:lpstr>'Conversion Worksheet'!Print_Titles</vt:lpstr>
      <vt:lpstr>'D.  Capital Asset Disposal'!Print_Titles</vt:lpstr>
      <vt:lpstr>'E. Debt Service'!Print_Titles</vt:lpstr>
      <vt:lpstr>'F. Debt Issues'!Print_Titles</vt:lpstr>
      <vt:lpstr>'G.  Other Asset Entries'!Print_Titles</vt:lpstr>
      <vt:lpstr>'H. Other Liabilities &amp; Expenses'!Print_Titles</vt:lpstr>
      <vt:lpstr>'Ja. TSERS 2018 Summary'!Print_Titles</vt:lpstr>
      <vt:lpstr>'Jb. TSERS 2017 Summary'!Print_Titles</vt:lpstr>
      <vt:lpstr>'Jb. TSERS Data PY'!Print_Titles</vt:lpstr>
      <vt:lpstr>'Ka. 2018 RHBF Summary'!Print_Titles</vt:lpstr>
      <vt:lpstr>'La. 2018 DIPNC Summary'!Print_Titles</vt:lpstr>
    </vt:vector>
  </TitlesOfParts>
  <Company>NCDST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Carolina County BOE Governmental Activities Conversion Worksheet</dc:title>
  <dc:creator>LGC0206</dc:creator>
  <cp:keywords>Board of Education</cp:keywords>
  <cp:lastModifiedBy>Preeta Nayak</cp:lastModifiedBy>
  <cp:lastPrinted>2018-08-30T16:52:38Z</cp:lastPrinted>
  <dcterms:created xsi:type="dcterms:W3CDTF">2002-04-03T20:24:03Z</dcterms:created>
  <dcterms:modified xsi:type="dcterms:W3CDTF">2018-08-31T16:09:32Z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0x01010063E6D748AC7C9C43A96C5224165110D7</vt:lpwstr>
  </property>
  <property fmtid="{D5CDD505-2E9C-101B-9397-08002B2CF9AE}" pid="3" name="Order">
    <vt:lpwstr>2900.00000000000</vt:lpwstr>
  </property>
</Properties>
</file>