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G:\Norris\Board of Educ FS - FYE 2021\Final for Website\"/>
    </mc:Choice>
  </mc:AlternateContent>
  <xr:revisionPtr revIDLastSave="0" documentId="13_ncr:1_{3087A1C1-DE1D-4B27-852A-81D2ADE2484C}" xr6:coauthVersionLast="46" xr6:coauthVersionMax="46" xr10:uidLastSave="{00000000-0000-0000-0000-000000000000}"/>
  <bookViews>
    <workbookView xWindow="30630" yWindow="0" windowWidth="25155" windowHeight="13755" tabRatio="670" xr2:uid="{00000000-000D-0000-FFFF-FFFF00000000}"/>
  </bookViews>
  <sheets>
    <sheet name="MD&amp;A Tables" sheetId="27" r:id="rId1"/>
    <sheet name="GWNetPos" sheetId="3" r:id="rId2"/>
    <sheet name="GWStmtAct" sheetId="4" r:id="rId3"/>
    <sheet name="GASB34GovtFundsBS" sheetId="5" r:id="rId4"/>
    <sheet name="GASB34GovtFundsIS" sheetId="6" r:id="rId5"/>
    <sheet name="Recon Change Net Pos" sheetId="7" r:id="rId6"/>
    <sheet name="GASB34GovtFundsBudget" sheetId="8" r:id="rId7"/>
    <sheet name="Net Pos-Prop" sheetId="9" r:id="rId8"/>
    <sheet name="Rev, exp-Prop" sheetId="10" r:id="rId9"/>
    <sheet name="Cash Flow-Prop" sheetId="2" r:id="rId10"/>
    <sheet name="Fid Fund BS" sheetId="11" r:id="rId11"/>
    <sheet name="Fid Fund IS" sheetId="12" r:id="rId12"/>
    <sheet name="RSI TSERS NPL" sheetId="13" r:id="rId13"/>
    <sheet name="RSI TSERS Contr" sheetId="14" r:id="rId14"/>
    <sheet name="RSI RHBF" sheetId="1" r:id="rId15"/>
    <sheet name="RSI RHBF Contr" sheetId="15" r:id="rId16"/>
    <sheet name="RSI DIPNC" sheetId="16" r:id="rId17"/>
    <sheet name="RSI DIPNC Contr" sheetId="17" r:id="rId18"/>
    <sheet name="BS-NonMajorGovt" sheetId="19" r:id="rId19"/>
    <sheet name="GenFund Bud-Act" sheetId="18" r:id="rId20"/>
    <sheet name="FGF-BA" sheetId="20" r:id="rId21"/>
    <sheet name="COF-BA " sheetId="21" r:id="rId22"/>
    <sheet name="SFSF-BA" sheetId="22" r:id="rId23"/>
    <sheet name="CCF-BA" sheetId="23" r:id="rId24"/>
    <sheet name="Sheet3" sheetId="28" r:id="rId25"/>
    <sheet name="Major Fund Det" sheetId="24" state="hidden" r:id="rId26"/>
    <sheet name="Sheet2" sheetId="26" state="hidden" r:id="rId27"/>
    <sheet name="Sheet1" sheetId="25" state="hidden" r:id="rId28"/>
  </sheets>
  <externalReferences>
    <externalReference r:id="rId29"/>
    <externalReference r:id="rId30"/>
  </externalReferences>
  <definedNames>
    <definedName name="_Fill" hidden="1">#REF!</definedName>
    <definedName name="page32" localSheetId="19">'GenFund Bud-Act'!$A$11:$I$36</definedName>
    <definedName name="page32">'[1]Exh A-1'!$A$12:$M$43</definedName>
    <definedName name="page33" localSheetId="19">'GenFund Bud-Act'!$A$38:$I$73</definedName>
    <definedName name="page33">'[1]Exh A-1'!$A$45:$M$74</definedName>
    <definedName name="page34" localSheetId="19">'GenFund Bud-Act'!$A$77:$I$136</definedName>
    <definedName name="page34">'[1]Exh A-1'!$A$75:$M$106</definedName>
    <definedName name="page7" localSheetId="21">'[2]Exhibit 1 part 1'!#REF!</definedName>
    <definedName name="page7" localSheetId="19">'[1]Exhibit 1 part 1'!#REF!</definedName>
    <definedName name="page7" localSheetId="25">'[1]Exhibit 1 part 1'!#REF!</definedName>
    <definedName name="page7">'[1]Exhibit 1 part 1'!#REF!</definedName>
    <definedName name="pg35d45" localSheetId="21">'[2]Exh B-1'!#REF!</definedName>
    <definedName name="pg35d45" localSheetId="19">'[1]Exh B-1'!#REF!</definedName>
    <definedName name="pg35d45" localSheetId="25">'[1]Exh B-1'!#REF!</definedName>
    <definedName name="pg35d45">'[1]Exh B-1'!#REF!</definedName>
    <definedName name="pg35D48" localSheetId="21">'[2]Exh D-3 part 1'!#REF!</definedName>
    <definedName name="pg35D48" localSheetId="19">'[1]Exh D-3 part 1'!#REF!</definedName>
    <definedName name="pg35D48" localSheetId="25">'[1]Exh D-3 part 1'!#REF!</definedName>
    <definedName name="pg35D48">'[1]Exh D-3 part 1'!#REF!</definedName>
    <definedName name="_xlnm.Print_Area" localSheetId="18">'BS-NonMajorGovt'!$A$1:$F$15</definedName>
    <definedName name="_xlnm.Print_Area" localSheetId="9">'Cash Flow-Prop'!$A$1:$D$70</definedName>
    <definedName name="_xlnm.Print_Area" localSheetId="23">'CCF-BA'!$A$1:$G$50</definedName>
    <definedName name="_xlnm.Print_Area" localSheetId="21">'COF-BA '!$A$1:$I$73</definedName>
    <definedName name="_xlnm.Print_Area" localSheetId="20">'FGF-BA'!$A$1:$F$31</definedName>
    <definedName name="_xlnm.Print_Area" localSheetId="10">'Fid Fund BS'!$A$1:$G$24</definedName>
    <definedName name="_xlnm.Print_Area" localSheetId="11">'Fid Fund IS'!$A$1:$G$24</definedName>
    <definedName name="_xlnm.Print_Area" localSheetId="3">GASB34GovtFundsBS!$A$1:$G$54</definedName>
    <definedName name="_xlnm.Print_Area" localSheetId="6">GASB34GovtFundsBudget!$A$6:$L$66</definedName>
    <definedName name="_xlnm.Print_Area" localSheetId="4">GASB34GovtFundsIS!$A$1:$I$62</definedName>
    <definedName name="_xlnm.Print_Area" localSheetId="19">'GenFund Bud-Act'!$A$7:$H$135</definedName>
    <definedName name="_xlnm.Print_Area" localSheetId="1">GWNetPos!$A$1:$D$58</definedName>
    <definedName name="_xlnm.Print_Area" localSheetId="2">GWStmtAct!$A$1:$I$62</definedName>
    <definedName name="_xlnm.Print_Area" localSheetId="25">'Major Fund Det'!$A$1:$O$36</definedName>
    <definedName name="_xlnm.Print_Area" localSheetId="0">'MD&amp;A Tables'!$A$1:$G$23</definedName>
    <definedName name="_xlnm.Print_Area" localSheetId="7">'Net Pos-Prop'!$A$1:$D$56</definedName>
    <definedName name="_xlnm.Print_Area" localSheetId="5">'Recon Change Net Pos'!$A$1:$F$41</definedName>
    <definedName name="_xlnm.Print_Area" localSheetId="8">'Rev, exp-Prop'!$A$1:$D$43</definedName>
    <definedName name="_xlnm.Print_Area" localSheetId="12">'RSI TSERS NPL'!$A$1:$I$28</definedName>
    <definedName name="_xlnm.Print_Area" localSheetId="22">'SFSF-BA'!$A$1:$G$66</definedName>
    <definedName name="_xlnm.Print_Titles" localSheetId="21">'COF-BA '!$1:$10</definedName>
    <definedName name="_xlnm.Print_Titles" localSheetId="6">GASB34GovtFundsBudget!$1:$6</definedName>
    <definedName name="_xlnm.Print_Titles" localSheetId="19">'GenFund Bud-Act'!$1:$6</definedName>
    <definedName name="Table_1">'MD&amp;A Tables'!$A$1:$G$23</definedName>
    <definedName name="Table_2">'MD&amp;A Tables'!$A$36:$G$68</definedName>
    <definedName name="Table_3">'MD&amp;A Tables'!$A$76:$G$89</definedName>
    <definedName name="Table_4">'MD&amp;A Tables'!$A$99:$G$107</definedName>
    <definedName name="Z_403B3AAD_DF34_4AEF_82B0_70017D12E430_.wvu.Cols" localSheetId="19" hidden="1">'GenFund Bud-Act'!$I:$I</definedName>
    <definedName name="Z_403B3AAD_DF34_4AEF_82B0_70017D12E430_.wvu.PrintArea" localSheetId="18" hidden="1">'BS-NonMajorGovt'!$A$1:$F$15</definedName>
    <definedName name="Z_403B3AAD_DF34_4AEF_82B0_70017D12E430_.wvu.PrintArea" localSheetId="9" hidden="1">'Cash Flow-Prop'!$A$1:$E$79</definedName>
    <definedName name="Z_403B3AAD_DF34_4AEF_82B0_70017D12E430_.wvu.PrintArea" localSheetId="23" hidden="1">'CCF-BA'!$A$2:$G$50</definedName>
    <definedName name="Z_403B3AAD_DF34_4AEF_82B0_70017D12E430_.wvu.PrintArea" localSheetId="21" hidden="1">'COF-BA '!$A$2:$J$67</definedName>
    <definedName name="Z_403B3AAD_DF34_4AEF_82B0_70017D12E430_.wvu.PrintArea" localSheetId="20" hidden="1">'FGF-BA'!$A$2:$F$31</definedName>
    <definedName name="Z_403B3AAD_DF34_4AEF_82B0_70017D12E430_.wvu.PrintArea" localSheetId="10" hidden="1">'Fid Fund BS'!$A$2:$I$22</definedName>
    <definedName name="Z_403B3AAD_DF34_4AEF_82B0_70017D12E430_.wvu.PrintArea" localSheetId="11" hidden="1">'Fid Fund IS'!$A$2:$I$21</definedName>
    <definedName name="Z_403B3AAD_DF34_4AEF_82B0_70017D12E430_.wvu.PrintArea" localSheetId="3" hidden="1">GASB34GovtFundsBS!$A$1:$H$54</definedName>
    <definedName name="Z_403B3AAD_DF34_4AEF_82B0_70017D12E430_.wvu.PrintArea" localSheetId="6" hidden="1">GASB34GovtFundsBudget!$A$1:$N$67</definedName>
    <definedName name="Z_403B3AAD_DF34_4AEF_82B0_70017D12E430_.wvu.PrintArea" localSheetId="4" hidden="1">GASB34GovtFundsIS!$A$1:$I$62</definedName>
    <definedName name="Z_403B3AAD_DF34_4AEF_82B0_70017D12E430_.wvu.PrintArea" localSheetId="19" hidden="1">'GenFund Bud-Act'!$A$2:$H$137</definedName>
    <definedName name="Z_403B3AAD_DF34_4AEF_82B0_70017D12E430_.wvu.PrintArea" localSheetId="1" hidden="1">GWNetPos!$A$1:$E$60</definedName>
    <definedName name="Z_403B3AAD_DF34_4AEF_82B0_70017D12E430_.wvu.PrintArea" localSheetId="2" hidden="1">GWStmtAct!$A$1:$J$62</definedName>
    <definedName name="Z_403B3AAD_DF34_4AEF_82B0_70017D12E430_.wvu.PrintArea" localSheetId="25" hidden="1">'Major Fund Det'!$A$1:$O$36</definedName>
    <definedName name="Z_403B3AAD_DF34_4AEF_82B0_70017D12E430_.wvu.PrintArea" localSheetId="7" hidden="1">'Net Pos-Prop'!$A$1:$D$56</definedName>
    <definedName name="Z_403B3AAD_DF34_4AEF_82B0_70017D12E430_.wvu.PrintArea" localSheetId="5" hidden="1">'Recon Change Net Pos'!$A$1:$G$40</definedName>
    <definedName name="Z_403B3AAD_DF34_4AEF_82B0_70017D12E430_.wvu.PrintArea" localSheetId="8" hidden="1">'Rev, exp-Prop'!$A$1:$E$43</definedName>
    <definedName name="Z_403B3AAD_DF34_4AEF_82B0_70017D12E430_.wvu.PrintArea" localSheetId="12" hidden="1">'RSI TSERS NPL'!$A$1:$I$28</definedName>
    <definedName name="Z_403B3AAD_DF34_4AEF_82B0_70017D12E430_.wvu.PrintArea" localSheetId="22" hidden="1">'SFSF-BA'!$A$2:$G$66</definedName>
    <definedName name="Z_403B3AAD_DF34_4AEF_82B0_70017D12E430_.wvu.PrintTitles" localSheetId="21" hidden="1">'COF-BA '!$2:$10</definedName>
    <definedName name="Z_403B3AAD_DF34_4AEF_82B0_70017D12E430_.wvu.PrintTitles" localSheetId="19" hidden="1">'GenFund Bud-Act'!$2:$6</definedName>
    <definedName name="Z_403B3AAD_DF34_4AEF_82B0_70017D12E430_.wvu.Rows" localSheetId="9" hidden="1">'Cash Flow-Prop'!$44:$45,'Cash Flow-Prop'!$47:$47</definedName>
    <definedName name="Z_403B3AAD_DF34_4AEF_82B0_70017D12E430_.wvu.Rows" localSheetId="23" hidden="1">'CCF-BA'!$44:$45,'CCF-BA'!$47:$47</definedName>
    <definedName name="Z_403B3AAD_DF34_4AEF_82B0_70017D12E430_.wvu.Rows" localSheetId="1" hidden="1">GWNetPos!$22:$24,GWNetPos!$33:$34,GWNetPos!$39:$41</definedName>
    <definedName name="Z_403B3AAD_DF34_4AEF_82B0_70017D12E430_.wvu.Rows" localSheetId="7" hidden="1">'Net Pos-Prop'!$26:$28,'Net Pos-Prop'!$44:$46</definedName>
    <definedName name="Z_403B3AAD_DF34_4AEF_82B0_70017D12E430_.wvu.Rows" localSheetId="22" hidden="1">'SFSF-BA'!$57:$58,'SFSF-BA'!$60:$60</definedName>
    <definedName name="Z_5D1D886B_74AD_4A76_B61E_A085922CEA99_.wvu.Cols" localSheetId="19" hidden="1">'GenFund Bud-Act'!$I:$I</definedName>
    <definedName name="Z_5D1D886B_74AD_4A76_B61E_A085922CEA99_.wvu.PrintArea" localSheetId="18" hidden="1">'BS-NonMajorGovt'!$A$1:$F$15</definedName>
    <definedName name="Z_5D1D886B_74AD_4A76_B61E_A085922CEA99_.wvu.PrintArea" localSheetId="9" hidden="1">'Cash Flow-Prop'!$A$1:$E$79</definedName>
    <definedName name="Z_5D1D886B_74AD_4A76_B61E_A085922CEA99_.wvu.PrintArea" localSheetId="23" hidden="1">'CCF-BA'!$A$2:$G$50</definedName>
    <definedName name="Z_5D1D886B_74AD_4A76_B61E_A085922CEA99_.wvu.PrintArea" localSheetId="21" hidden="1">'COF-BA '!$A$2:$J$67</definedName>
    <definedName name="Z_5D1D886B_74AD_4A76_B61E_A085922CEA99_.wvu.PrintArea" localSheetId="20" hidden="1">'FGF-BA'!$A$2:$F$31</definedName>
    <definedName name="Z_5D1D886B_74AD_4A76_B61E_A085922CEA99_.wvu.PrintArea" localSheetId="10" hidden="1">'Fid Fund BS'!$A$2:$I$22</definedName>
    <definedName name="Z_5D1D886B_74AD_4A76_B61E_A085922CEA99_.wvu.PrintArea" localSheetId="11" hidden="1">'Fid Fund IS'!$A$2:$I$21</definedName>
    <definedName name="Z_5D1D886B_74AD_4A76_B61E_A085922CEA99_.wvu.PrintArea" localSheetId="3" hidden="1">GASB34GovtFundsBS!$A$1:$H$54</definedName>
    <definedName name="Z_5D1D886B_74AD_4A76_B61E_A085922CEA99_.wvu.PrintArea" localSheetId="6" hidden="1">GASB34GovtFundsBudget!$A$1:$N$67</definedName>
    <definedName name="Z_5D1D886B_74AD_4A76_B61E_A085922CEA99_.wvu.PrintArea" localSheetId="4" hidden="1">GASB34GovtFundsIS!$A$1:$I$62</definedName>
    <definedName name="Z_5D1D886B_74AD_4A76_B61E_A085922CEA99_.wvu.PrintArea" localSheetId="19" hidden="1">'GenFund Bud-Act'!$A$2:$H$137</definedName>
    <definedName name="Z_5D1D886B_74AD_4A76_B61E_A085922CEA99_.wvu.PrintArea" localSheetId="1" hidden="1">GWNetPos!$A$1:$E$60</definedName>
    <definedName name="Z_5D1D886B_74AD_4A76_B61E_A085922CEA99_.wvu.PrintArea" localSheetId="2" hidden="1">GWStmtAct!$A$1:$J$62</definedName>
    <definedName name="Z_5D1D886B_74AD_4A76_B61E_A085922CEA99_.wvu.PrintArea" localSheetId="25" hidden="1">'Major Fund Det'!$A$1:$O$36</definedName>
    <definedName name="Z_5D1D886B_74AD_4A76_B61E_A085922CEA99_.wvu.PrintArea" localSheetId="7" hidden="1">'Net Pos-Prop'!$A$1:$D$56</definedName>
    <definedName name="Z_5D1D886B_74AD_4A76_B61E_A085922CEA99_.wvu.PrintArea" localSheetId="5" hidden="1">'Recon Change Net Pos'!$A$1:$G$40</definedName>
    <definedName name="Z_5D1D886B_74AD_4A76_B61E_A085922CEA99_.wvu.PrintArea" localSheetId="8" hidden="1">'Rev, exp-Prop'!$A$1:$E$43</definedName>
    <definedName name="Z_5D1D886B_74AD_4A76_B61E_A085922CEA99_.wvu.PrintArea" localSheetId="12" hidden="1">'RSI TSERS NPL'!$A$1:$I$28</definedName>
    <definedName name="Z_5D1D886B_74AD_4A76_B61E_A085922CEA99_.wvu.PrintArea" localSheetId="22" hidden="1">'SFSF-BA'!$A$2:$G$66</definedName>
    <definedName name="Z_5D1D886B_74AD_4A76_B61E_A085922CEA99_.wvu.PrintTitles" localSheetId="21" hidden="1">'COF-BA '!$2:$10</definedName>
    <definedName name="Z_5D1D886B_74AD_4A76_B61E_A085922CEA99_.wvu.PrintTitles" localSheetId="19" hidden="1">'GenFund Bud-Act'!$2:$6</definedName>
    <definedName name="Z_5D1D886B_74AD_4A76_B61E_A085922CEA99_.wvu.Rows" localSheetId="9" hidden="1">'Cash Flow-Prop'!$44:$45,'Cash Flow-Prop'!$47:$47</definedName>
    <definedName name="Z_5D1D886B_74AD_4A76_B61E_A085922CEA99_.wvu.Rows" localSheetId="23" hidden="1">'CCF-BA'!$44:$45,'CCF-BA'!$47:$47</definedName>
    <definedName name="Z_5D1D886B_74AD_4A76_B61E_A085922CEA99_.wvu.Rows" localSheetId="1" hidden="1">GWNetPos!$22:$24,GWNetPos!$39:$41</definedName>
    <definedName name="Z_5D1D886B_74AD_4A76_B61E_A085922CEA99_.wvu.Rows" localSheetId="7" hidden="1">'Net Pos-Prop'!$26:$28,'Net Pos-Prop'!$44:$46</definedName>
    <definedName name="Z_5D1D886B_74AD_4A76_B61E_A085922CEA99_.wvu.Rows" localSheetId="22" hidden="1">'SFSF-BA'!$57:$58,'SFSF-BA'!$60:$60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45" i="24" l="1"/>
  <c r="H45" i="24"/>
  <c r="E45" i="24"/>
  <c r="B45" i="24"/>
  <c r="K43" i="24"/>
  <c r="H43" i="24"/>
  <c r="E43" i="24"/>
  <c r="B43" i="24"/>
  <c r="B41" i="24"/>
  <c r="K40" i="24"/>
  <c r="H40" i="24"/>
  <c r="E40" i="24"/>
  <c r="B40" i="24"/>
  <c r="E39" i="24"/>
  <c r="B39" i="24"/>
  <c r="K36" i="24"/>
  <c r="H36" i="24"/>
  <c r="E36" i="24"/>
  <c r="B36" i="24"/>
  <c r="K34" i="24"/>
  <c r="H34" i="24"/>
  <c r="E34" i="24"/>
  <c r="B34" i="24"/>
  <c r="K31" i="24"/>
  <c r="H31" i="24"/>
  <c r="E31" i="24"/>
  <c r="B31" i="24"/>
  <c r="K29" i="24"/>
  <c r="H29" i="24"/>
  <c r="E29" i="24"/>
  <c r="B29" i="24"/>
  <c r="O27" i="24"/>
  <c r="M27" i="24"/>
  <c r="L27" i="24"/>
  <c r="K27" i="24"/>
  <c r="J27" i="24"/>
  <c r="I27" i="24"/>
  <c r="H27" i="24"/>
  <c r="G27" i="24"/>
  <c r="F27" i="24"/>
  <c r="E27" i="24"/>
  <c r="D27" i="24"/>
  <c r="C27" i="24"/>
  <c r="B27" i="24"/>
  <c r="O26" i="24"/>
  <c r="M26" i="24"/>
  <c r="L26" i="24"/>
  <c r="K26" i="24"/>
  <c r="J26" i="24"/>
  <c r="I26" i="24"/>
  <c r="H26" i="24"/>
  <c r="G26" i="24"/>
  <c r="F26" i="24"/>
  <c r="E26" i="24"/>
  <c r="D26" i="24"/>
  <c r="C26" i="24"/>
  <c r="B26" i="24"/>
  <c r="K22" i="24"/>
  <c r="H22" i="24"/>
  <c r="E22" i="24"/>
  <c r="B22" i="24"/>
  <c r="K20" i="24"/>
  <c r="H20" i="24"/>
  <c r="E20" i="24"/>
  <c r="B20" i="24"/>
  <c r="O18" i="24"/>
  <c r="M18" i="24"/>
  <c r="L18" i="24"/>
  <c r="K18" i="24"/>
  <c r="J18" i="24"/>
  <c r="I18" i="24"/>
  <c r="H18" i="24"/>
  <c r="G18" i="24"/>
  <c r="F18" i="24"/>
  <c r="E18" i="24"/>
  <c r="D18" i="24"/>
  <c r="C18" i="24"/>
  <c r="B18" i="24"/>
  <c r="O15" i="24"/>
  <c r="M15" i="24"/>
  <c r="L15" i="24"/>
  <c r="K15" i="24"/>
  <c r="J15" i="24"/>
  <c r="I15" i="24"/>
  <c r="H15" i="24"/>
  <c r="G15" i="24"/>
  <c r="F15" i="24"/>
  <c r="E15" i="24"/>
  <c r="D15" i="24"/>
  <c r="C15" i="24"/>
  <c r="B15" i="24"/>
  <c r="O14" i="24"/>
  <c r="M14" i="24"/>
  <c r="L14" i="24"/>
  <c r="K14" i="24"/>
  <c r="J14" i="24"/>
  <c r="I14" i="24"/>
  <c r="H14" i="24"/>
  <c r="G14" i="24"/>
  <c r="F14" i="24"/>
  <c r="E14" i="24"/>
  <c r="D14" i="24"/>
  <c r="C14" i="24"/>
  <c r="B14" i="24"/>
  <c r="O13" i="24"/>
  <c r="M13" i="24"/>
  <c r="L13" i="24"/>
  <c r="K13" i="24"/>
  <c r="J13" i="24"/>
  <c r="I13" i="24"/>
  <c r="H13" i="24"/>
  <c r="G13" i="24"/>
  <c r="F13" i="24"/>
  <c r="E13" i="24"/>
  <c r="D13" i="24"/>
  <c r="C13" i="24"/>
  <c r="B13" i="24"/>
  <c r="K10" i="24"/>
  <c r="H10" i="24"/>
  <c r="E10" i="24"/>
  <c r="B10" i="24"/>
  <c r="F55" i="23"/>
  <c r="E54" i="23"/>
  <c r="F50" i="23"/>
  <c r="F48" i="23"/>
  <c r="F46" i="23"/>
  <c r="F43" i="23"/>
  <c r="F42" i="23"/>
  <c r="F41" i="23"/>
  <c r="F40" i="23"/>
  <c r="F39" i="23"/>
  <c r="G33" i="23"/>
  <c r="F33" i="23"/>
  <c r="E33" i="23"/>
  <c r="G30" i="23"/>
  <c r="F30" i="23"/>
  <c r="G27" i="23"/>
  <c r="F27" i="23"/>
  <c r="E27" i="23"/>
  <c r="G25" i="23"/>
  <c r="F25" i="23"/>
  <c r="E25" i="23"/>
  <c r="G24" i="23"/>
  <c r="G21" i="23"/>
  <c r="F21" i="23"/>
  <c r="E21" i="23"/>
  <c r="F20" i="23"/>
  <c r="F18" i="23"/>
  <c r="G14" i="23"/>
  <c r="F14" i="23"/>
  <c r="E14" i="23"/>
  <c r="G13" i="23"/>
  <c r="G12" i="23"/>
  <c r="A6" i="23"/>
  <c r="F73" i="22"/>
  <c r="E72" i="22"/>
  <c r="F66" i="22"/>
  <c r="F63" i="22"/>
  <c r="F59" i="22"/>
  <c r="F56" i="22"/>
  <c r="F55" i="22"/>
  <c r="F54" i="22"/>
  <c r="F53" i="22"/>
  <c r="F52" i="22"/>
  <c r="G47" i="22"/>
  <c r="F47" i="22"/>
  <c r="E47" i="22"/>
  <c r="G44" i="22"/>
  <c r="F44" i="22"/>
  <c r="G41" i="22"/>
  <c r="F41" i="22"/>
  <c r="E41" i="22"/>
  <c r="F38" i="22"/>
  <c r="E38" i="22"/>
  <c r="G37" i="22"/>
  <c r="F37" i="22"/>
  <c r="G36" i="22"/>
  <c r="F36" i="22"/>
  <c r="G35" i="22"/>
  <c r="F35" i="22"/>
  <c r="G32" i="22"/>
  <c r="F32" i="22"/>
  <c r="E32" i="22"/>
  <c r="G30" i="22"/>
  <c r="F30" i="22"/>
  <c r="E30" i="22"/>
  <c r="G29" i="22"/>
  <c r="F29" i="22"/>
  <c r="G27" i="22"/>
  <c r="G24" i="22"/>
  <c r="F24" i="22"/>
  <c r="E24" i="22"/>
  <c r="F18" i="22"/>
  <c r="G12" i="22"/>
  <c r="F12" i="22"/>
  <c r="A6" i="22"/>
  <c r="H79" i="21"/>
  <c r="G78" i="21"/>
  <c r="H66" i="21"/>
  <c r="I62" i="21"/>
  <c r="H62" i="21"/>
  <c r="G62" i="21"/>
  <c r="I60" i="21"/>
  <c r="H60" i="21"/>
  <c r="I59" i="21"/>
  <c r="I58" i="21"/>
  <c r="I54" i="21"/>
  <c r="H54" i="21"/>
  <c r="G54" i="21"/>
  <c r="I52" i="21"/>
  <c r="H52" i="21"/>
  <c r="G52" i="21"/>
  <c r="I50" i="21"/>
  <c r="H50" i="21"/>
  <c r="G50" i="21"/>
  <c r="I49" i="21"/>
  <c r="I48" i="21"/>
  <c r="H48" i="21"/>
  <c r="G48" i="21"/>
  <c r="I45" i="21"/>
  <c r="H45" i="21"/>
  <c r="G45" i="21"/>
  <c r="I42" i="21"/>
  <c r="I38" i="21"/>
  <c r="H38" i="21"/>
  <c r="G38" i="21"/>
  <c r="H35" i="21"/>
  <c r="H33" i="21"/>
  <c r="H32" i="21"/>
  <c r="I27" i="21"/>
  <c r="H27" i="21"/>
  <c r="G27" i="21"/>
  <c r="I25" i="21"/>
  <c r="H25" i="21"/>
  <c r="G25" i="21"/>
  <c r="I24" i="21"/>
  <c r="H24" i="21"/>
  <c r="G24" i="21"/>
  <c r="I23" i="21"/>
  <c r="I22" i="21"/>
  <c r="I18" i="21"/>
  <c r="H18" i="21"/>
  <c r="G18" i="21"/>
  <c r="I17" i="21"/>
  <c r="I16" i="21"/>
  <c r="I15" i="21"/>
  <c r="I14" i="21"/>
  <c r="I13" i="21"/>
  <c r="H13" i="21"/>
  <c r="G13" i="21"/>
  <c r="A6" i="21"/>
  <c r="E36" i="20"/>
  <c r="D35" i="20"/>
  <c r="E26" i="20"/>
  <c r="F23" i="20"/>
  <c r="E23" i="20"/>
  <c r="D23" i="20"/>
  <c r="F21" i="20"/>
  <c r="E21" i="20"/>
  <c r="D21" i="20"/>
  <c r="F20" i="20"/>
  <c r="F19" i="20"/>
  <c r="F18" i="20"/>
  <c r="F17" i="20"/>
  <c r="E17" i="20"/>
  <c r="F16" i="20"/>
  <c r="E16" i="20"/>
  <c r="F13" i="20"/>
  <c r="E13" i="20"/>
  <c r="D13" i="20"/>
  <c r="F12" i="20"/>
  <c r="E12" i="20"/>
  <c r="A6" i="20"/>
  <c r="H141" i="18"/>
  <c r="G140" i="18"/>
  <c r="F139" i="18"/>
  <c r="G129" i="18"/>
  <c r="H125" i="18"/>
  <c r="G125" i="18"/>
  <c r="F125" i="18"/>
  <c r="H123" i="18"/>
  <c r="G123" i="18"/>
  <c r="F123" i="18"/>
  <c r="H121" i="18"/>
  <c r="G121" i="18"/>
  <c r="G119" i="18"/>
  <c r="G116" i="18"/>
  <c r="F116" i="18"/>
  <c r="G115" i="18"/>
  <c r="G114" i="18"/>
  <c r="H111" i="18"/>
  <c r="G111" i="18"/>
  <c r="F111" i="18"/>
  <c r="G110" i="18"/>
  <c r="G109" i="18"/>
  <c r="G108" i="18"/>
  <c r="G107" i="18"/>
  <c r="H99" i="18"/>
  <c r="G99" i="18"/>
  <c r="F99" i="18"/>
  <c r="G98" i="18"/>
  <c r="G97" i="18"/>
  <c r="G96" i="18"/>
  <c r="G93" i="18"/>
  <c r="F93" i="18"/>
  <c r="G92" i="18"/>
  <c r="G91" i="18"/>
  <c r="H88" i="18"/>
  <c r="G88" i="18"/>
  <c r="F88" i="18"/>
  <c r="G87" i="18"/>
  <c r="G86" i="18"/>
  <c r="H83" i="18"/>
  <c r="G83" i="18"/>
  <c r="F83" i="18"/>
  <c r="G82" i="18"/>
  <c r="G81" i="18"/>
  <c r="G80" i="18"/>
  <c r="G79" i="18"/>
  <c r="G78" i="18"/>
  <c r="H75" i="18"/>
  <c r="H73" i="18"/>
  <c r="G73" i="18"/>
  <c r="F73" i="18"/>
  <c r="H71" i="18"/>
  <c r="G71" i="18"/>
  <c r="F71" i="18"/>
  <c r="H69" i="18"/>
  <c r="G69" i="18"/>
  <c r="F69" i="18"/>
  <c r="G68" i="18"/>
  <c r="G67" i="18"/>
  <c r="H63" i="18"/>
  <c r="G63" i="18"/>
  <c r="F63" i="18"/>
  <c r="G62" i="18"/>
  <c r="G61" i="18"/>
  <c r="G60" i="18"/>
  <c r="G59" i="18"/>
  <c r="H51" i="18"/>
  <c r="G51" i="18"/>
  <c r="F51" i="18"/>
  <c r="H49" i="18"/>
  <c r="G49" i="18"/>
  <c r="F49" i="18"/>
  <c r="H47" i="18"/>
  <c r="G47" i="18"/>
  <c r="F47" i="18"/>
  <c r="G46" i="18"/>
  <c r="G45" i="18"/>
  <c r="H42" i="18"/>
  <c r="G42" i="18"/>
  <c r="F42" i="18"/>
  <c r="G41" i="18"/>
  <c r="G40" i="18"/>
  <c r="G39" i="18"/>
  <c r="H36" i="18"/>
  <c r="G36" i="18"/>
  <c r="F36" i="18"/>
  <c r="G35" i="18"/>
  <c r="G34" i="18"/>
  <c r="H29" i="18"/>
  <c r="G29" i="18"/>
  <c r="F29" i="18"/>
  <c r="H27" i="18"/>
  <c r="G27" i="18"/>
  <c r="F27" i="18"/>
  <c r="H25" i="18"/>
  <c r="G25" i="18"/>
  <c r="F25" i="18"/>
  <c r="H23" i="18"/>
  <c r="G23" i="18"/>
  <c r="H21" i="18"/>
  <c r="G21" i="18"/>
  <c r="F21" i="18"/>
  <c r="H18" i="18"/>
  <c r="G18" i="18"/>
  <c r="F18" i="18"/>
  <c r="H17" i="18"/>
  <c r="H16" i="18"/>
  <c r="G16" i="18"/>
  <c r="F16" i="18"/>
  <c r="H13" i="18"/>
  <c r="G13" i="18"/>
  <c r="F13" i="18"/>
  <c r="A6" i="18"/>
  <c r="O13" i="17"/>
  <c r="N13" i="17"/>
  <c r="M13" i="17"/>
  <c r="L13" i="17"/>
  <c r="K13" i="17"/>
  <c r="J13" i="17"/>
  <c r="I13" i="17"/>
  <c r="H13" i="17"/>
  <c r="G13" i="17"/>
  <c r="F13" i="17"/>
  <c r="E13" i="17"/>
  <c r="D13" i="17"/>
  <c r="O11" i="17"/>
  <c r="N11" i="17"/>
  <c r="M11" i="17"/>
  <c r="L11" i="17"/>
  <c r="K11" i="17"/>
  <c r="J11" i="17"/>
  <c r="I11" i="17"/>
  <c r="H11" i="17"/>
  <c r="G11" i="17"/>
  <c r="F11" i="17"/>
  <c r="O10" i="17"/>
  <c r="N10" i="17"/>
  <c r="M10" i="17"/>
  <c r="L10" i="17"/>
  <c r="K10" i="17"/>
  <c r="J10" i="17"/>
  <c r="I10" i="17"/>
  <c r="H10" i="17"/>
  <c r="G10" i="17"/>
  <c r="F10" i="17"/>
  <c r="E10" i="17"/>
  <c r="D10" i="17"/>
  <c r="O9" i="17"/>
  <c r="N9" i="17"/>
  <c r="M9" i="17"/>
  <c r="L9" i="17"/>
  <c r="K9" i="17"/>
  <c r="J9" i="17"/>
  <c r="I9" i="17"/>
  <c r="H9" i="17"/>
  <c r="G9" i="17"/>
  <c r="F9" i="17"/>
  <c r="E9" i="17"/>
  <c r="D9" i="17"/>
  <c r="A5" i="17"/>
  <c r="A4" i="17"/>
  <c r="I13" i="16"/>
  <c r="H13" i="16"/>
  <c r="G13" i="16"/>
  <c r="F13" i="16"/>
  <c r="E13" i="16"/>
  <c r="I12" i="16"/>
  <c r="H12" i="16"/>
  <c r="G12" i="16"/>
  <c r="F12" i="16"/>
  <c r="E12" i="16"/>
  <c r="I11" i="16"/>
  <c r="H11" i="16"/>
  <c r="G11" i="16"/>
  <c r="F11" i="16"/>
  <c r="E11" i="16"/>
  <c r="I10" i="16"/>
  <c r="H10" i="16"/>
  <c r="G10" i="16"/>
  <c r="F10" i="16"/>
  <c r="E10" i="16"/>
  <c r="O13" i="15"/>
  <c r="N13" i="15"/>
  <c r="M13" i="15"/>
  <c r="L13" i="15"/>
  <c r="K13" i="15"/>
  <c r="J13" i="15"/>
  <c r="I13" i="15"/>
  <c r="H13" i="15"/>
  <c r="G13" i="15"/>
  <c r="F13" i="15"/>
  <c r="E13" i="15"/>
  <c r="D13" i="15"/>
  <c r="O11" i="15"/>
  <c r="N11" i="15"/>
  <c r="M11" i="15"/>
  <c r="L11" i="15"/>
  <c r="K11" i="15"/>
  <c r="J11" i="15"/>
  <c r="I11" i="15"/>
  <c r="H11" i="15"/>
  <c r="G11" i="15"/>
  <c r="F11" i="15"/>
  <c r="O10" i="15"/>
  <c r="N10" i="15"/>
  <c r="M10" i="15"/>
  <c r="L10" i="15"/>
  <c r="K10" i="15"/>
  <c r="J10" i="15"/>
  <c r="I10" i="15"/>
  <c r="H10" i="15"/>
  <c r="G10" i="15"/>
  <c r="F10" i="15"/>
  <c r="O9" i="15"/>
  <c r="N9" i="15"/>
  <c r="M9" i="15"/>
  <c r="L9" i="15"/>
  <c r="K9" i="15"/>
  <c r="J9" i="15"/>
  <c r="I9" i="15"/>
  <c r="H9" i="15"/>
  <c r="G9" i="15"/>
  <c r="F9" i="15"/>
  <c r="O7" i="15"/>
  <c r="N7" i="15"/>
  <c r="G13" i="1"/>
  <c r="F13" i="1"/>
  <c r="E13" i="1"/>
  <c r="D13" i="1"/>
  <c r="C13" i="1"/>
  <c r="I15" i="14"/>
  <c r="H15" i="14"/>
  <c r="G15" i="14"/>
  <c r="F15" i="14"/>
  <c r="E15" i="14"/>
  <c r="D15" i="14"/>
  <c r="C15" i="14"/>
  <c r="B15" i="14"/>
  <c r="I13" i="14"/>
  <c r="H13" i="14"/>
  <c r="G13" i="14"/>
  <c r="I11" i="14"/>
  <c r="H11" i="14"/>
  <c r="G11" i="14"/>
  <c r="F11" i="14"/>
  <c r="E11" i="14"/>
  <c r="I10" i="14"/>
  <c r="H10" i="14"/>
  <c r="G10" i="14"/>
  <c r="F10" i="14"/>
  <c r="E10" i="14"/>
  <c r="A2" i="14"/>
  <c r="I15" i="13"/>
  <c r="H15" i="13"/>
  <c r="G15" i="13"/>
  <c r="F15" i="13"/>
  <c r="E15" i="13"/>
  <c r="D15" i="13"/>
  <c r="C15" i="13"/>
  <c r="B15" i="13"/>
  <c r="E14" i="13"/>
  <c r="A5" i="12"/>
  <c r="A5" i="11"/>
  <c r="D82" i="2"/>
  <c r="C82" i="2"/>
  <c r="B82" i="2"/>
  <c r="D81" i="2"/>
  <c r="C81" i="2"/>
  <c r="B81" i="2"/>
  <c r="D80" i="2"/>
  <c r="D79" i="2"/>
  <c r="C79" i="2"/>
  <c r="B79" i="2"/>
  <c r="A60" i="2"/>
  <c r="A57" i="2"/>
  <c r="D51" i="2"/>
  <c r="C51" i="2"/>
  <c r="B51" i="2"/>
  <c r="D50" i="2"/>
  <c r="C50" i="2"/>
  <c r="B50" i="2"/>
  <c r="D49" i="2"/>
  <c r="D48" i="2"/>
  <c r="C48" i="2"/>
  <c r="B48" i="2"/>
  <c r="D47" i="2"/>
  <c r="C47" i="2"/>
  <c r="B47" i="2"/>
  <c r="D46" i="2"/>
  <c r="C46" i="2"/>
  <c r="B46" i="2"/>
  <c r="D45" i="2"/>
  <c r="C45" i="2"/>
  <c r="B45" i="2"/>
  <c r="D44" i="2"/>
  <c r="C44" i="2"/>
  <c r="B44" i="2"/>
  <c r="D43" i="2"/>
  <c r="C43" i="2"/>
  <c r="B43" i="2"/>
  <c r="D42" i="2"/>
  <c r="C42" i="2"/>
  <c r="B42" i="2"/>
  <c r="D41" i="2"/>
  <c r="C41" i="2"/>
  <c r="B41" i="2"/>
  <c r="D40" i="2"/>
  <c r="D39" i="2"/>
  <c r="C39" i="2"/>
  <c r="B39" i="2"/>
  <c r="D38" i="2"/>
  <c r="D37" i="2"/>
  <c r="D36" i="2"/>
  <c r="D35" i="2"/>
  <c r="D34" i="2"/>
  <c r="D33" i="2"/>
  <c r="D32" i="2"/>
  <c r="B32" i="2"/>
  <c r="D30" i="2"/>
  <c r="C30" i="2"/>
  <c r="B30" i="2"/>
  <c r="D27" i="2"/>
  <c r="C27" i="2"/>
  <c r="B27" i="2"/>
  <c r="D26" i="2"/>
  <c r="B26" i="2"/>
  <c r="D25" i="2"/>
  <c r="C25" i="2"/>
  <c r="B25" i="2"/>
  <c r="D24" i="2"/>
  <c r="D21" i="2"/>
  <c r="D15" i="2"/>
  <c r="C15" i="2"/>
  <c r="B15" i="2"/>
  <c r="D14" i="2"/>
  <c r="D13" i="2"/>
  <c r="C13" i="2"/>
  <c r="B13" i="2"/>
  <c r="D12" i="2"/>
  <c r="C12" i="2"/>
  <c r="B12" i="2"/>
  <c r="D11" i="2"/>
  <c r="B11" i="2"/>
  <c r="A5" i="2"/>
  <c r="A57" i="10"/>
  <c r="D56" i="10"/>
  <c r="C56" i="10"/>
  <c r="B56" i="10"/>
  <c r="C54" i="10"/>
  <c r="B54" i="10"/>
  <c r="D53" i="10"/>
  <c r="C53" i="10"/>
  <c r="B53" i="10"/>
  <c r="D40" i="10"/>
  <c r="C40" i="10"/>
  <c r="B40" i="10"/>
  <c r="D39" i="10"/>
  <c r="C39" i="10"/>
  <c r="B39" i="10"/>
  <c r="D38" i="10"/>
  <c r="C38" i="10"/>
  <c r="B38" i="10"/>
  <c r="D35" i="10"/>
  <c r="C35" i="10"/>
  <c r="B35" i="10"/>
  <c r="D34" i="10"/>
  <c r="C34" i="10"/>
  <c r="B34" i="10"/>
  <c r="D27" i="10"/>
  <c r="C27" i="10"/>
  <c r="B27" i="10"/>
  <c r="D26" i="10"/>
  <c r="C26" i="10"/>
  <c r="B26" i="10"/>
  <c r="D25" i="10"/>
  <c r="D24" i="10"/>
  <c r="C24" i="10"/>
  <c r="B24" i="10"/>
  <c r="D23" i="10"/>
  <c r="D22" i="10"/>
  <c r="D21" i="10"/>
  <c r="D20" i="10"/>
  <c r="D19" i="10"/>
  <c r="C19" i="10"/>
  <c r="B19" i="10"/>
  <c r="D18" i="10"/>
  <c r="D17" i="10"/>
  <c r="D13" i="10"/>
  <c r="C13" i="10"/>
  <c r="B13" i="10"/>
  <c r="D12" i="10"/>
  <c r="C12" i="10"/>
  <c r="D11" i="10"/>
  <c r="B11" i="10"/>
  <c r="A5" i="10"/>
  <c r="D63" i="9"/>
  <c r="D62" i="9"/>
  <c r="D61" i="9"/>
  <c r="C61" i="9"/>
  <c r="B61" i="9"/>
  <c r="D53" i="9"/>
  <c r="C53" i="9"/>
  <c r="B53" i="9"/>
  <c r="F52" i="9"/>
  <c r="D52" i="9"/>
  <c r="F51" i="9"/>
  <c r="D51" i="9"/>
  <c r="C51" i="9"/>
  <c r="B51" i="9"/>
  <c r="F50" i="9"/>
  <c r="D50" i="9"/>
  <c r="B50" i="9"/>
  <c r="F47" i="9"/>
  <c r="D47" i="9"/>
  <c r="C47" i="9"/>
  <c r="B47" i="9"/>
  <c r="A46" i="9"/>
  <c r="D45" i="9"/>
  <c r="C45" i="9"/>
  <c r="B45" i="9"/>
  <c r="A45" i="9"/>
  <c r="D44" i="9"/>
  <c r="C44" i="9"/>
  <c r="B44" i="9"/>
  <c r="G42" i="9"/>
  <c r="F42" i="9"/>
  <c r="D42" i="9"/>
  <c r="C42" i="9"/>
  <c r="B42" i="9"/>
  <c r="D41" i="9"/>
  <c r="C41" i="9"/>
  <c r="B41" i="9"/>
  <c r="D40" i="9"/>
  <c r="D39" i="9"/>
  <c r="C39" i="9"/>
  <c r="B39" i="9"/>
  <c r="A39" i="9"/>
  <c r="D38" i="9"/>
  <c r="C38" i="9"/>
  <c r="B38" i="9"/>
  <c r="D35" i="9"/>
  <c r="C35" i="9"/>
  <c r="B35" i="9"/>
  <c r="D34" i="9"/>
  <c r="D33" i="9"/>
  <c r="F29" i="9"/>
  <c r="D29" i="9"/>
  <c r="C29" i="9"/>
  <c r="B29" i="9"/>
  <c r="D28" i="9"/>
  <c r="C28" i="9"/>
  <c r="B28" i="9"/>
  <c r="A28" i="9"/>
  <c r="D27" i="9"/>
  <c r="C27" i="9"/>
  <c r="B27" i="9"/>
  <c r="A27" i="9"/>
  <c r="D26" i="9"/>
  <c r="C26" i="9"/>
  <c r="B26" i="9"/>
  <c r="G24" i="9"/>
  <c r="F24" i="9"/>
  <c r="D24" i="9"/>
  <c r="C24" i="9"/>
  <c r="B24" i="9"/>
  <c r="F23" i="9"/>
  <c r="D23" i="9"/>
  <c r="C23" i="9"/>
  <c r="B23" i="9"/>
  <c r="D22" i="9"/>
  <c r="D21" i="9"/>
  <c r="D17" i="9"/>
  <c r="C17" i="9"/>
  <c r="B17" i="9"/>
  <c r="F16" i="9"/>
  <c r="D16" i="9"/>
  <c r="F15" i="9"/>
  <c r="D15" i="9"/>
  <c r="C15" i="9"/>
  <c r="B15" i="9"/>
  <c r="A15" i="9"/>
  <c r="G14" i="9"/>
  <c r="F14" i="9"/>
  <c r="D14" i="9"/>
  <c r="A14" i="9"/>
  <c r="F13" i="9"/>
  <c r="D13" i="9"/>
  <c r="F12" i="9"/>
  <c r="D12" i="9"/>
  <c r="C12" i="9"/>
  <c r="B12" i="9"/>
  <c r="A5" i="9"/>
  <c r="J71" i="8"/>
  <c r="I71" i="8"/>
  <c r="E71" i="8"/>
  <c r="D71" i="8"/>
  <c r="K70" i="8"/>
  <c r="F70" i="8"/>
  <c r="K69" i="8"/>
  <c r="F69" i="8"/>
  <c r="K60" i="8"/>
  <c r="F60" i="8"/>
  <c r="L57" i="8"/>
  <c r="K57" i="8"/>
  <c r="J57" i="8"/>
  <c r="I57" i="8"/>
  <c r="G57" i="8"/>
  <c r="F57" i="8"/>
  <c r="E57" i="8"/>
  <c r="D57" i="8"/>
  <c r="L55" i="8"/>
  <c r="K55" i="8"/>
  <c r="J55" i="8"/>
  <c r="I55" i="8"/>
  <c r="F55" i="8"/>
  <c r="E55" i="8"/>
  <c r="D55" i="8"/>
  <c r="L45" i="8"/>
  <c r="K45" i="8"/>
  <c r="J45" i="8"/>
  <c r="I45" i="8"/>
  <c r="G45" i="8"/>
  <c r="F45" i="8"/>
  <c r="E45" i="8"/>
  <c r="D45" i="8"/>
  <c r="L43" i="8"/>
  <c r="K43" i="8"/>
  <c r="J43" i="8"/>
  <c r="I43" i="8"/>
  <c r="G43" i="8"/>
  <c r="F43" i="8"/>
  <c r="E43" i="8"/>
  <c r="D43" i="8"/>
  <c r="L37" i="8"/>
  <c r="G37" i="8"/>
  <c r="F37" i="8"/>
  <c r="E37" i="8"/>
  <c r="D37" i="8"/>
  <c r="L36" i="8"/>
  <c r="G36" i="8"/>
  <c r="F36" i="8"/>
  <c r="E36" i="8"/>
  <c r="D36" i="8"/>
  <c r="L35" i="8"/>
  <c r="G35" i="8"/>
  <c r="F35" i="8"/>
  <c r="E35" i="8"/>
  <c r="D35" i="8"/>
  <c r="L34" i="8"/>
  <c r="G34" i="8"/>
  <c r="F34" i="8"/>
  <c r="E34" i="8"/>
  <c r="D34" i="8"/>
  <c r="L33" i="8"/>
  <c r="G33" i="8"/>
  <c r="F33" i="8"/>
  <c r="E33" i="8"/>
  <c r="D33" i="8"/>
  <c r="L32" i="8"/>
  <c r="G32" i="8"/>
  <c r="F32" i="8"/>
  <c r="E32" i="8"/>
  <c r="D32" i="8"/>
  <c r="L31" i="8"/>
  <c r="K31" i="8"/>
  <c r="J31" i="8"/>
  <c r="I31" i="8"/>
  <c r="G31" i="8"/>
  <c r="F31" i="8"/>
  <c r="E31" i="8"/>
  <c r="D31" i="8"/>
  <c r="L30" i="8"/>
  <c r="G30" i="8"/>
  <c r="L29" i="8"/>
  <c r="G29" i="8"/>
  <c r="F29" i="8"/>
  <c r="E29" i="8"/>
  <c r="D29" i="8"/>
  <c r="L28" i="8"/>
  <c r="G28" i="8"/>
  <c r="F28" i="8"/>
  <c r="E28" i="8"/>
  <c r="D28" i="8"/>
  <c r="L27" i="8"/>
  <c r="G27" i="8"/>
  <c r="F27" i="8"/>
  <c r="E27" i="8"/>
  <c r="D27" i="8"/>
  <c r="L25" i="8"/>
  <c r="G25" i="8"/>
  <c r="F25" i="8"/>
  <c r="E25" i="8"/>
  <c r="D25" i="8"/>
  <c r="L24" i="8"/>
  <c r="G24" i="8"/>
  <c r="F24" i="8"/>
  <c r="E24" i="8"/>
  <c r="D24" i="8"/>
  <c r="L23" i="8"/>
  <c r="G23" i="8"/>
  <c r="F23" i="8"/>
  <c r="E23" i="8"/>
  <c r="D23" i="8"/>
  <c r="L22" i="8"/>
  <c r="G22" i="8"/>
  <c r="F22" i="8"/>
  <c r="E22" i="8"/>
  <c r="D22" i="8"/>
  <c r="L21" i="8"/>
  <c r="K21" i="8"/>
  <c r="J21" i="8"/>
  <c r="I21" i="8"/>
  <c r="G21" i="8"/>
  <c r="F21" i="8"/>
  <c r="E21" i="8"/>
  <c r="D21" i="8"/>
  <c r="L20" i="8"/>
  <c r="K20" i="8"/>
  <c r="J20" i="8"/>
  <c r="I20" i="8"/>
  <c r="G20" i="8"/>
  <c r="F20" i="8"/>
  <c r="E20" i="8"/>
  <c r="D20" i="8"/>
  <c r="O18" i="8"/>
  <c r="K15" i="8"/>
  <c r="J15" i="8"/>
  <c r="I15" i="8"/>
  <c r="G15" i="8"/>
  <c r="F15" i="8"/>
  <c r="E15" i="8"/>
  <c r="D15" i="8"/>
  <c r="G14" i="8"/>
  <c r="F14" i="8"/>
  <c r="E14" i="8"/>
  <c r="G11" i="8"/>
  <c r="E11" i="8"/>
  <c r="D11" i="8"/>
  <c r="K10" i="8"/>
  <c r="J10" i="8"/>
  <c r="I10" i="8"/>
  <c r="G10" i="8"/>
  <c r="E10" i="8"/>
  <c r="D10" i="8"/>
  <c r="F51" i="7"/>
  <c r="F46" i="7"/>
  <c r="F32" i="7"/>
  <c r="F28" i="7"/>
  <c r="F27" i="7"/>
  <c r="F24" i="7"/>
  <c r="F22" i="7"/>
  <c r="F20" i="7"/>
  <c r="F18" i="7"/>
  <c r="F16" i="7"/>
  <c r="F14" i="7"/>
  <c r="F10" i="7"/>
  <c r="A5" i="7"/>
  <c r="C72" i="6"/>
  <c r="I71" i="6"/>
  <c r="H71" i="6"/>
  <c r="G71" i="6"/>
  <c r="F71" i="6"/>
  <c r="E71" i="6"/>
  <c r="D71" i="6"/>
  <c r="I69" i="6"/>
  <c r="H69" i="6"/>
  <c r="G69" i="6"/>
  <c r="F69" i="6"/>
  <c r="E69" i="6"/>
  <c r="D69" i="6"/>
  <c r="I58" i="6"/>
  <c r="H58" i="6"/>
  <c r="G58" i="6"/>
  <c r="F58" i="6"/>
  <c r="E58" i="6"/>
  <c r="D58" i="6"/>
  <c r="I55" i="6"/>
  <c r="H55" i="6"/>
  <c r="G55" i="6"/>
  <c r="F55" i="6"/>
  <c r="E55" i="6"/>
  <c r="D55" i="6"/>
  <c r="I54" i="6"/>
  <c r="H54" i="6"/>
  <c r="G54" i="6"/>
  <c r="F54" i="6"/>
  <c r="E54" i="6"/>
  <c r="D54" i="6"/>
  <c r="I48" i="6"/>
  <c r="H48" i="6"/>
  <c r="G48" i="6"/>
  <c r="F48" i="6"/>
  <c r="E48" i="6"/>
  <c r="D48" i="6"/>
  <c r="K47" i="6"/>
  <c r="I47" i="6"/>
  <c r="H47" i="6"/>
  <c r="G47" i="6"/>
  <c r="F47" i="6"/>
  <c r="E47" i="6"/>
  <c r="D47" i="6"/>
  <c r="I46" i="6"/>
  <c r="G46" i="6"/>
  <c r="I45" i="6"/>
  <c r="I44" i="6"/>
  <c r="G44" i="6"/>
  <c r="I42" i="6"/>
  <c r="I41" i="6"/>
  <c r="G41" i="6"/>
  <c r="I39" i="6"/>
  <c r="D39" i="6"/>
  <c r="I38" i="6"/>
  <c r="D38" i="6"/>
  <c r="I37" i="6"/>
  <c r="D37" i="6"/>
  <c r="I36" i="6"/>
  <c r="D36" i="6"/>
  <c r="I35" i="6"/>
  <c r="E35" i="6"/>
  <c r="D35" i="6"/>
  <c r="I34" i="6"/>
  <c r="E34" i="6"/>
  <c r="D34" i="6"/>
  <c r="I33" i="6"/>
  <c r="E33" i="6"/>
  <c r="D33" i="6"/>
  <c r="I32" i="6"/>
  <c r="E32" i="6"/>
  <c r="I31" i="6"/>
  <c r="D31" i="6"/>
  <c r="I30" i="6"/>
  <c r="D30" i="6"/>
  <c r="I29" i="6"/>
  <c r="D29" i="6"/>
  <c r="I27" i="6"/>
  <c r="D27" i="6"/>
  <c r="I26" i="6"/>
  <c r="D26" i="6"/>
  <c r="I25" i="6"/>
  <c r="D25" i="6"/>
  <c r="I24" i="6"/>
  <c r="D24" i="6"/>
  <c r="I23" i="6"/>
  <c r="E23" i="6"/>
  <c r="D23" i="6"/>
  <c r="I22" i="6"/>
  <c r="E22" i="6"/>
  <c r="D22" i="6"/>
  <c r="I17" i="6"/>
  <c r="G17" i="6"/>
  <c r="E17" i="6"/>
  <c r="D17" i="6"/>
  <c r="I16" i="6"/>
  <c r="D16" i="6"/>
  <c r="I15" i="6"/>
  <c r="I14" i="6"/>
  <c r="I13" i="6"/>
  <c r="I12" i="6"/>
  <c r="D12" i="6"/>
  <c r="I10" i="6"/>
  <c r="G10" i="6"/>
  <c r="E10" i="6"/>
  <c r="D10" i="6"/>
  <c r="A5" i="6"/>
  <c r="C70" i="5"/>
  <c r="G68" i="5"/>
  <c r="G66" i="5"/>
  <c r="G64" i="5"/>
  <c r="F64" i="5"/>
  <c r="E64" i="5"/>
  <c r="D64" i="5"/>
  <c r="C64" i="5"/>
  <c r="B64" i="5"/>
  <c r="G52" i="5"/>
  <c r="G51" i="5"/>
  <c r="G50" i="5"/>
  <c r="G49" i="5"/>
  <c r="G48" i="5"/>
  <c r="B48" i="5"/>
  <c r="G47" i="5"/>
  <c r="G46" i="5"/>
  <c r="G45" i="5"/>
  <c r="G44" i="5"/>
  <c r="G43" i="5"/>
  <c r="G42" i="5"/>
  <c r="G41" i="5"/>
  <c r="G40" i="5"/>
  <c r="F37" i="5"/>
  <c r="E37" i="5"/>
  <c r="D37" i="5"/>
  <c r="C37" i="5"/>
  <c r="B37" i="5"/>
  <c r="G36" i="5"/>
  <c r="F36" i="5"/>
  <c r="E36" i="5"/>
  <c r="D36" i="5"/>
  <c r="C36" i="5"/>
  <c r="B36" i="5"/>
  <c r="G35" i="5"/>
  <c r="B35" i="5"/>
  <c r="G34" i="5"/>
  <c r="G32" i="5"/>
  <c r="G31" i="5"/>
  <c r="E31" i="5"/>
  <c r="G30" i="5"/>
  <c r="G28" i="5"/>
  <c r="G27" i="5"/>
  <c r="B27" i="5"/>
  <c r="G23" i="5"/>
  <c r="G21" i="5"/>
  <c r="F21" i="5"/>
  <c r="E21" i="5"/>
  <c r="D21" i="5"/>
  <c r="C21" i="5"/>
  <c r="B21" i="5"/>
  <c r="G20" i="5"/>
  <c r="G19" i="5"/>
  <c r="G15" i="5"/>
  <c r="F15" i="5"/>
  <c r="E15" i="5"/>
  <c r="C15" i="5"/>
  <c r="B15" i="5"/>
  <c r="G14" i="5"/>
  <c r="B14" i="5"/>
  <c r="G12" i="5"/>
  <c r="F12" i="5"/>
  <c r="E12" i="5"/>
  <c r="C12" i="5"/>
  <c r="B12" i="5"/>
  <c r="G11" i="5"/>
  <c r="G10" i="5"/>
  <c r="B10" i="5"/>
  <c r="A5" i="5"/>
  <c r="G88" i="4"/>
  <c r="B84" i="4"/>
  <c r="I81" i="4"/>
  <c r="H81" i="4"/>
  <c r="G81" i="4"/>
  <c r="H77" i="4"/>
  <c r="D77" i="4"/>
  <c r="C77" i="4"/>
  <c r="B77" i="4"/>
  <c r="H76" i="4"/>
  <c r="D76" i="4"/>
  <c r="C76" i="4"/>
  <c r="B76" i="4"/>
  <c r="H72" i="4"/>
  <c r="H71" i="4"/>
  <c r="G70" i="4"/>
  <c r="I69" i="4"/>
  <c r="H69" i="4"/>
  <c r="G69" i="4"/>
  <c r="I56" i="4"/>
  <c r="H56" i="4"/>
  <c r="G56" i="4"/>
  <c r="I55" i="4"/>
  <c r="H55" i="4"/>
  <c r="G55" i="4"/>
  <c r="I54" i="4"/>
  <c r="H54" i="4"/>
  <c r="G54" i="4"/>
  <c r="I53" i="4"/>
  <c r="H53" i="4"/>
  <c r="G53" i="4"/>
  <c r="I52" i="4"/>
  <c r="I51" i="4"/>
  <c r="I50" i="4"/>
  <c r="H50" i="4"/>
  <c r="G50" i="4"/>
  <c r="I49" i="4"/>
  <c r="G49" i="4"/>
  <c r="I48" i="4"/>
  <c r="G48" i="4"/>
  <c r="I47" i="4"/>
  <c r="I46" i="4"/>
  <c r="I45" i="4"/>
  <c r="G45" i="4"/>
  <c r="I44" i="4"/>
  <c r="I43" i="4"/>
  <c r="G43" i="4"/>
  <c r="I42" i="4"/>
  <c r="G42" i="4"/>
  <c r="I38" i="4"/>
  <c r="H38" i="4"/>
  <c r="G38" i="4"/>
  <c r="E38" i="4"/>
  <c r="D38" i="4"/>
  <c r="C38" i="4"/>
  <c r="B38" i="4"/>
  <c r="I37" i="4"/>
  <c r="H37" i="4"/>
  <c r="G37" i="4"/>
  <c r="E37" i="4"/>
  <c r="D37" i="4"/>
  <c r="C37" i="4"/>
  <c r="B37" i="4"/>
  <c r="I36" i="4"/>
  <c r="H36" i="4"/>
  <c r="C36" i="4"/>
  <c r="B36" i="4"/>
  <c r="I35" i="4"/>
  <c r="H35" i="4"/>
  <c r="C35" i="4"/>
  <c r="B35" i="4"/>
  <c r="I32" i="4"/>
  <c r="H32" i="4"/>
  <c r="G32" i="4"/>
  <c r="E32" i="4"/>
  <c r="D32" i="4"/>
  <c r="C32" i="4"/>
  <c r="B32" i="4"/>
  <c r="I31" i="4"/>
  <c r="G31" i="4"/>
  <c r="I30" i="4"/>
  <c r="G30" i="4"/>
  <c r="I29" i="4"/>
  <c r="G29" i="4"/>
  <c r="I28" i="4"/>
  <c r="G28" i="4"/>
  <c r="B28" i="4"/>
  <c r="I27" i="4"/>
  <c r="G27" i="4"/>
  <c r="B27" i="4"/>
  <c r="I26" i="4"/>
  <c r="G26" i="4"/>
  <c r="B26" i="4"/>
  <c r="I25" i="4"/>
  <c r="G25" i="4"/>
  <c r="B25" i="4"/>
  <c r="I24" i="4"/>
  <c r="G24" i="4"/>
  <c r="B24" i="4"/>
  <c r="I23" i="4"/>
  <c r="G23" i="4"/>
  <c r="E23" i="4"/>
  <c r="D23" i="4"/>
  <c r="B23" i="4"/>
  <c r="I22" i="4"/>
  <c r="G22" i="4"/>
  <c r="I21" i="4"/>
  <c r="G21" i="4"/>
  <c r="B21" i="4"/>
  <c r="I20" i="4"/>
  <c r="G20" i="4"/>
  <c r="B20" i="4"/>
  <c r="I19" i="4"/>
  <c r="G19" i="4"/>
  <c r="B19" i="4"/>
  <c r="I17" i="4"/>
  <c r="G17" i="4"/>
  <c r="B17" i="4"/>
  <c r="I16" i="4"/>
  <c r="G16" i="4"/>
  <c r="B16" i="4"/>
  <c r="I15" i="4"/>
  <c r="G15" i="4"/>
  <c r="B15" i="4"/>
  <c r="I14" i="4"/>
  <c r="G14" i="4"/>
  <c r="B14" i="4"/>
  <c r="I13" i="4"/>
  <c r="G13" i="4"/>
  <c r="D13" i="4"/>
  <c r="B13" i="4"/>
  <c r="I12" i="4"/>
  <c r="G12" i="4"/>
  <c r="D12" i="4"/>
  <c r="B12" i="4"/>
  <c r="C67" i="3"/>
  <c r="B67" i="3"/>
  <c r="D66" i="3"/>
  <c r="C66" i="3"/>
  <c r="B66" i="3"/>
  <c r="D65" i="3"/>
  <c r="C65" i="3"/>
  <c r="B65" i="3"/>
  <c r="D52" i="3"/>
  <c r="C52" i="3"/>
  <c r="B52" i="3"/>
  <c r="D50" i="3"/>
  <c r="C50" i="3"/>
  <c r="B50" i="3"/>
  <c r="D49" i="3"/>
  <c r="D48" i="3"/>
  <c r="D47" i="3"/>
  <c r="D45" i="3"/>
  <c r="B45" i="3"/>
  <c r="D42" i="3"/>
  <c r="C42" i="3"/>
  <c r="B42" i="3"/>
  <c r="D41" i="3"/>
  <c r="C41" i="3"/>
  <c r="D40" i="3"/>
  <c r="C40" i="3"/>
  <c r="B40" i="3"/>
  <c r="D39" i="3"/>
  <c r="C39" i="3"/>
  <c r="B39" i="3"/>
  <c r="D38" i="3"/>
  <c r="D36" i="3"/>
  <c r="C36" i="3"/>
  <c r="B36" i="3"/>
  <c r="D35" i="3"/>
  <c r="C35" i="3"/>
  <c r="B35" i="3"/>
  <c r="D34" i="3"/>
  <c r="C34" i="3"/>
  <c r="B34" i="3"/>
  <c r="D33" i="3"/>
  <c r="C33" i="3"/>
  <c r="B33" i="3"/>
  <c r="D32" i="3"/>
  <c r="B32" i="3"/>
  <c r="D30" i="3"/>
  <c r="B30" i="3"/>
  <c r="D29" i="3"/>
  <c r="B29" i="3"/>
  <c r="D28" i="3"/>
  <c r="D25" i="3"/>
  <c r="C25" i="3"/>
  <c r="B25" i="3"/>
  <c r="D24" i="3"/>
  <c r="C24" i="3"/>
  <c r="B24" i="3"/>
  <c r="D23" i="3"/>
  <c r="C23" i="3"/>
  <c r="B23" i="3"/>
  <c r="D22" i="3"/>
  <c r="C22" i="3"/>
  <c r="B22" i="3"/>
  <c r="D20" i="3"/>
  <c r="C20" i="3"/>
  <c r="B20" i="3"/>
  <c r="D19" i="3"/>
  <c r="C19" i="3"/>
  <c r="B19" i="3"/>
  <c r="D18" i="3"/>
  <c r="B18" i="3"/>
  <c r="D17" i="3"/>
  <c r="D15" i="3"/>
  <c r="D14" i="3"/>
  <c r="D13" i="3"/>
  <c r="D12" i="3"/>
  <c r="C12" i="3"/>
  <c r="B12" i="3"/>
  <c r="D11" i="3"/>
  <c r="D10" i="3"/>
  <c r="B10" i="3"/>
  <c r="D9" i="3"/>
  <c r="C9" i="3"/>
  <c r="B9" i="3"/>
  <c r="F114" i="27"/>
  <c r="E114" i="27"/>
  <c r="D114" i="27"/>
  <c r="C114" i="27"/>
  <c r="P113" i="27"/>
  <c r="E113" i="27"/>
  <c r="F112" i="27"/>
  <c r="E112" i="27"/>
  <c r="D112" i="27"/>
  <c r="C112" i="27"/>
  <c r="B112" i="27"/>
  <c r="M106" i="27"/>
  <c r="L106" i="27"/>
  <c r="K106" i="27"/>
  <c r="J106" i="27"/>
  <c r="I106" i="27"/>
  <c r="G106" i="27"/>
  <c r="F106" i="27"/>
  <c r="E106" i="27"/>
  <c r="D106" i="27"/>
  <c r="C106" i="27"/>
  <c r="B106" i="27"/>
  <c r="M105" i="27"/>
  <c r="L105" i="27"/>
  <c r="K105" i="27"/>
  <c r="J105" i="27"/>
  <c r="I105" i="27"/>
  <c r="G105" i="27"/>
  <c r="F105" i="27"/>
  <c r="M104" i="27"/>
  <c r="L104" i="27"/>
  <c r="K104" i="27"/>
  <c r="J104" i="27"/>
  <c r="I104" i="27"/>
  <c r="G104" i="27"/>
  <c r="F104" i="27"/>
  <c r="G103" i="27"/>
  <c r="F103" i="27"/>
  <c r="E103" i="27"/>
  <c r="D103" i="27"/>
  <c r="C103" i="27"/>
  <c r="B103" i="27"/>
  <c r="G93" i="27"/>
  <c r="F93" i="27"/>
  <c r="E93" i="27"/>
  <c r="D93" i="27"/>
  <c r="C93" i="27"/>
  <c r="B93" i="27"/>
  <c r="F92" i="27"/>
  <c r="D92" i="27"/>
  <c r="B92" i="27"/>
  <c r="M88" i="27"/>
  <c r="L88" i="27"/>
  <c r="K88" i="27"/>
  <c r="J88" i="27"/>
  <c r="I88" i="27"/>
  <c r="G88" i="27"/>
  <c r="F88" i="27"/>
  <c r="E88" i="27"/>
  <c r="D88" i="27"/>
  <c r="C88" i="27"/>
  <c r="B88" i="27"/>
  <c r="M87" i="27"/>
  <c r="L87" i="27"/>
  <c r="K87" i="27"/>
  <c r="J87" i="27"/>
  <c r="I87" i="27"/>
  <c r="G87" i="27"/>
  <c r="F87" i="27"/>
  <c r="M86" i="27"/>
  <c r="L86" i="27"/>
  <c r="K86" i="27"/>
  <c r="J86" i="27"/>
  <c r="I86" i="27"/>
  <c r="G86" i="27"/>
  <c r="F86" i="27"/>
  <c r="M85" i="27"/>
  <c r="L85" i="27"/>
  <c r="K85" i="27"/>
  <c r="J85" i="27"/>
  <c r="I85" i="27"/>
  <c r="G85" i="27"/>
  <c r="F85" i="27"/>
  <c r="M84" i="27"/>
  <c r="L84" i="27"/>
  <c r="K84" i="27"/>
  <c r="J84" i="27"/>
  <c r="I84" i="27"/>
  <c r="G84" i="27"/>
  <c r="F84" i="27"/>
  <c r="M83" i="27"/>
  <c r="L83" i="27"/>
  <c r="K83" i="27"/>
  <c r="J83" i="27"/>
  <c r="I83" i="27"/>
  <c r="G83" i="27"/>
  <c r="F83" i="27"/>
  <c r="M82" i="27"/>
  <c r="L82" i="27"/>
  <c r="K82" i="27"/>
  <c r="J82" i="27"/>
  <c r="I82" i="27"/>
  <c r="G82" i="27"/>
  <c r="F82" i="27"/>
  <c r="M81" i="27"/>
  <c r="L81" i="27"/>
  <c r="K81" i="27"/>
  <c r="J81" i="27"/>
  <c r="I81" i="27"/>
  <c r="G81" i="27"/>
  <c r="F81" i="27"/>
  <c r="G80" i="27"/>
  <c r="F80" i="27"/>
  <c r="E80" i="27"/>
  <c r="D80" i="27"/>
  <c r="C80" i="27"/>
  <c r="B80" i="27"/>
  <c r="G74" i="27"/>
  <c r="F74" i="27"/>
  <c r="E74" i="27"/>
  <c r="D74" i="27"/>
  <c r="C74" i="27"/>
  <c r="B74" i="27"/>
  <c r="F73" i="27"/>
  <c r="D73" i="27"/>
  <c r="B73" i="27"/>
  <c r="G72" i="27"/>
  <c r="E72" i="27"/>
  <c r="C72" i="27"/>
  <c r="G71" i="27"/>
  <c r="E71" i="27"/>
  <c r="C71" i="27"/>
  <c r="F70" i="27"/>
  <c r="D70" i="27"/>
  <c r="B70" i="27"/>
  <c r="G67" i="27"/>
  <c r="F67" i="27"/>
  <c r="E67" i="27"/>
  <c r="D67" i="27"/>
  <c r="C67" i="27"/>
  <c r="B67" i="27"/>
  <c r="Q66" i="27"/>
  <c r="F66" i="27"/>
  <c r="Q65" i="27"/>
  <c r="G65" i="27"/>
  <c r="F65" i="27"/>
  <c r="E65" i="27"/>
  <c r="D65" i="27"/>
  <c r="C65" i="27"/>
  <c r="B65" i="27"/>
  <c r="Q64" i="27"/>
  <c r="M64" i="27"/>
  <c r="L64" i="27"/>
  <c r="K64" i="27"/>
  <c r="J64" i="27"/>
  <c r="I64" i="27"/>
  <c r="G64" i="27"/>
  <c r="F64" i="27"/>
  <c r="E64" i="27"/>
  <c r="D64" i="27"/>
  <c r="C64" i="27"/>
  <c r="B64" i="27"/>
  <c r="G63" i="27"/>
  <c r="F63" i="27"/>
  <c r="D63" i="27"/>
  <c r="B63" i="27"/>
  <c r="G62" i="27"/>
  <c r="F62" i="27"/>
  <c r="D62" i="27"/>
  <c r="B62" i="27"/>
  <c r="M61" i="27"/>
  <c r="L61" i="27"/>
  <c r="K61" i="27"/>
  <c r="J61" i="27"/>
  <c r="I61" i="27"/>
  <c r="G61" i="27"/>
  <c r="F61" i="27"/>
  <c r="E61" i="27"/>
  <c r="D61" i="27"/>
  <c r="C61" i="27"/>
  <c r="B61" i="27"/>
  <c r="M60" i="27"/>
  <c r="L60" i="27"/>
  <c r="K60" i="27"/>
  <c r="J60" i="27"/>
  <c r="I60" i="27"/>
  <c r="G60" i="27"/>
  <c r="F60" i="27"/>
  <c r="D60" i="27"/>
  <c r="M59" i="27"/>
  <c r="L59" i="27"/>
  <c r="K59" i="27"/>
  <c r="J59" i="27"/>
  <c r="I59" i="27"/>
  <c r="G59" i="27"/>
  <c r="F59" i="27"/>
  <c r="D59" i="27"/>
  <c r="M57" i="27"/>
  <c r="L57" i="27"/>
  <c r="K57" i="27"/>
  <c r="J57" i="27"/>
  <c r="I57" i="27"/>
  <c r="G57" i="27"/>
  <c r="F57" i="27"/>
  <c r="C57" i="27"/>
  <c r="B57" i="27"/>
  <c r="M56" i="27"/>
  <c r="L56" i="27"/>
  <c r="K56" i="27"/>
  <c r="J56" i="27"/>
  <c r="I56" i="27"/>
  <c r="G56" i="27"/>
  <c r="F56" i="27"/>
  <c r="C56" i="27"/>
  <c r="B56" i="27"/>
  <c r="M55" i="27"/>
  <c r="L55" i="27"/>
  <c r="K55" i="27"/>
  <c r="J55" i="27"/>
  <c r="I55" i="27"/>
  <c r="G55" i="27"/>
  <c r="F55" i="27"/>
  <c r="C55" i="27"/>
  <c r="B55" i="27"/>
  <c r="M54" i="27"/>
  <c r="L54" i="27"/>
  <c r="K54" i="27"/>
  <c r="J54" i="27"/>
  <c r="I54" i="27"/>
  <c r="G54" i="27"/>
  <c r="F54" i="27"/>
  <c r="B54" i="27"/>
  <c r="M53" i="27"/>
  <c r="L53" i="27"/>
  <c r="K53" i="27"/>
  <c r="J53" i="27"/>
  <c r="I53" i="27"/>
  <c r="G53" i="27"/>
  <c r="F53" i="27"/>
  <c r="C53" i="27"/>
  <c r="B53" i="27"/>
  <c r="M52" i="27"/>
  <c r="L52" i="27"/>
  <c r="K52" i="27"/>
  <c r="J52" i="27"/>
  <c r="I52" i="27"/>
  <c r="G52" i="27"/>
  <c r="F52" i="27"/>
  <c r="C52" i="27"/>
  <c r="B52" i="27"/>
  <c r="M48" i="27"/>
  <c r="L48" i="27"/>
  <c r="K48" i="27"/>
  <c r="J48" i="27"/>
  <c r="I48" i="27"/>
  <c r="G48" i="27"/>
  <c r="F48" i="27"/>
  <c r="E48" i="27"/>
  <c r="D48" i="27"/>
  <c r="C48" i="27"/>
  <c r="B48" i="27"/>
  <c r="Q47" i="27"/>
  <c r="M47" i="27"/>
  <c r="L47" i="27"/>
  <c r="K47" i="27"/>
  <c r="J47" i="27"/>
  <c r="I47" i="27"/>
  <c r="G47" i="27"/>
  <c r="F47" i="27"/>
  <c r="E47" i="27"/>
  <c r="D47" i="27"/>
  <c r="C47" i="27"/>
  <c r="B47" i="27"/>
  <c r="Q46" i="27"/>
  <c r="Q45" i="27"/>
  <c r="M45" i="27"/>
  <c r="L45" i="27"/>
  <c r="K45" i="27"/>
  <c r="J45" i="27"/>
  <c r="I45" i="27"/>
  <c r="G45" i="27"/>
  <c r="F45" i="27"/>
  <c r="E45" i="27"/>
  <c r="D45" i="27"/>
  <c r="B45" i="27"/>
  <c r="M44" i="27"/>
  <c r="L44" i="27"/>
  <c r="K44" i="27"/>
  <c r="J44" i="27"/>
  <c r="I44" i="27"/>
  <c r="G44" i="27"/>
  <c r="F44" i="27"/>
  <c r="E44" i="27"/>
  <c r="D44" i="27"/>
  <c r="C44" i="27"/>
  <c r="B44" i="27"/>
  <c r="M43" i="27"/>
  <c r="L43" i="27"/>
  <c r="K43" i="27"/>
  <c r="J43" i="27"/>
  <c r="I43" i="27"/>
  <c r="G43" i="27"/>
  <c r="F43" i="27"/>
  <c r="E43" i="27"/>
  <c r="D43" i="27"/>
  <c r="B43" i="27"/>
  <c r="G40" i="27"/>
  <c r="F40" i="27"/>
  <c r="E40" i="27"/>
  <c r="D40" i="27"/>
  <c r="C40" i="27"/>
  <c r="B40" i="27"/>
  <c r="D33" i="27"/>
  <c r="I32" i="27"/>
  <c r="D32" i="27"/>
  <c r="I31" i="27"/>
  <c r="D31" i="27"/>
  <c r="D30" i="27"/>
  <c r="B30" i="27"/>
  <c r="D29" i="27"/>
  <c r="B29" i="27"/>
  <c r="G28" i="27"/>
  <c r="F28" i="27"/>
  <c r="E28" i="27"/>
  <c r="D28" i="27"/>
  <c r="C28" i="27"/>
  <c r="B28" i="27"/>
  <c r="F27" i="27"/>
  <c r="D27" i="27"/>
  <c r="B27" i="27"/>
  <c r="F26" i="27"/>
  <c r="D26" i="27"/>
  <c r="B26" i="27"/>
  <c r="M23" i="27"/>
  <c r="L23" i="27"/>
  <c r="K23" i="27"/>
  <c r="J23" i="27"/>
  <c r="I23" i="27"/>
  <c r="G23" i="27"/>
  <c r="F23" i="27"/>
  <c r="E23" i="27"/>
  <c r="D23" i="27"/>
  <c r="C23" i="27"/>
  <c r="B23" i="27"/>
  <c r="M22" i="27"/>
  <c r="L22" i="27"/>
  <c r="K22" i="27"/>
  <c r="J22" i="27"/>
  <c r="I22" i="27"/>
  <c r="G22" i="27"/>
  <c r="F22" i="27"/>
  <c r="E22" i="27"/>
  <c r="D22" i="27"/>
  <c r="C22" i="27"/>
  <c r="B22" i="27"/>
  <c r="M21" i="27"/>
  <c r="L21" i="27"/>
  <c r="K21" i="27"/>
  <c r="J21" i="27"/>
  <c r="I21" i="27"/>
  <c r="G21" i="27"/>
  <c r="F21" i="27"/>
  <c r="D21" i="27"/>
  <c r="B21" i="27"/>
  <c r="M20" i="27"/>
  <c r="L20" i="27"/>
  <c r="K20" i="27"/>
  <c r="J20" i="27"/>
  <c r="I20" i="27"/>
  <c r="G20" i="27"/>
  <c r="F20" i="27"/>
  <c r="D20" i="27"/>
  <c r="B20" i="27"/>
  <c r="M18" i="27"/>
  <c r="L18" i="27"/>
  <c r="K18" i="27"/>
  <c r="J18" i="27"/>
  <c r="I18" i="27"/>
  <c r="G18" i="27"/>
  <c r="F18" i="27"/>
  <c r="D18" i="27"/>
  <c r="B18" i="27"/>
  <c r="M16" i="27"/>
  <c r="L16" i="27"/>
  <c r="K16" i="27"/>
  <c r="J16" i="27"/>
  <c r="I16" i="27"/>
  <c r="G16" i="27"/>
  <c r="F16" i="27"/>
  <c r="E16" i="27"/>
  <c r="D16" i="27"/>
  <c r="C16" i="27"/>
  <c r="B16" i="27"/>
  <c r="M15" i="27"/>
  <c r="L15" i="27"/>
  <c r="K15" i="27"/>
  <c r="J15" i="27"/>
  <c r="I15" i="27"/>
  <c r="G15" i="27"/>
  <c r="F15" i="27"/>
  <c r="D15" i="27"/>
  <c r="B15" i="27"/>
  <c r="M14" i="27"/>
  <c r="L14" i="27"/>
  <c r="K14" i="27"/>
  <c r="J14" i="27"/>
  <c r="I14" i="27"/>
  <c r="G14" i="27"/>
  <c r="F14" i="27"/>
  <c r="D14" i="27"/>
  <c r="B14" i="27"/>
  <c r="M12" i="27"/>
  <c r="L12" i="27"/>
  <c r="K12" i="27"/>
  <c r="J12" i="27"/>
  <c r="I12" i="27"/>
  <c r="G12" i="27"/>
  <c r="F12" i="27"/>
  <c r="D12" i="27"/>
  <c r="B12" i="27"/>
  <c r="M10" i="27"/>
  <c r="L10" i="27"/>
  <c r="K10" i="27"/>
  <c r="J10" i="27"/>
  <c r="I10" i="27"/>
  <c r="G10" i="27"/>
  <c r="F10" i="27"/>
  <c r="E10" i="27"/>
  <c r="D10" i="27"/>
  <c r="C10" i="27"/>
  <c r="B10" i="27"/>
  <c r="Q9" i="27"/>
  <c r="P9" i="27"/>
  <c r="M9" i="27"/>
  <c r="L9" i="27"/>
  <c r="K9" i="27"/>
  <c r="J9" i="27"/>
  <c r="I9" i="27"/>
  <c r="G9" i="27"/>
  <c r="F9" i="27"/>
  <c r="D9" i="27"/>
  <c r="B9" i="27"/>
  <c r="Q8" i="27"/>
  <c r="P8" i="27"/>
  <c r="N8" i="27"/>
  <c r="M8" i="27"/>
  <c r="L8" i="27"/>
  <c r="K8" i="27"/>
  <c r="J8" i="27"/>
  <c r="I8" i="27"/>
  <c r="G8" i="27"/>
  <c r="F8" i="27"/>
  <c r="E8" i="27"/>
  <c r="D8" i="27"/>
  <c r="C8" i="27"/>
  <c r="B8" i="27"/>
  <c r="Q7" i="27"/>
  <c r="P7" i="27"/>
  <c r="M7" i="27"/>
  <c r="L7" i="27"/>
  <c r="K7" i="27"/>
  <c r="J7" i="27"/>
  <c r="I7" i="27"/>
  <c r="H7" i="27"/>
  <c r="G7" i="27"/>
  <c r="F7" i="27"/>
  <c r="D7" i="27"/>
  <c r="B7" i="27"/>
  <c r="G5" i="27"/>
  <c r="F5" i="27"/>
  <c r="E5" i="27"/>
  <c r="D5" i="27"/>
  <c r="C5" i="27"/>
  <c r="B5" i="27"/>
  <c r="H56" i="28"/>
  <c r="H53" i="28"/>
  <c r="G53" i="28"/>
  <c r="F53" i="28"/>
  <c r="D53" i="28"/>
  <c r="C53" i="28"/>
  <c r="B53" i="28"/>
  <c r="D52" i="28"/>
  <c r="H51" i="28"/>
  <c r="G51" i="28"/>
  <c r="F51" i="28"/>
  <c r="D51" i="28"/>
  <c r="C51" i="28"/>
  <c r="B51" i="28"/>
  <c r="H50" i="28"/>
  <c r="D50" i="28"/>
  <c r="B50" i="28"/>
  <c r="H47" i="28"/>
  <c r="G47" i="28"/>
  <c r="F47" i="28"/>
  <c r="D47" i="28"/>
  <c r="C47" i="28"/>
  <c r="B47" i="28"/>
  <c r="A46" i="28"/>
  <c r="H45" i="28"/>
  <c r="G45" i="28"/>
  <c r="F45" i="28"/>
  <c r="D45" i="28"/>
  <c r="C45" i="28"/>
  <c r="B45" i="28"/>
  <c r="A45" i="28"/>
  <c r="G44" i="28"/>
  <c r="F44" i="28"/>
  <c r="D44" i="28"/>
  <c r="C44" i="28"/>
  <c r="B44" i="28"/>
  <c r="H42" i="28"/>
  <c r="G42" i="28"/>
  <c r="F42" i="28"/>
  <c r="D42" i="28"/>
  <c r="C42" i="28"/>
  <c r="B42" i="28"/>
  <c r="H41" i="28"/>
  <c r="G41" i="28"/>
  <c r="F41" i="28"/>
  <c r="D41" i="28"/>
  <c r="C41" i="28"/>
  <c r="B41" i="28"/>
  <c r="H40" i="28"/>
  <c r="D40" i="28"/>
  <c r="H39" i="28"/>
  <c r="G39" i="28"/>
  <c r="F39" i="28"/>
  <c r="D39" i="28"/>
  <c r="C39" i="28"/>
  <c r="B39" i="28"/>
  <c r="A39" i="28"/>
  <c r="H38" i="28"/>
  <c r="G38" i="28"/>
  <c r="F38" i="28"/>
  <c r="D38" i="28"/>
  <c r="C38" i="28"/>
  <c r="B38" i="28"/>
  <c r="H35" i="28"/>
  <c r="G35" i="28"/>
  <c r="F35" i="28"/>
  <c r="D35" i="28"/>
  <c r="C35" i="28"/>
  <c r="B35" i="28"/>
  <c r="H34" i="28"/>
  <c r="D34" i="28"/>
  <c r="H33" i="28"/>
  <c r="G33" i="28"/>
  <c r="F33" i="28"/>
  <c r="D33" i="28"/>
  <c r="H29" i="28"/>
  <c r="G29" i="28"/>
  <c r="F29" i="28"/>
  <c r="D29" i="28"/>
  <c r="C29" i="28"/>
  <c r="B29" i="28"/>
  <c r="H28" i="28"/>
  <c r="G28" i="28"/>
  <c r="F28" i="28"/>
  <c r="D28" i="28"/>
  <c r="C28" i="28"/>
  <c r="B28" i="28"/>
  <c r="A28" i="28"/>
  <c r="H27" i="28"/>
  <c r="G27" i="28"/>
  <c r="F27" i="28"/>
  <c r="D27" i="28"/>
  <c r="C27" i="28"/>
  <c r="B27" i="28"/>
  <c r="A27" i="28"/>
  <c r="H26" i="28"/>
  <c r="G26" i="28"/>
  <c r="F26" i="28"/>
  <c r="D26" i="28"/>
  <c r="C26" i="28"/>
  <c r="B26" i="28"/>
  <c r="I24" i="28"/>
  <c r="H24" i="28"/>
  <c r="G24" i="28"/>
  <c r="F24" i="28"/>
  <c r="D24" i="28"/>
  <c r="C24" i="28"/>
  <c r="B24" i="28"/>
  <c r="H23" i="28"/>
  <c r="G23" i="28"/>
  <c r="F23" i="28"/>
  <c r="D23" i="28"/>
  <c r="H22" i="28"/>
  <c r="G22" i="28"/>
  <c r="F22" i="28"/>
  <c r="D22" i="28"/>
  <c r="H21" i="28"/>
  <c r="F21" i="28"/>
  <c r="D21" i="28"/>
  <c r="H17" i="28"/>
  <c r="G17" i="28"/>
  <c r="F17" i="28"/>
  <c r="D17" i="28"/>
  <c r="C17" i="28"/>
  <c r="B17" i="28"/>
  <c r="I16" i="28"/>
  <c r="H16" i="28"/>
  <c r="F16" i="28"/>
  <c r="D16" i="28"/>
  <c r="H15" i="28"/>
  <c r="G15" i="28"/>
  <c r="F15" i="28"/>
  <c r="D15" i="28"/>
  <c r="C15" i="28"/>
  <c r="B15" i="28"/>
  <c r="H14" i="28"/>
  <c r="G14" i="28"/>
  <c r="D14" i="28"/>
  <c r="H13" i="28"/>
  <c r="G13" i="28"/>
  <c r="F13" i="28"/>
  <c r="D13" i="28"/>
  <c r="H12" i="28"/>
  <c r="G12" i="28"/>
  <c r="F12" i="28"/>
  <c r="D12" i="28"/>
  <c r="C12" i="28"/>
  <c r="B12"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Kelley May</author>
  </authors>
  <commentList>
    <comment ref="B39" authorId="0" shapeId="0" xr:uid="{00000000-0006-0000-0000-000001000000}">
      <text>
        <r>
          <rPr>
            <b/>
            <sz val="9"/>
            <color indexed="81"/>
            <rFont val="Tahoma"/>
            <family val="2"/>
          </rPr>
          <t>Kelley May:</t>
        </r>
        <r>
          <rPr>
            <sz val="9"/>
            <color indexed="81"/>
            <rFont val="Tahoma"/>
            <family val="2"/>
          </rPr>
          <t xml:space="preserve">
adjusted difference from prior year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lgc0206</author>
  </authors>
  <commentList>
    <comment ref="F14" authorId="0" shapeId="0" xr:uid="{00000000-0006-0000-0400-000001000000}">
      <text>
        <r>
          <rPr>
            <b/>
            <sz val="9"/>
            <color indexed="81"/>
            <rFont val="Tahoma"/>
            <family val="2"/>
          </rPr>
          <t>lgc0206:</t>
        </r>
        <r>
          <rPr>
            <sz val="9"/>
            <color indexed="81"/>
            <rFont val="Tahoma"/>
            <family val="2"/>
          </rPr>
          <t xml:space="preserve">
Includes impairment loss. See reconciliation included in the notes.</t>
        </r>
      </text>
    </comment>
  </commentList>
</comments>
</file>

<file path=xl/sharedStrings.xml><?xml version="1.0" encoding="utf-8"?>
<sst xmlns="http://schemas.openxmlformats.org/spreadsheetml/2006/main" count="1189" uniqueCount="675">
  <si>
    <t>Carolina County Board of Education, North Carolina</t>
  </si>
  <si>
    <t>Schedule of Required Supplementary Information</t>
  </si>
  <si>
    <t>Retiree Health Benefit Fund</t>
  </si>
  <si>
    <t xml:space="preserve">Board's proportion of the net OPEB liability (asset) </t>
  </si>
  <si>
    <t>Board's proportionate share of the net OPEB liability (asset)</t>
  </si>
  <si>
    <t>Board's covered payroll</t>
  </si>
  <si>
    <t>Board's proportionate share of the net OPEB liability (asset) as a percentage of its covered payroll</t>
  </si>
  <si>
    <t>Plan Fiduciary net position as a percentage of the total OPEB liability</t>
  </si>
  <si>
    <t>*  The amounts presented for each fiscal year were determined as of the prior fiscal year ending June 30.</t>
  </si>
  <si>
    <t>Exhibit 9</t>
  </si>
  <si>
    <t>Statement of Cash Flows</t>
  </si>
  <si>
    <t>Proprietary Funds</t>
  </si>
  <si>
    <t>Enterprise Funds</t>
  </si>
  <si>
    <t>Major Fund</t>
  </si>
  <si>
    <t>Non-major Fund</t>
  </si>
  <si>
    <t>School Food Service</t>
  </si>
  <si>
    <t>Child Care</t>
  </si>
  <si>
    <t>Total</t>
  </si>
  <si>
    <t>Cash received from customers</t>
  </si>
  <si>
    <t>Cash paid for goods and services</t>
  </si>
  <si>
    <t>Cash paid to employees for services</t>
  </si>
  <si>
    <t>Other operating revenues</t>
  </si>
  <si>
    <t>Net cash provided (used) by operating activities</t>
  </si>
  <si>
    <t>Federal reimbursements</t>
  </si>
  <si>
    <t>Acquisition of capital assets</t>
  </si>
  <si>
    <t>Interest on investments</t>
  </si>
  <si>
    <t>Net increase (decrease) in cash and cash equivalents</t>
  </si>
  <si>
    <t>Balances, beginning</t>
  </si>
  <si>
    <t>Balances, ending</t>
  </si>
  <si>
    <t>Reconciliation of operating income to net cash provided by operating activities</t>
  </si>
  <si>
    <t>Operating income</t>
  </si>
  <si>
    <t>Adjustments to reconcile operating income to net cash provided by operating activities:</t>
  </si>
  <si>
    <t>Depreciation</t>
  </si>
  <si>
    <t>Donated commodities consumed</t>
  </si>
  <si>
    <t>Salaries paid by special revenue fund</t>
  </si>
  <si>
    <t>Indirect costs not paid</t>
  </si>
  <si>
    <t>Changes in assets, deferred outflows of resources, and liabilities:</t>
  </si>
  <si>
    <t>(Increase) in due from other governments</t>
  </si>
  <si>
    <t>Decrease in accounts receivable</t>
  </si>
  <si>
    <t>(Increase) in inventory</t>
  </si>
  <si>
    <t xml:space="preserve">Increase in net pension liability </t>
  </si>
  <si>
    <t>Increase in net OPEB Liability</t>
  </si>
  <si>
    <t>(Decrease) in deferred outflows</t>
  </si>
  <si>
    <t>(Decrease) in deferred outflows RHBF</t>
  </si>
  <si>
    <t>(Decrease) in deferred outflows DIPNC</t>
  </si>
  <si>
    <t>Increase in deferred inflows</t>
  </si>
  <si>
    <t>Increase in deferred inflows RHBF</t>
  </si>
  <si>
    <t>Increase (decrease) in accounts payable and accrued liabilities</t>
  </si>
  <si>
    <t>Increase (decrease) in long-term liabilities</t>
  </si>
  <si>
    <t>Total adjustments</t>
  </si>
  <si>
    <t>Net cash provided by operating activities</t>
  </si>
  <si>
    <t>(continued)</t>
  </si>
  <si>
    <t>Noncash investing, capital, and financing activities:</t>
  </si>
  <si>
    <t>The State Public School Fund paid salaries and benefits of $14,000 to administrative personnel of the School Food Service Fund during the fiscal year.  The payment is reflected by a transfer in and an operating expense on Exhibit 8.</t>
  </si>
  <si>
    <t>Indirect costs of $4,000 that would be due to the General Fund were not paid.  These unpaid costs are reflected as a nonoperating revenue and an operating expense on Exhibit 8.</t>
  </si>
  <si>
    <t>The School Food Service Fund received donated commodities with a  value of $20,641 during the fiscal year.  The receipt of the commodities is recognized as a nonoperating revenue.  The Fund recorded the consumption of $19,641 worth of donated commodities during the fiscal year as an operating expense.  These transactions are reported on Exhibit 8.</t>
  </si>
  <si>
    <t>Exhibit 1</t>
  </si>
  <si>
    <t>Statement of Net Position</t>
  </si>
  <si>
    <t>Primary Government</t>
  </si>
  <si>
    <t>Governmental Activities</t>
  </si>
  <si>
    <t>Business-type Activities</t>
  </si>
  <si>
    <t>Cash and cash equivalents</t>
  </si>
  <si>
    <t>Due from other governments</t>
  </si>
  <si>
    <t>Receivables (net)</t>
  </si>
  <si>
    <t>Net OPEB asset</t>
  </si>
  <si>
    <t>Internal balances</t>
  </si>
  <si>
    <t>Inventories</t>
  </si>
  <si>
    <t>Assets held for resale</t>
  </si>
  <si>
    <t>Capital assets (Note 1):</t>
  </si>
  <si>
    <t>Other capital assets, net of depreciation</t>
  </si>
  <si>
    <t>Total capital assets</t>
  </si>
  <si>
    <t>Total assets</t>
  </si>
  <si>
    <t>Accounts payable and accrued expenses</t>
  </si>
  <si>
    <t>Accrued salaries and wages payable</t>
  </si>
  <si>
    <t>Accrued interest payable</t>
  </si>
  <si>
    <t>Long-term liabilities:</t>
  </si>
  <si>
    <t>Due within one year</t>
  </si>
  <si>
    <t>Net pension liability</t>
  </si>
  <si>
    <t>Due in more than one year</t>
  </si>
  <si>
    <t>Total liabilities</t>
  </si>
  <si>
    <t>Net investment in capital assets</t>
  </si>
  <si>
    <t>Restricted:</t>
  </si>
  <si>
    <t xml:space="preserve">Unrestricted </t>
  </si>
  <si>
    <t>Total net position</t>
  </si>
  <si>
    <t>The notes to the financial statements are an integral part of this statement.</t>
  </si>
  <si>
    <t>Exhibit 2</t>
  </si>
  <si>
    <t>Statement of Activities</t>
  </si>
  <si>
    <t>Program Revenues</t>
  </si>
  <si>
    <t>Net (Expense) Revenue and Changes in Net Position</t>
  </si>
  <si>
    <t>Functions/Programs</t>
  </si>
  <si>
    <t>Expenses</t>
  </si>
  <si>
    <t>Charges for Services</t>
  </si>
  <si>
    <t>Operating Grants and Contributions</t>
  </si>
  <si>
    <t>Capital Grants and Contributions</t>
  </si>
  <si>
    <t>Primary government:</t>
  </si>
  <si>
    <t>Governmental Activities:</t>
  </si>
  <si>
    <t>Instructional services:</t>
  </si>
  <si>
    <t>Regular instructional</t>
  </si>
  <si>
    <t>Special populations</t>
  </si>
  <si>
    <t>Alternative programs</t>
  </si>
  <si>
    <t>School leadership</t>
  </si>
  <si>
    <t>Co-curricular</t>
  </si>
  <si>
    <t>School-based support</t>
  </si>
  <si>
    <t>System-wide support services:</t>
  </si>
  <si>
    <t>Support and development</t>
  </si>
  <si>
    <t>Special population support and development</t>
  </si>
  <si>
    <t>Alternative programs and services support and development</t>
  </si>
  <si>
    <t>Technology support</t>
  </si>
  <si>
    <t>Operational support</t>
  </si>
  <si>
    <t>Financial and human resource</t>
  </si>
  <si>
    <t>Accountability</t>
  </si>
  <si>
    <t>System-wide pupil support</t>
  </si>
  <si>
    <t>Policy, leadership and public relations</t>
  </si>
  <si>
    <t>Ancillary services</t>
  </si>
  <si>
    <t>Non-programmed charges</t>
  </si>
  <si>
    <t>Interest on long-term debt</t>
  </si>
  <si>
    <t>Unallocated depreciation expense**</t>
  </si>
  <si>
    <t>Total governmental activities</t>
  </si>
  <si>
    <t>Business-type activities:</t>
  </si>
  <si>
    <t>School food service</t>
  </si>
  <si>
    <t>Child care</t>
  </si>
  <si>
    <t>Total business-type activities</t>
  </si>
  <si>
    <t>Total primary government</t>
  </si>
  <si>
    <t>General revenues:</t>
  </si>
  <si>
    <t>Unrestricted county appropriations - operating</t>
  </si>
  <si>
    <t>Unrestricted county appropriations - capital</t>
  </si>
  <si>
    <t>Unrestricted State appropriation - capital</t>
  </si>
  <si>
    <t>Unrestricted Federal appropriations - operating *, ***</t>
  </si>
  <si>
    <t>Unrestricted Federal appropriations - capital *, ***</t>
  </si>
  <si>
    <t>Investment earnings, unrestricted</t>
  </si>
  <si>
    <t>Miscellaneous, unrestricted</t>
  </si>
  <si>
    <t>Extraordinary Item: Asset impairment loss - mold remediation</t>
  </si>
  <si>
    <t>Transfers</t>
  </si>
  <si>
    <t>Change in net position</t>
  </si>
  <si>
    <t>Net position, ending</t>
  </si>
  <si>
    <t>**   This amount excludes the depreciation that is included in the direct expenses of the various programs.</t>
  </si>
  <si>
    <t>***  Some units may receive federal grants that may be used for either capital and/or operating purposes for the benefit of all programs and functions;  these grants would be classified as unrestricted.</t>
  </si>
  <si>
    <t>Exhibit 3</t>
  </si>
  <si>
    <t>Balance Sheet</t>
  </si>
  <si>
    <t>Governmental Funds</t>
  </si>
  <si>
    <t>Major Funds</t>
  </si>
  <si>
    <t>General</t>
  </si>
  <si>
    <t>State Public School</t>
  </si>
  <si>
    <t>Individual Schools</t>
  </si>
  <si>
    <t>Capital Outlay</t>
  </si>
  <si>
    <t>Federal Grants</t>
  </si>
  <si>
    <t>Total Governmental Funds</t>
  </si>
  <si>
    <t>Due from other funds</t>
  </si>
  <si>
    <t>Liabilities:</t>
  </si>
  <si>
    <t>Accounts payable and accrued liabilities</t>
  </si>
  <si>
    <t>Fund balances:</t>
  </si>
  <si>
    <t xml:space="preserve"> </t>
  </si>
  <si>
    <t>Nonspendable:</t>
  </si>
  <si>
    <t>Stabilization by State Statute</t>
  </si>
  <si>
    <t>Assigned:</t>
  </si>
  <si>
    <t>Total fund balances</t>
  </si>
  <si>
    <t>Total liabilities, deferred inflows of resources, and fund balances</t>
  </si>
  <si>
    <t>Amounts reported for governmental activities in the statement of net position (Exhibit 1) are different because:</t>
  </si>
  <si>
    <t>Net OPEB Asset</t>
  </si>
  <si>
    <t>Deferred outflows of resources related to pensions</t>
  </si>
  <si>
    <t>Deferred outflows of resources related to OPEB</t>
  </si>
  <si>
    <t>Other long-term assets (accrued  interest receivable from taxes) are not available to pay for current-period expenditures and therefore are deferred in the funds.</t>
  </si>
  <si>
    <t>Liabilities for earned but unavailable revenues in fund statements.</t>
  </si>
  <si>
    <t>Some liabilities, including bonds payable and accrued interest, are not due and payable in the current period and therefore are not reported in the funds (Note 4).</t>
  </si>
  <si>
    <t>Deferred inflows of resources  related to pensions</t>
  </si>
  <si>
    <t>Deferred inflows of resources  related to OPEB</t>
  </si>
  <si>
    <t>Net position of governmental activities</t>
  </si>
  <si>
    <t>Exhibit 4</t>
  </si>
  <si>
    <t>Statement of Revenues, Expenditures, and Changes in Fund Balance</t>
  </si>
  <si>
    <t>State of North Carolina</t>
  </si>
  <si>
    <t>Carolina County</t>
  </si>
  <si>
    <t>Local Current Expense</t>
  </si>
  <si>
    <t>Other</t>
  </si>
  <si>
    <t>U.S. Government</t>
  </si>
  <si>
    <t>Contributions and donations</t>
  </si>
  <si>
    <t>Total revenues</t>
  </si>
  <si>
    <t>Current:</t>
  </si>
  <si>
    <t>Instructional services</t>
  </si>
  <si>
    <t>System-wide support services</t>
  </si>
  <si>
    <t>Special populations support and development</t>
  </si>
  <si>
    <t>Debt service:</t>
  </si>
  <si>
    <t>Principal</t>
  </si>
  <si>
    <t>Interest and other charges</t>
  </si>
  <si>
    <t>Real property and buildings</t>
  </si>
  <si>
    <t>Furniture and equipment</t>
  </si>
  <si>
    <t>Buses and motor vehicles</t>
  </si>
  <si>
    <t>Total expenditures</t>
  </si>
  <si>
    <t>Excess (deficiency) of revenues over expenditures</t>
  </si>
  <si>
    <t>Transfers to other funds</t>
  </si>
  <si>
    <t>Installment purchase obligations issued</t>
  </si>
  <si>
    <t>Capital lease obligations issued</t>
  </si>
  <si>
    <t>Total other financing sources  (uses)</t>
  </si>
  <si>
    <t>Net change in fund balance</t>
  </si>
  <si>
    <t>Fund balances, beginning</t>
  </si>
  <si>
    <t>Increase in reserve for inventories</t>
  </si>
  <si>
    <t>Fund balances, ending</t>
  </si>
  <si>
    <t>Exhibit 5</t>
  </si>
  <si>
    <t>Amounts reported for governmental activities in the statement of activities are</t>
  </si>
  <si>
    <t>different because:</t>
  </si>
  <si>
    <t>Net changes in fund balances - total governmental funds</t>
  </si>
  <si>
    <t>Change in fund balance due to change in reserve for inventory</t>
  </si>
  <si>
    <t>Governmental funds report capital outlays as expenditures. However, in the Statement of Activities the cost of those assets is allocated over their estimated useful lives and reported as depreciation expense.  This is the amount by which capital outlays exceeded depreciation in the current period.</t>
  </si>
  <si>
    <t>Contributions to the pension plan in the current fiscal year are not included on the Statement of Activities</t>
  </si>
  <si>
    <t>Contributions to the OPEB plan in the current fiscal year are not included on the Statement of Activities</t>
  </si>
  <si>
    <t>Difference in accrued investment income and income reported in fund statements</t>
  </si>
  <si>
    <t>The issuance of long-term debt provides current financial resources to governmental funds, while the repayment of the principal of long-term debt consumes the current financial resources of governmental funds.  Neither transaction has any effect on net position.  Also, governmental funds report the effect of premiums, discounts and similar items when debt is first issued, whereas these amounts are deferred and amortized in the statement of activities.  This amount is the net effect of these differences in the treatment of long-term debt and related items.</t>
  </si>
  <si>
    <t>Difference in accrued interest payable and interest expensed on fund statements</t>
  </si>
  <si>
    <t>Some expenses reported in the statement of activities do not require the use of current financial resources and, therefore, are not reported as expenditures in governmental funds.</t>
  </si>
  <si>
    <t>Pension expense</t>
  </si>
  <si>
    <t xml:space="preserve"> Net OPEB Expense</t>
  </si>
  <si>
    <t>Compensated absences</t>
  </si>
  <si>
    <t>Loss on disposal of assets</t>
  </si>
  <si>
    <t>Total changes in net position of governmental activities</t>
  </si>
  <si>
    <t>This page left blank intentionally.</t>
  </si>
  <si>
    <t>Exhibit 6</t>
  </si>
  <si>
    <t>General Fund and Annually Budgeted Major Special Revenue Fund</t>
  </si>
  <si>
    <t>Statement of Revenues, Expenditures, and Changes in Fund Balance - Budget and Actual</t>
  </si>
  <si>
    <t>General Fund</t>
  </si>
  <si>
    <t>State Public School Fund</t>
  </si>
  <si>
    <t>Original</t>
  </si>
  <si>
    <t>Final</t>
  </si>
  <si>
    <t>Actual Amounts</t>
  </si>
  <si>
    <t>Variance with Final Budget - Positive (Negative)</t>
  </si>
  <si>
    <t>Revenues:</t>
  </si>
  <si>
    <t>U.S. Government *</t>
  </si>
  <si>
    <t>Contributions and donations *</t>
  </si>
  <si>
    <t>Expenditures:</t>
  </si>
  <si>
    <t>Capital outlay:</t>
  </si>
  <si>
    <t>Real property and buildings *</t>
  </si>
  <si>
    <t>Furniture and equipment *</t>
  </si>
  <si>
    <t>Buses and motor vehicles *</t>
  </si>
  <si>
    <t>Revenues over (under) expenditures</t>
  </si>
  <si>
    <t>Other financing sources (uses):</t>
  </si>
  <si>
    <t>Transfers from other funds</t>
  </si>
  <si>
    <t>Total other financing sources (uses)</t>
  </si>
  <si>
    <t>Exhibit 7</t>
  </si>
  <si>
    <t>Current assets:</t>
  </si>
  <si>
    <t>OPEB asset</t>
  </si>
  <si>
    <t>Total current assets</t>
  </si>
  <si>
    <t>Noncurrent assets:</t>
  </si>
  <si>
    <t>Capital assets:</t>
  </si>
  <si>
    <t>Furniture and equipment, net</t>
  </si>
  <si>
    <t>Computer equipment, net</t>
  </si>
  <si>
    <t>Total noncurrent assets</t>
  </si>
  <si>
    <t>Current liabilities:</t>
  </si>
  <si>
    <t>Accounts payable and accrued
 expenses</t>
  </si>
  <si>
    <t>Due to other funds</t>
  </si>
  <si>
    <t>Total current liabilities</t>
  </si>
  <si>
    <t>Noncurrent liabilities:</t>
  </si>
  <si>
    <t>Total noncurrent liabilities</t>
  </si>
  <si>
    <t>Unrestricted</t>
  </si>
  <si>
    <t>Exhibit 8</t>
  </si>
  <si>
    <t>Statement of Revenues, Expenses, and Changes in Fund Net Position</t>
  </si>
  <si>
    <t>Food sales</t>
  </si>
  <si>
    <t>Child care fees</t>
  </si>
  <si>
    <t>Total operating revenues</t>
  </si>
  <si>
    <t>Food cost:</t>
  </si>
  <si>
    <t>Purchase of food</t>
  </si>
  <si>
    <t>Donated commodities</t>
  </si>
  <si>
    <t>Salaries and benefits</t>
  </si>
  <si>
    <t>Indirect costs</t>
  </si>
  <si>
    <t>Materials and supplies</t>
  </si>
  <si>
    <t>Repairs and maintenance</t>
  </si>
  <si>
    <t>Contracted services</t>
  </si>
  <si>
    <t>Operating income (loss)</t>
  </si>
  <si>
    <t>Federal commodities</t>
  </si>
  <si>
    <t>Interest earned</t>
  </si>
  <si>
    <t>Total nonoperating revenue (expenses)</t>
  </si>
  <si>
    <t>Income (loss) before contributions and transfers</t>
  </si>
  <si>
    <t>Total net position, beginning</t>
  </si>
  <si>
    <t>Total net position, ending</t>
  </si>
  <si>
    <t>Carolina County Board of Education</t>
  </si>
  <si>
    <t>Exhibit 10</t>
  </si>
  <si>
    <t>Statement of Fiduciary Net Position</t>
  </si>
  <si>
    <t>Fiduciary Fund</t>
  </si>
  <si>
    <t>Private</t>
  </si>
  <si>
    <t>Purpose</t>
  </si>
  <si>
    <t>Trust</t>
  </si>
  <si>
    <t>Due from other government</t>
  </si>
  <si>
    <t>Assets held in trust for private purpose</t>
  </si>
  <si>
    <t>Exhibit 11</t>
  </si>
  <si>
    <t>Statement of Changes in Fiduciary Net Position</t>
  </si>
  <si>
    <t>ADDITIONS:</t>
  </si>
  <si>
    <t>Contributions and other revenue</t>
  </si>
  <si>
    <t>DEDUCTIONS:</t>
  </si>
  <si>
    <t>Instructional costs</t>
  </si>
  <si>
    <t>Net position, beginning</t>
  </si>
  <si>
    <t>Schedules of Required Supplementary Information</t>
  </si>
  <si>
    <t>Teachers' and State Employees' Retirement System</t>
  </si>
  <si>
    <t xml:space="preserve">Board's proportion of the net pension liability (asset) </t>
  </si>
  <si>
    <t>Board's proportionate share of the net pension liability (asset)</t>
  </si>
  <si>
    <t>Board's proportionate share of the net pension liability (asset) as a percentage of its covered payroll</t>
  </si>
  <si>
    <t>Plan fiduciary net position as a percentage of the total pension liability</t>
  </si>
  <si>
    <r>
      <t xml:space="preserve">Note to preparer:  </t>
    </r>
    <r>
      <rPr>
        <sz val="10"/>
        <rFont val="Times New Roman"/>
        <family val="1"/>
      </rPr>
      <t>Information is not required to be presented retroactively.  This schedule will NOT present 10 years' worth of information until fiscal year 2024.</t>
    </r>
  </si>
  <si>
    <t>Schedule of Board Contributions</t>
  </si>
  <si>
    <t>Contractually required contribution</t>
  </si>
  <si>
    <t xml:space="preserve">Contributions in relation to the contractually required contribution
</t>
  </si>
  <si>
    <t>Contribution deficiency (excess)</t>
  </si>
  <si>
    <t xml:space="preserve">Contributions as a percentage of covered payroll
</t>
  </si>
  <si>
    <t>Last Ten Fiscal Years</t>
  </si>
  <si>
    <t>Contributions in relation to the contractually required contribution</t>
  </si>
  <si>
    <t>Contributions as a percentage of the covered payroll</t>
  </si>
  <si>
    <t>SCHEDULE OF PROPORTIONATE SHARE OF NET OPEB ASSET</t>
  </si>
  <si>
    <t>Disability Income Plan of North Carolina</t>
  </si>
  <si>
    <t>Board's proportion of the net OPEB asset</t>
  </si>
  <si>
    <t xml:space="preserve">Board's proportionate share of the net OPEB asset </t>
  </si>
  <si>
    <t>Board's proportionate share of the net OPEB asset as a percentage of its covered payroll</t>
  </si>
  <si>
    <t>Plan Fiduciary net position as a percentage of the total OPEB asset</t>
  </si>
  <si>
    <t>Schedule of Contributions</t>
  </si>
  <si>
    <t>Schedule of Revenues, Expenditures, and</t>
  </si>
  <si>
    <t>Changes in Fund Balance - Budget and Actual</t>
  </si>
  <si>
    <t>Positive</t>
  </si>
  <si>
    <t>(Negative)</t>
  </si>
  <si>
    <t>Budget</t>
  </si>
  <si>
    <t>Actual</t>
  </si>
  <si>
    <t>Variance</t>
  </si>
  <si>
    <t>State of North Carolina:</t>
  </si>
  <si>
    <t>Carolina County:</t>
  </si>
  <si>
    <t>Other :</t>
  </si>
  <si>
    <t>Supplemental school taxes - municipality</t>
  </si>
  <si>
    <t>Sales taxes</t>
  </si>
  <si>
    <t>Tuition and fees</t>
  </si>
  <si>
    <t>Fines and forfeitures - Clerk of Court</t>
  </si>
  <si>
    <t>Rental of school property</t>
  </si>
  <si>
    <t>Interest earned on investments</t>
  </si>
  <si>
    <t xml:space="preserve">   Total revenues</t>
  </si>
  <si>
    <t>Regular instructional services:</t>
  </si>
  <si>
    <t>Regular curricular services</t>
  </si>
  <si>
    <t>CTE curricular services</t>
  </si>
  <si>
    <t>Special populations services:</t>
  </si>
  <si>
    <t>Children with disabilities curricular services</t>
  </si>
  <si>
    <t>Special populations CTE curricular services</t>
  </si>
  <si>
    <t>Limited English proficiency services</t>
  </si>
  <si>
    <t>Alternative programs and services:</t>
  </si>
  <si>
    <t>Alternative instructional services K-12</t>
  </si>
  <si>
    <t>Extended day/year instructional Services</t>
  </si>
  <si>
    <t>School leadership services</t>
  </si>
  <si>
    <t>Co-curricular services</t>
  </si>
  <si>
    <t>School-based support services:</t>
  </si>
  <si>
    <t>Educational media services</t>
  </si>
  <si>
    <t>Student Accounting</t>
  </si>
  <si>
    <t>Guidance Services</t>
  </si>
  <si>
    <t>Safety and Security Support Services</t>
  </si>
  <si>
    <t>Support and development services:</t>
  </si>
  <si>
    <t>Regular curricular support and development services</t>
  </si>
  <si>
    <t>CTE curricular support and development services</t>
  </si>
  <si>
    <t>Special population support and development services</t>
  </si>
  <si>
    <t>Alternative programs and services support and development services</t>
  </si>
  <si>
    <t>Technology support services</t>
  </si>
  <si>
    <t>Operational  support services:</t>
  </si>
  <si>
    <t>Communication services</t>
  </si>
  <si>
    <t>Printing and copying services</t>
  </si>
  <si>
    <t>Public utility and energy services</t>
  </si>
  <si>
    <t>Custodial/housekeeping services</t>
  </si>
  <si>
    <t>Transportation services</t>
  </si>
  <si>
    <t/>
  </si>
  <si>
    <t>Financial and human resource services:</t>
  </si>
  <si>
    <t>Financial services</t>
  </si>
  <si>
    <t>Human resource services</t>
  </si>
  <si>
    <t>Accountability services:</t>
  </si>
  <si>
    <t>Student testing services</t>
  </si>
  <si>
    <t>Planning, research development and program evaluation</t>
  </si>
  <si>
    <t>System-wide pupil support services:</t>
  </si>
  <si>
    <t>Educational media support services</t>
  </si>
  <si>
    <t>Guidance support services</t>
  </si>
  <si>
    <t>Safety and security support services</t>
  </si>
  <si>
    <t>Policy, leadership and public relations services:</t>
  </si>
  <si>
    <t>Board of education</t>
  </si>
  <si>
    <t>Legal services</t>
  </si>
  <si>
    <t>Audit services</t>
  </si>
  <si>
    <t>Leadership services</t>
  </si>
  <si>
    <t>Ancillary services:</t>
  </si>
  <si>
    <t>Community services</t>
  </si>
  <si>
    <t>Adult services</t>
  </si>
  <si>
    <t>Payments to other governmental units</t>
  </si>
  <si>
    <t>Scholarships</t>
  </si>
  <si>
    <t xml:space="preserve">Net change in fund balance </t>
  </si>
  <si>
    <t>Fund balance, beginning</t>
  </si>
  <si>
    <t xml:space="preserve">   Increase in reserve for inventories</t>
  </si>
  <si>
    <t>Fund balance, ending</t>
  </si>
  <si>
    <r>
      <rPr>
        <b/>
        <sz val="10"/>
        <rFont val="Times New Roman"/>
        <family val="1"/>
      </rPr>
      <t>Note to preparer</t>
    </r>
    <r>
      <rPr>
        <sz val="10"/>
        <rFont val="Times New Roman"/>
        <family val="1"/>
      </rPr>
      <t xml:space="preserve">:  Carolina County revenues include both the statutorily defined Local Current Expense revenue and miscellaneous revenues that result from other transactions between Carolina County and the Board of Education.  Fees for rental of a Board of Education building for an event, for example.  However, revenue other than that which is statutorily identified as Local Current Expense revenue should be presented separately. </t>
    </r>
  </si>
  <si>
    <t>Federal Grants Fund</t>
  </si>
  <si>
    <t>U. S. Government</t>
  </si>
  <si>
    <t>System-wide supporting services</t>
  </si>
  <si>
    <t>Capital outlay</t>
  </si>
  <si>
    <t>Capital Outlay Fund</t>
  </si>
  <si>
    <t xml:space="preserve">Schedule of Revenues, Expenditures, and </t>
  </si>
  <si>
    <t>Critical School Facilities Needs</t>
  </si>
  <si>
    <t>Public School Building Capital Fund</t>
  </si>
  <si>
    <t>Public School Building Bond Fund</t>
  </si>
  <si>
    <t xml:space="preserve"> Public School Capital Fund - Lottery</t>
  </si>
  <si>
    <t>State appropriations- buses</t>
  </si>
  <si>
    <t>Total State of North Carolina</t>
  </si>
  <si>
    <t>Appropriations from county - issued</t>
  </si>
  <si>
    <t xml:space="preserve">    installment purchase</t>
  </si>
  <si>
    <t>Restricted portion of sales taxes</t>
  </si>
  <si>
    <t xml:space="preserve">General county revenues </t>
  </si>
  <si>
    <t>Total  Carolina County</t>
  </si>
  <si>
    <t>Real property and buildings:</t>
  </si>
  <si>
    <t>North Carolina State Senior High</t>
  </si>
  <si>
    <t>Tar Heel Elementary</t>
  </si>
  <si>
    <t>Tar Heel Elementary - Lottery</t>
  </si>
  <si>
    <t>Duke Elementary</t>
  </si>
  <si>
    <t xml:space="preserve">Duke Elementary - Lottery </t>
  </si>
  <si>
    <t>Cardinal Senior High - mold remediation</t>
  </si>
  <si>
    <t>Total land and buildings</t>
  </si>
  <si>
    <t>Furniture and equipment:</t>
  </si>
  <si>
    <t>Total equipment and books</t>
  </si>
  <si>
    <t>Buses and motor vehicles:</t>
  </si>
  <si>
    <t>Central Office</t>
  </si>
  <si>
    <t>Interest</t>
  </si>
  <si>
    <t>Excess of revenues over expenditures</t>
  </si>
  <si>
    <t>Other financing sources:</t>
  </si>
  <si>
    <t>Total other financing sources</t>
  </si>
  <si>
    <t>Schedule of Revenues and Expenditures</t>
  </si>
  <si>
    <t>Budget and Actual (Non-GAAP)</t>
  </si>
  <si>
    <t>School Food Service Fund</t>
  </si>
  <si>
    <t>Operating revenues, food sales</t>
  </si>
  <si>
    <t>Operating expenditures:</t>
  </si>
  <si>
    <t>Business support services:</t>
  </si>
  <si>
    <t>Total business support services</t>
  </si>
  <si>
    <t>Other support services:</t>
  </si>
  <si>
    <t>Total operating expenditures</t>
  </si>
  <si>
    <t>Operating loss</t>
  </si>
  <si>
    <t>Nonoperating revenues (expenditures):</t>
  </si>
  <si>
    <t xml:space="preserve">Interest earned </t>
  </si>
  <si>
    <t>Total nonoperating revenues (expenditures)</t>
  </si>
  <si>
    <t>Excess of revenues over (under) expenditures</t>
  </si>
  <si>
    <t xml:space="preserve">  before other financing sources</t>
  </si>
  <si>
    <t xml:space="preserve">Other financing sources: </t>
  </si>
  <si>
    <t xml:space="preserve">Excess of revenues and other sources </t>
  </si>
  <si>
    <t xml:space="preserve">  over expenditures</t>
  </si>
  <si>
    <t>Reconciliation of modified accrual</t>
  </si>
  <si>
    <t>to full accrual basis:</t>
  </si>
  <si>
    <t>Reconciling items:</t>
  </si>
  <si>
    <t xml:space="preserve">Net pension liability </t>
  </si>
  <si>
    <t xml:space="preserve">Net OPEB liability </t>
  </si>
  <si>
    <t>Deferred outflows</t>
  </si>
  <si>
    <t>Deferred outflows - OPEB</t>
  </si>
  <si>
    <t>Deferred outflows - DIPNIC</t>
  </si>
  <si>
    <t>Deferred inflows</t>
  </si>
  <si>
    <t>Deferred Inflows - OPEB</t>
  </si>
  <si>
    <t>Equipment purchases</t>
  </si>
  <si>
    <t>Increase in accrued vacation pay</t>
  </si>
  <si>
    <t>Decrease in inventory</t>
  </si>
  <si>
    <t>Change in net position (full accrual)</t>
  </si>
  <si>
    <t>Child Care Fund</t>
  </si>
  <si>
    <t>Budget and Actual (Non - GAAP)</t>
  </si>
  <si>
    <t xml:space="preserve">Variance </t>
  </si>
  <si>
    <t>Regular community service:</t>
  </si>
  <si>
    <t>Total regular community service</t>
  </si>
  <si>
    <t>Equipment</t>
  </si>
  <si>
    <t>Revenues over expenditures</t>
  </si>
  <si>
    <t>Revenues and other sources</t>
  </si>
  <si>
    <t xml:space="preserve">Reconciliation from budgetary basis </t>
  </si>
  <si>
    <t>(modified accrual) to full accrual:</t>
  </si>
  <si>
    <t xml:space="preserve">Deferred outflows </t>
  </si>
  <si>
    <t>Deferred outflows - DIPNC</t>
  </si>
  <si>
    <t xml:space="preserve">Deferred inflows </t>
  </si>
  <si>
    <t>Deferred inflows - OPEB</t>
  </si>
  <si>
    <t>Increase in salaries and benefits</t>
  </si>
  <si>
    <t>GASB 34 CALCULATION OF MAJOR FUNDS</t>
  </si>
  <si>
    <t xml:space="preserve">Expenditures/Expenses </t>
  </si>
  <si>
    <t>Assets and Deferred Outflows of resources</t>
  </si>
  <si>
    <t>Liabilities and Deferred Inflows of Resources</t>
  </si>
  <si>
    <r>
      <t>Computes "</t>
    </r>
    <r>
      <rPr>
        <b/>
        <sz val="8"/>
        <rFont val="Times New Roman"/>
        <family val="1"/>
      </rPr>
      <t>X</t>
    </r>
    <r>
      <rPr>
        <sz val="8"/>
        <rFont val="Times New Roman"/>
        <family val="1"/>
      </rPr>
      <t>" if Meets</t>
    </r>
  </si>
  <si>
    <r>
      <t>Computes "</t>
    </r>
    <r>
      <rPr>
        <b/>
        <sz val="8"/>
        <rFont val="Times New Roman"/>
        <family val="1"/>
      </rPr>
      <t>MAJOR</t>
    </r>
    <r>
      <rPr>
        <sz val="8"/>
        <rFont val="Times New Roman"/>
        <family val="1"/>
      </rPr>
      <t>" if Fund is Major</t>
    </r>
  </si>
  <si>
    <r>
      <t>If a "Category" Has an "</t>
    </r>
    <r>
      <rPr>
        <b/>
        <sz val="8"/>
        <rFont val="Times New Roman"/>
        <family val="1"/>
      </rPr>
      <t>X</t>
    </r>
    <r>
      <rPr>
        <sz val="8"/>
        <rFont val="Times New Roman"/>
        <family val="1"/>
      </rPr>
      <t>" in Both</t>
    </r>
  </si>
  <si>
    <t>Type of Fund</t>
  </si>
  <si>
    <t>10% Rule</t>
  </si>
  <si>
    <t>5% Rule</t>
  </si>
  <si>
    <t>Revenue</t>
  </si>
  <si>
    <t>Columns, Then Fund is a Major Fund</t>
  </si>
  <si>
    <t>N/A</t>
  </si>
  <si>
    <t>YES, ALWAYS MAJOR</t>
  </si>
  <si>
    <t>Special Revenue Funds:</t>
  </si>
  <si>
    <t>Capital Projects Funds:</t>
  </si>
  <si>
    <t>10 % of Total Governmental Funds</t>
  </si>
  <si>
    <t>Enterprise Funds:</t>
  </si>
  <si>
    <t>Total Enterprise Funds</t>
  </si>
  <si>
    <t>10% of Total Enterprise Funds</t>
  </si>
  <si>
    <t>Total Governmental &amp; Enterprise Funds</t>
  </si>
  <si>
    <t>5% of Total Governmental &amp; Enterprise Funds</t>
  </si>
  <si>
    <t>Check:</t>
  </si>
  <si>
    <t>Special Revenue Funds</t>
  </si>
  <si>
    <t>Capital Projects Funds</t>
  </si>
  <si>
    <t>Difference</t>
  </si>
  <si>
    <t>Bridges Charter School</t>
  </si>
  <si>
    <t>TSERS</t>
  </si>
  <si>
    <t>Lt Governor's Office</t>
  </si>
  <si>
    <t>RHBF</t>
  </si>
  <si>
    <t>Zeca School</t>
  </si>
  <si>
    <t>DIPNC</t>
  </si>
  <si>
    <t>divide by two</t>
  </si>
  <si>
    <t>Deferred inflows of resources related to unearned revenue</t>
  </si>
  <si>
    <t>FYE June 30, 2020</t>
  </si>
  <si>
    <t>Deferred outflows of resources</t>
  </si>
  <si>
    <t>Pension Deferred outflow of resources</t>
  </si>
  <si>
    <t>PENSION Deferred inflows of resources</t>
  </si>
  <si>
    <t>Deferred inflows of resources</t>
  </si>
  <si>
    <t>Other cash payments</t>
  </si>
  <si>
    <t xml:space="preserve">Restricted for DIPNC OPEB </t>
  </si>
  <si>
    <t>Unrestricted State appropriations - operating *</t>
  </si>
  <si>
    <t xml:space="preserve">*    These line items are included for illustrative purposes only; if there are functions and/or revenues for which your unit has no activity, please exclude those functions from the statement. </t>
  </si>
  <si>
    <t>Transfers from other funds *</t>
  </si>
  <si>
    <t>Capital lease obligations issued *</t>
  </si>
  <si>
    <t>Last Eight Fiscal Years</t>
  </si>
  <si>
    <t>Last Eight Fiscal Years *</t>
  </si>
  <si>
    <r>
      <rPr>
        <b/>
        <sz val="10"/>
        <rFont val="Times New Roman"/>
        <family val="1"/>
      </rPr>
      <t xml:space="preserve">Note to preparer: </t>
    </r>
    <r>
      <rPr>
        <sz val="10"/>
        <rFont val="Times New Roman"/>
        <family val="1"/>
      </rPr>
      <t xml:space="preserve"> Information is not required to be presented retroactively.  This schedule will NOT present 10 years' worth of information until fiscal year 2028.</t>
    </r>
  </si>
  <si>
    <t>Schedule of the  Board's Proportionate Share of the Net Pension Liabiliity</t>
  </si>
  <si>
    <t>Schedule of the  Board's Proportionate Share of the Net OPEB Liabiliity</t>
  </si>
  <si>
    <t>June 30, 2021</t>
  </si>
  <si>
    <t>For the Year Ended June 30, 2021</t>
  </si>
  <si>
    <t>Check Totals</t>
  </si>
  <si>
    <t>Assets + Deferred Inflows = Liabilities - Deferred Outflows - Net Position</t>
  </si>
  <si>
    <t xml:space="preserve">Net Position:  Statement of Net Position and Statement of Activities Agree? </t>
  </si>
  <si>
    <t>Cash on Gov Wide  = Cash Detail in Funds?</t>
  </si>
  <si>
    <t>Net Position:  Statement of Net Position and Statement of Activities Agree?</t>
  </si>
  <si>
    <t>Governmental - Change in net position = Reconciliation (Exh 5)?</t>
  </si>
  <si>
    <t>Business-type activities: change in net position = Exh. 7?</t>
  </si>
  <si>
    <t>Business-type activities:  net position, ending = Exh. 7?</t>
  </si>
  <si>
    <t>Business-type activities: Expenses and revenues agree to Exh.7?:</t>
  </si>
  <si>
    <t>Income (loss) including contributions excluding general revenues and transfers</t>
  </si>
  <si>
    <t>na</t>
  </si>
  <si>
    <r>
      <rPr>
        <b/>
        <sz val="12"/>
        <rFont val="Arial"/>
        <family val="2"/>
      </rPr>
      <t>For MD&amp;A</t>
    </r>
    <r>
      <rPr>
        <sz val="12"/>
        <rFont val="Arial"/>
        <family val="2"/>
      </rPr>
      <t>, % change in net position</t>
    </r>
  </si>
  <si>
    <t>If numerator or denominator = 0, show NA for Not Available.</t>
  </si>
  <si>
    <t>Assets + Deferred Inflows = Liabilities - Deferred Outflows - Fund Balance</t>
  </si>
  <si>
    <t>Net Position of Government Activities = Statement of Net Position</t>
  </si>
  <si>
    <t xml:space="preserve">Total Adjustment for Notes Table I.E.9a.   =  </t>
  </si>
  <si>
    <t>Ending Fund Balance:  Balance Sheet = Statement of Revenues, Expenses and Fund Balance</t>
  </si>
  <si>
    <r>
      <rPr>
        <b/>
        <sz val="12"/>
        <rFont val="Times New Roman"/>
        <family val="1"/>
      </rPr>
      <t>For MD&amp;A</t>
    </r>
    <r>
      <rPr>
        <sz val="12"/>
        <rFont val="Times New Roman"/>
        <family val="1"/>
      </rPr>
      <t>, % change in fund balance</t>
    </r>
  </si>
  <si>
    <t>Check Total</t>
  </si>
  <si>
    <t>Change above = Governmental Change on Statement of Activities?</t>
  </si>
  <si>
    <t>Capital asset expenditures</t>
  </si>
  <si>
    <t>Depreciation expense</t>
  </si>
  <si>
    <t>Capital asset expenditures - depreciation expense</t>
  </si>
  <si>
    <t>Total = Govt Wide</t>
  </si>
  <si>
    <t>Ending Net Position:  Balance Sheet = Income Statement</t>
  </si>
  <si>
    <t>Cash flow from operating activities = reconciliation amount?</t>
  </si>
  <si>
    <t>Depreciation Expense = Income Statement amount.</t>
  </si>
  <si>
    <t>Ending Fund Balance = Exhibit 4</t>
  </si>
  <si>
    <t>Variance = Exhibit 6</t>
  </si>
  <si>
    <t xml:space="preserve">  </t>
  </si>
  <si>
    <r>
      <rPr>
        <b/>
        <sz val="10"/>
        <color rgb="FF000000"/>
        <rFont val="Times New Roman"/>
        <family val="1"/>
      </rPr>
      <t>Note to Preparer:</t>
    </r>
    <r>
      <rPr>
        <sz val="10"/>
        <color indexed="8"/>
        <rFont val="Times New Roman"/>
        <family val="1"/>
      </rPr>
      <t xml:space="preserve">  In accordance with GASB Statement No. 54 any fund balance in this example would be classified as restricted because the revenue source restricts use of funds for specific purposes. </t>
    </r>
  </si>
  <si>
    <r>
      <t xml:space="preserve">Note to preparer: </t>
    </r>
    <r>
      <rPr>
        <sz val="11"/>
        <rFont val="Times New Roman"/>
        <family val="1"/>
      </rPr>
      <t xml:space="preserve">  Please note that although DPI's chart of accounts allows for the allocation of capital outlay expenditures to be allocated across functions, this Schedule should be presented at the Board adopted level.</t>
    </r>
  </si>
  <si>
    <t>Replacement School Buses:  The financing agreement must be recorded in its entirety in the School's Capital Outlay Fund in the year the debt is issued.  Even though there is no cash effect, it must be recorded since the agreement is in the name of the unit.  The entry will be to debit capital expenditures for school buses and to credit Other Financing Sources for the amount of the debt issued.</t>
  </si>
  <si>
    <t>Under GASB  Statement No. 54 and the Board of Education (BOE) spending policy, the BOE would have to use all restricted and committed resources first.  That would most likely level the $226,000 fund balance as General County revenues.  Since counties appropriate by capital project for schools this fund balance would be classified as restricted.</t>
  </si>
  <si>
    <t xml:space="preserve">The additional detail provided in this schedule, which includes the receipts and expenditures of lottery proceeds by project, will assist the State in preparing reports on school capital outlay expenditures.  The appropriations from county-issued installment purchases presented on this schedule as a revenue source represent debt transactions entered by the county on behalf of the school system.  As such, these transactions should be reported as part of the county's appropriation to the school system.  The County is assumed to be authorized to enter installment purchase transactions to finance school construction under G.S.160A-20.  The installment purchase was entered into by the county and the debt associated with that transaction is carried on the county's books.  However, the assets are, in substance, the assets of the school system.  Therefore, the expenditures of the debt proceeds should be recorded in the Board's Capital Outlay Fund.  The amount recognized as revenue by the school system is offset by amounts of debt proceeds expended by the county.  In accordance with generally accepted accounting principles, the proceeds of the lease purchase of computers entered into by the school system is accounted for as an Other Financing Source.  Under State law, the payments for the computer lease should be accounted for in the capital outlay fund.  Finally, the installment purchases presented as Other Financing Sources include a guaranteed energy savings contract entered into by the school system as authorized under G.S. 143‑64.17C and a financing contract to purchase school buses as authorized under G.S. 115C‑528.  The periodic debt service payments for the guaranteed energy savings contract will be recorded in the Local Current Expense Fund, where they partially offset the utility payments assumed to be saved because of the installment purchase transaction. </t>
  </si>
  <si>
    <t>Net change in fund balance = Fund Income Statement</t>
  </si>
  <si>
    <t>Fund balances, ending = Fund Income Statement</t>
  </si>
  <si>
    <t>Net Position = Government-Wide Statement of Net Position</t>
  </si>
  <si>
    <t>Change in Net Position = Budget to Actual Statement</t>
  </si>
  <si>
    <t>Assets</t>
  </si>
  <si>
    <t>Liabilities</t>
  </si>
  <si>
    <t>Net Position</t>
  </si>
  <si>
    <t>Revenues</t>
  </si>
  <si>
    <t>Expenditures</t>
  </si>
  <si>
    <t>Liabilities, deferred inflows of resources, and fund balances</t>
  </si>
  <si>
    <t>Charges for services</t>
  </si>
  <si>
    <t>Operating grants and contributions</t>
  </si>
  <si>
    <t>Capital grants and contributions</t>
  </si>
  <si>
    <t>Net position</t>
  </si>
  <si>
    <t>Capital outlay: *</t>
  </si>
  <si>
    <t>Budget in Balance?</t>
  </si>
  <si>
    <t>Operating revenues</t>
  </si>
  <si>
    <t>Operating expenses</t>
  </si>
  <si>
    <t>Nonoperating revenues (expenses)</t>
  </si>
  <si>
    <t>Cash flows from operating activities</t>
  </si>
  <si>
    <t>Cash flows from noncapital financing activities</t>
  </si>
  <si>
    <t>Cash flows from capital and related financing activities</t>
  </si>
  <si>
    <t>Cash flows from investing activities</t>
  </si>
  <si>
    <t>Ending Cash on Stmt Cash Flows = Cash on Government-wide Stmt of Net Position?</t>
  </si>
  <si>
    <t>Ending Cash on Stmt Cash Flows = Cash on Proprietary Fund Stmt of Net Position?</t>
  </si>
  <si>
    <t>School capital outlay</t>
  </si>
  <si>
    <t>Table 1</t>
  </si>
  <si>
    <t>Total Primary Government</t>
  </si>
  <si>
    <t>Capital assets</t>
  </si>
  <si>
    <t>Current and other liabilities</t>
  </si>
  <si>
    <t>Long-term liabilities</t>
  </si>
  <si>
    <t>Restricted net position</t>
  </si>
  <si>
    <t>Unrestricted net position</t>
  </si>
  <si>
    <t>Table 2</t>
  </si>
  <si>
    <t>Program revenues:</t>
  </si>
  <si>
    <t>Other revenues</t>
  </si>
  <si>
    <t>Expenses:</t>
  </si>
  <si>
    <t>Governmental activities:</t>
  </si>
  <si>
    <t>Food service</t>
  </si>
  <si>
    <t>Total expenses</t>
  </si>
  <si>
    <t>Extraordinary item - Asset impairment loss</t>
  </si>
  <si>
    <t>Transfers in (out)</t>
  </si>
  <si>
    <t>Increase in net position</t>
  </si>
  <si>
    <t>Net position, restatement</t>
  </si>
  <si>
    <t>Table 3</t>
  </si>
  <si>
    <t>Summary of Capital Assets</t>
  </si>
  <si>
    <t>Land</t>
  </si>
  <si>
    <t>Construction in progress</t>
  </si>
  <si>
    <t>Buildings</t>
  </si>
  <si>
    <t>Vehicles and motorized equipment</t>
  </si>
  <si>
    <t>Library books</t>
  </si>
  <si>
    <t>Computer equipment</t>
  </si>
  <si>
    <t>Net position: Table 1 = Exhibit 1?</t>
  </si>
  <si>
    <t>Net position: Table 1 = Table 2?</t>
  </si>
  <si>
    <t>Change in net position: Table 2 = Exhibit 2?</t>
  </si>
  <si>
    <t>Capital Assets: Table 3 = Exhibit 1?</t>
  </si>
  <si>
    <t>Capital Assets: Table 3 = Table 1?</t>
  </si>
  <si>
    <t>Beginning Net Position: Table 2 = Exhibit 2</t>
  </si>
  <si>
    <t>Prior Ending Net Position calculates?</t>
  </si>
  <si>
    <t>Prior Ending Net Position = Beginning Net Position?</t>
  </si>
  <si>
    <t>Capital leases</t>
  </si>
  <si>
    <t>Direct placement installment purchase</t>
  </si>
  <si>
    <t>Table 4</t>
  </si>
  <si>
    <t>Summary of Long-term Obligations</t>
  </si>
  <si>
    <t>Instruction</t>
  </si>
  <si>
    <t xml:space="preserve">Support </t>
  </si>
  <si>
    <t>Chart Data - Expenses</t>
  </si>
  <si>
    <t>Chart Data - Revenues</t>
  </si>
  <si>
    <t>All other expenses</t>
  </si>
  <si>
    <t>All other revenues</t>
  </si>
  <si>
    <t>State, county, Federal</t>
  </si>
  <si>
    <t>Operating &amp; capital grants</t>
  </si>
  <si>
    <t>% Change</t>
  </si>
  <si>
    <t>$ Change</t>
  </si>
  <si>
    <t>Other current assets</t>
  </si>
  <si>
    <t>For the years ended June 30,</t>
  </si>
  <si>
    <t>June 30,</t>
  </si>
  <si>
    <t>Statements of Revenues, Expenses, and Changes in Net Position</t>
  </si>
  <si>
    <t>Condensed Statements of Net Position</t>
  </si>
  <si>
    <t>Chart Data - Assets</t>
  </si>
  <si>
    <t>Other statistics</t>
  </si>
  <si>
    <t>Enrollment</t>
  </si>
  <si>
    <t>Net position: Table Balances?</t>
  </si>
  <si>
    <t>Math works:</t>
  </si>
  <si>
    <t>Total Assets = Exhibit 1</t>
  </si>
  <si>
    <t>Net Position = MD&amp;A</t>
  </si>
  <si>
    <t>Total Assets = Exhibit 7</t>
  </si>
  <si>
    <t>Total Liabilities = Exhibit 7</t>
  </si>
  <si>
    <t>Total Net Position = Exhibit 7</t>
  </si>
  <si>
    <t>Total Liabilities = Exhibit 1</t>
  </si>
  <si>
    <t>County funding as % total Governmental Revenue</t>
  </si>
  <si>
    <t>Pension deferred outflow of resources</t>
  </si>
  <si>
    <t>Deferred outflows of resources - pension</t>
  </si>
  <si>
    <t>Deferred outflows of resources - retire health benefits</t>
  </si>
  <si>
    <t>Deferred outflows of resources - deferred income plan</t>
  </si>
  <si>
    <t>Deferred inflows of resources - pension</t>
  </si>
  <si>
    <t>Deferred inflows of resources - retire health benefits</t>
  </si>
  <si>
    <t>Deferred inflows of resources - deferred income plan</t>
  </si>
  <si>
    <t>Deferred inflows of resources - unearned revenue</t>
  </si>
  <si>
    <t>Individual schools</t>
  </si>
  <si>
    <t>Local current expense</t>
  </si>
  <si>
    <r>
      <t xml:space="preserve">Note to preparer: </t>
    </r>
    <r>
      <rPr>
        <sz val="10"/>
        <color indexed="8"/>
        <rFont val="Times New Roman"/>
        <family val="1"/>
      </rPr>
      <t xml:space="preserve"> These line items with an </t>
    </r>
    <r>
      <rPr>
        <b/>
        <sz val="10"/>
        <color rgb="FF000000"/>
        <rFont val="Times New Roman"/>
        <family val="1"/>
      </rPr>
      <t>*</t>
    </r>
    <r>
      <rPr>
        <sz val="10"/>
        <color indexed="8"/>
        <rFont val="Times New Roman"/>
        <family val="1"/>
      </rPr>
      <t xml:space="preserve"> are included only for illustrative purposes;  if these are functions for which your unit has no activity, please do </t>
    </r>
    <r>
      <rPr>
        <u/>
        <sz val="10"/>
        <color rgb="FF000000"/>
        <rFont val="Times New Roman"/>
        <family val="1"/>
      </rPr>
      <t>not</t>
    </r>
    <r>
      <rPr>
        <sz val="10"/>
        <color indexed="8"/>
        <rFont val="Times New Roman"/>
        <family val="1"/>
      </rPr>
      <t xml:space="preserve"> include them.</t>
    </r>
  </si>
  <si>
    <t>(continuation)</t>
  </si>
  <si>
    <t>Net other post employment benefits asset</t>
  </si>
  <si>
    <t>Net other post employment benefits liability</t>
  </si>
  <si>
    <t>Land, land improvements and construction in progress</t>
  </si>
  <si>
    <t>Disability income plan of North Carolina</t>
  </si>
  <si>
    <t>Receivables, net of allowance for doubtful accounts</t>
  </si>
  <si>
    <r>
      <rPr>
        <b/>
        <sz val="10"/>
        <rFont val="Times New Roman"/>
        <family val="1"/>
      </rPr>
      <t>Note to preparer:</t>
    </r>
    <r>
      <rPr>
        <sz val="10"/>
        <rFont val="Times New Roman"/>
        <family val="1"/>
      </rPr>
      <t xml:space="preserve">  Units that choose to aggregate deferred outflows and deferred inflows on the face of the statements should itemize components in the notes.  For an itemized presentation, please see City of Dogwood.  The net pension and OPEB liabilities for the TSERS and RHBF plans have been included in long-term liabilities  - due in more than one year.  </t>
    </r>
  </si>
  <si>
    <t>Total general revenes excluding extraordinary items and transfers</t>
  </si>
  <si>
    <t>Total general revenues, extraordinary items and transfers</t>
  </si>
  <si>
    <t>Total operating expenses</t>
  </si>
  <si>
    <t>Decrease in net other post employment benefit asset</t>
  </si>
  <si>
    <t>Subsequent years expenditures</t>
  </si>
  <si>
    <t>Unassigned</t>
  </si>
  <si>
    <t>Capital assets used in governmental activities are not financial resources and therefore are not reported in the funds</t>
  </si>
  <si>
    <r>
      <rPr>
        <b/>
        <sz val="10"/>
        <color indexed="8"/>
        <rFont val="Times New Roman"/>
        <family val="1"/>
      </rPr>
      <t>Note to preparer:</t>
    </r>
    <r>
      <rPr>
        <sz val="10"/>
        <color indexed="8"/>
        <rFont val="Times New Roman"/>
        <family val="1"/>
      </rPr>
      <t xml:space="preserve">  Capital outlay </t>
    </r>
    <r>
      <rPr>
        <b/>
        <sz val="10"/>
        <color rgb="FF000000"/>
        <rFont val="Times New Roman"/>
        <family val="1"/>
      </rPr>
      <t>*</t>
    </r>
    <r>
      <rPr>
        <sz val="10"/>
        <color indexed="8"/>
        <rFont val="Times New Roman"/>
        <family val="1"/>
      </rPr>
      <t xml:space="preserve"> expenditures may be allocated across functions.</t>
    </r>
  </si>
  <si>
    <t xml:space="preserve">Last Five Fiscal Years * </t>
  </si>
  <si>
    <t>Last Fiscal Five Years *</t>
  </si>
  <si>
    <t>Statement 3</t>
  </si>
  <si>
    <t>Statement 4</t>
  </si>
  <si>
    <t>Statement 5</t>
  </si>
  <si>
    <t>Budget:  Revenues = Expenditures</t>
  </si>
  <si>
    <r>
      <t xml:space="preserve">NOTE TO PREPARER: </t>
    </r>
    <r>
      <rPr>
        <sz val="10"/>
        <color indexed="8"/>
        <rFont val="Times New Roman"/>
        <family val="1"/>
      </rPr>
      <t xml:space="preserve"> The Carolina County Board of Education has only one non-major fund, the Federal Grants Fund.  All relevant data, with the exception of the budget schedule, for this fund appears in the Basic Financial Statements.  Therefore, there are no supplemental schedules for the Federal Grants Fund except the budget to actual comparison.  
For units with more than one non-major fund, a combining balance sheet and a combining statement of revenues, expenditures, and changes in fund balance should be included as include in the index.  Please refer to the Sample Financial Statements for Carolina County for examples. </t>
    </r>
    <r>
      <rPr>
        <b/>
        <sz val="10"/>
        <color rgb="FF000000"/>
        <rFont val="Times New Roman"/>
        <family val="1"/>
      </rPr>
      <t xml:space="preserve">
</t>
    </r>
  </si>
  <si>
    <t>Statement 1</t>
  </si>
  <si>
    <t>Statement 2</t>
  </si>
  <si>
    <t>This schedule is no longer need.  Information include in Word documents.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</si>
</sst>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0%"/>
    <numFmt numFmtId="165" formatCode="_(&quot;$&quot;* #,##0_);_(&quot;$&quot;* \(#,##0\);_(&quot;$&quot;* &quot;-&quot;??_);_(@_)"/>
    <numFmt numFmtId="166" formatCode="_(* #,##0_);_(* \(#,##0\);_(* &quot;-&quot;??_);_(@_)"/>
    <numFmt numFmtId="167" formatCode="_(* #,##0.000000_);_(* \(#,##0.000000\);_(* &quot;-&quot;??_);_(@_)"/>
    <numFmt numFmtId="168" formatCode="[$-409]mmmm\ d\,\ yyyy;@"/>
    <numFmt numFmtId="169" formatCode="_(* #,##0.0_);_(* \(#,##0.0\);_(* &quot;-&quot;?_);_(@_)"/>
    <numFmt numFmtId="170" formatCode="_(* #,##0.00000_);_(* \(#,##0.00000\);_(* &quot;-&quot;??_);_(@_)"/>
    <numFmt numFmtId="171" formatCode="0.000%"/>
    <numFmt numFmtId="172" formatCode="0.0000000%"/>
    <numFmt numFmtId="173" formatCode="mmmm\ d\,\ yyyy"/>
    <numFmt numFmtId="174" formatCode="yyyy"/>
    <numFmt numFmtId="175" formatCode="0.00\ %"/>
    <numFmt numFmtId="176" formatCode="&quot;$&quot;#,##0"/>
    <numFmt numFmtId="177" formatCode="0.0%"/>
  </numFmts>
  <fonts count="56" x14ac:knownFonts="1">
    <font>
      <sz val="10"/>
      <name val="Arial"/>
    </font>
    <font>
      <sz val="12"/>
      <color theme="1"/>
      <name val="Times New Roman"/>
      <family val="2"/>
    </font>
    <font>
      <sz val="10"/>
      <name val="Arial"/>
      <family val="2"/>
    </font>
    <font>
      <b/>
      <sz val="10"/>
      <name val="Times New Roman"/>
      <family val="1"/>
    </font>
    <font>
      <sz val="10"/>
      <name val="Times New Roman"/>
      <family val="1"/>
    </font>
    <font>
      <sz val="10"/>
      <name val="Arial"/>
      <family val="2"/>
    </font>
    <font>
      <b/>
      <sz val="9"/>
      <name val="Times New Roman"/>
      <family val="1"/>
    </font>
    <font>
      <sz val="9"/>
      <name val="Times New Roman"/>
      <family val="1"/>
    </font>
    <font>
      <sz val="10"/>
      <color indexed="10"/>
      <name val="Times New Roman"/>
      <family val="1"/>
    </font>
    <font>
      <b/>
      <sz val="10"/>
      <color indexed="8"/>
      <name val="Times New Roman"/>
      <family val="1"/>
    </font>
    <font>
      <sz val="10"/>
      <color indexed="8"/>
      <name val="Times New Roman"/>
      <family val="1"/>
    </font>
    <font>
      <b/>
      <sz val="9"/>
      <color indexed="81"/>
      <name val="Tahoma"/>
      <family val="2"/>
    </font>
    <font>
      <sz val="9"/>
      <color indexed="81"/>
      <name val="Tahoma"/>
      <family val="2"/>
    </font>
    <font>
      <u/>
      <sz val="10"/>
      <name val="Times New Roman"/>
      <family val="1"/>
    </font>
    <font>
      <u/>
      <sz val="10"/>
      <color indexed="12"/>
      <name val="Arial"/>
      <family val="2"/>
    </font>
    <font>
      <u/>
      <sz val="10"/>
      <color indexed="12"/>
      <name val="Times New Roman"/>
      <family val="1"/>
    </font>
    <font>
      <sz val="10"/>
      <color indexed="9"/>
      <name val="Times New Roman"/>
      <family val="1"/>
    </font>
    <font>
      <sz val="12"/>
      <name val="Times New Roman"/>
      <family val="1"/>
    </font>
    <font>
      <sz val="9"/>
      <name val="Century Schoolbook"/>
      <family val="1"/>
    </font>
    <font>
      <sz val="8"/>
      <name val="Times New Roman"/>
      <family val="1"/>
    </font>
    <font>
      <u/>
      <sz val="8"/>
      <name val="Times New Roman"/>
      <family val="1"/>
    </font>
    <font>
      <b/>
      <sz val="8"/>
      <name val="Times New Roman"/>
      <family val="1"/>
    </font>
    <font>
      <b/>
      <sz val="10"/>
      <color theme="1"/>
      <name val="Times New Roman"/>
      <family val="1"/>
    </font>
    <font>
      <sz val="10"/>
      <color theme="1"/>
      <name val="Times New Roman"/>
      <family val="1"/>
    </font>
    <font>
      <b/>
      <sz val="12"/>
      <color rgb="FF000000"/>
      <name val="Calibri"/>
      <family val="2"/>
    </font>
    <font>
      <sz val="11"/>
      <color rgb="FF000000"/>
      <name val="Calibri"/>
      <family val="2"/>
    </font>
    <font>
      <sz val="12"/>
      <color rgb="FF000000"/>
      <name val="Calibri"/>
      <family val="2"/>
    </font>
    <font>
      <sz val="11"/>
      <color rgb="FF3333FF"/>
      <name val="Calibri"/>
      <family val="2"/>
    </font>
    <font>
      <u val="singleAccounting"/>
      <sz val="11"/>
      <color rgb="FF000000"/>
      <name val="Calibri"/>
      <family val="2"/>
    </font>
    <font>
      <sz val="11"/>
      <color rgb="FF0000FF"/>
      <name val="Calibri"/>
      <family val="2"/>
    </font>
    <font>
      <u/>
      <sz val="11"/>
      <color rgb="FF000000"/>
      <name val="Calibri"/>
      <family val="2"/>
    </font>
    <font>
      <b/>
      <sz val="11"/>
      <color rgb="FF000000"/>
      <name val="Calibri"/>
      <family val="2"/>
    </font>
    <font>
      <sz val="10"/>
      <color rgb="FF000000"/>
      <name val="Times New Roman"/>
      <family val="1"/>
    </font>
    <font>
      <b/>
      <sz val="10"/>
      <color rgb="FF000000"/>
      <name val="Times New Roman"/>
      <family val="1"/>
    </font>
    <font>
      <b/>
      <u val="singleAccounting"/>
      <sz val="10"/>
      <name val="Times New Roman"/>
      <family val="1"/>
    </font>
    <font>
      <u val="singleAccounting"/>
      <sz val="10"/>
      <name val="Times New Roman"/>
      <family val="1"/>
    </font>
    <font>
      <u val="doubleAccounting"/>
      <sz val="10"/>
      <name val="Times New Roman"/>
      <family val="1"/>
    </font>
    <font>
      <u val="singleAccounting"/>
      <sz val="9"/>
      <name val="Times New Roman"/>
      <family val="1"/>
    </font>
    <font>
      <u val="doubleAccounting"/>
      <sz val="9"/>
      <name val="Times New Roman"/>
      <family val="1"/>
    </font>
    <font>
      <u val="singleAccounting"/>
      <sz val="10"/>
      <color theme="1"/>
      <name val="Times New Roman"/>
      <family val="1"/>
    </font>
    <font>
      <u val="doubleAccounting"/>
      <sz val="10"/>
      <color theme="1"/>
      <name val="Times New Roman"/>
      <family val="1"/>
    </font>
    <font>
      <b/>
      <u val="singleAccounting"/>
      <sz val="10"/>
      <color theme="1"/>
      <name val="Times New Roman"/>
      <family val="1"/>
    </font>
    <font>
      <b/>
      <u/>
      <sz val="12"/>
      <name val="Times New Roman"/>
      <family val="1"/>
    </font>
    <font>
      <u val="singleAccounting"/>
      <sz val="12"/>
      <name val="Times New Roman"/>
      <family val="1"/>
    </font>
    <font>
      <sz val="12"/>
      <name val="Arial"/>
      <family val="2"/>
    </font>
    <font>
      <b/>
      <sz val="12"/>
      <name val="Arial"/>
      <family val="2"/>
    </font>
    <font>
      <b/>
      <sz val="12"/>
      <name val="Times New Roman"/>
      <family val="1"/>
    </font>
    <font>
      <u val="doubleAccounting"/>
      <sz val="12"/>
      <name val="Times New Roman"/>
      <family val="1"/>
    </font>
    <font>
      <sz val="12"/>
      <color theme="1"/>
      <name val="Arial"/>
      <family val="2"/>
    </font>
    <font>
      <u val="singleAccounting"/>
      <sz val="10"/>
      <color indexed="8"/>
      <name val="Times New Roman"/>
      <family val="1"/>
    </font>
    <font>
      <sz val="11"/>
      <name val="Times New Roman"/>
      <family val="1"/>
    </font>
    <font>
      <b/>
      <sz val="11"/>
      <name val="Times New Roman"/>
      <family val="1"/>
    </font>
    <font>
      <b/>
      <u val="singleAccounting"/>
      <sz val="12"/>
      <name val="Times New Roman"/>
      <family val="1"/>
    </font>
    <font>
      <sz val="10"/>
      <name val="Arial"/>
      <family val="2"/>
    </font>
    <font>
      <u/>
      <sz val="10"/>
      <color rgb="FF000000"/>
      <name val="Times New Roman"/>
      <family val="1"/>
    </font>
    <font>
      <b/>
      <sz val="10"/>
      <color rgb="FFFF0000"/>
      <name val="Times New Roman"/>
      <family val="1"/>
    </font>
  </fonts>
  <fills count="6">
    <fill>
      <patternFill patternType="none"/>
    </fill>
    <fill>
      <patternFill patternType="gray125"/>
    </fill>
    <fill>
      <patternFill patternType="solid">
        <fgColor indexed="65"/>
        <bgColor indexed="64"/>
      </patternFill>
    </fill>
    <fill>
      <patternFill patternType="solid">
        <fgColor rgb="FFFFFF00"/>
        <bgColor indexed="64"/>
      </patternFill>
    </fill>
    <fill>
      <patternFill patternType="solid">
        <fgColor rgb="FFCCFFCC"/>
        <bgColor indexed="64"/>
      </patternFill>
    </fill>
    <fill>
      <patternFill patternType="solid">
        <fgColor rgb="FFFFFFCC"/>
        <bgColor indexed="64"/>
      </patternFill>
    </fill>
  </fills>
  <borders count="24">
    <border>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2">
    <xf numFmtId="0" fontId="0" fillId="0" borderId="0"/>
    <xf numFmtId="41"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0" fontId="14" fillId="0" borderId="0" applyNumberFormat="0" applyFill="0" applyBorder="0" applyAlignment="0" applyProtection="0">
      <alignment vertical="top"/>
      <protection locked="0"/>
    </xf>
    <xf numFmtId="0" fontId="18" fillId="0" borderId="0"/>
    <xf numFmtId="9" fontId="2" fillId="0" borderId="0" applyFont="0" applyFill="0" applyBorder="0" applyAlignment="0" applyProtection="0"/>
    <xf numFmtId="0" fontId="1" fillId="0" borderId="0"/>
    <xf numFmtId="9" fontId="1" fillId="0" borderId="0" applyFont="0" applyFill="0" applyBorder="0" applyAlignment="0" applyProtection="0"/>
    <xf numFmtId="43" fontId="53" fillId="0" borderId="0" applyFont="0" applyFill="0" applyBorder="0" applyAlignment="0" applyProtection="0"/>
  </cellStyleXfs>
  <cellXfs count="543">
    <xf numFmtId="0" fontId="0" fillId="0" borderId="0" xfId="0"/>
    <xf numFmtId="0" fontId="4" fillId="0" borderId="0" xfId="0" applyFont="1"/>
    <xf numFmtId="0" fontId="22" fillId="0" borderId="0" xfId="0" applyFont="1" applyAlignment="1">
      <alignment horizontal="center"/>
    </xf>
    <xf numFmtId="0" fontId="4" fillId="0" borderId="1" xfId="0" applyFont="1" applyBorder="1" applyAlignment="1">
      <alignment horizontal="center"/>
    </xf>
    <xf numFmtId="0" fontId="4" fillId="0" borderId="0" xfId="0" applyFont="1" applyBorder="1" applyAlignment="1">
      <alignment horizontal="center"/>
    </xf>
    <xf numFmtId="164" fontId="23" fillId="0" borderId="0" xfId="8" applyNumberFormat="1" applyFont="1" applyBorder="1" applyAlignment="1">
      <alignment horizontal="right"/>
    </xf>
    <xf numFmtId="165" fontId="23" fillId="0" borderId="0" xfId="4" applyNumberFormat="1" applyFont="1" applyAlignment="1">
      <alignment horizontal="right"/>
    </xf>
    <xf numFmtId="0" fontId="4" fillId="0" borderId="0" xfId="0" applyFont="1" applyAlignment="1">
      <alignment wrapText="1"/>
    </xf>
    <xf numFmtId="10" fontId="23" fillId="0" borderId="0" xfId="4" applyNumberFormat="1" applyFont="1" applyAlignment="1">
      <alignment horizontal="right"/>
    </xf>
    <xf numFmtId="10" fontId="4" fillId="0" borderId="0" xfId="0" applyNumberFormat="1" applyFont="1" applyAlignment="1">
      <alignment horizontal="right"/>
    </xf>
    <xf numFmtId="0" fontId="4" fillId="0" borderId="0" xfId="0" applyFont="1" applyBorder="1" applyAlignment="1">
      <alignment wrapText="1"/>
    </xf>
    <xf numFmtId="0" fontId="4" fillId="0" borderId="0" xfId="0" applyFont="1" applyBorder="1"/>
    <xf numFmtId="0" fontId="4" fillId="0" borderId="0" xfId="0" applyFont="1" applyAlignment="1">
      <alignment horizontal="center"/>
    </xf>
    <xf numFmtId="0" fontId="4" fillId="0" borderId="0" xfId="0" applyFont="1" applyAlignment="1">
      <alignment horizontal="center" wrapText="1"/>
    </xf>
    <xf numFmtId="0" fontId="3" fillId="0" borderId="0" xfId="0" applyFont="1" applyAlignment="1"/>
    <xf numFmtId="0" fontId="22" fillId="0" borderId="0" xfId="0" applyFont="1" applyAlignment="1"/>
    <xf numFmtId="0" fontId="4" fillId="0" borderId="0" xfId="0" applyFont="1" applyFill="1"/>
    <xf numFmtId="0" fontId="3" fillId="0" borderId="0" xfId="0" applyFont="1" applyFill="1" applyAlignment="1">
      <alignment horizontal="left"/>
    </xf>
    <xf numFmtId="166" fontId="4" fillId="0" borderId="0" xfId="2" applyNumberFormat="1" applyFont="1" applyFill="1"/>
    <xf numFmtId="0" fontId="3" fillId="0" borderId="0" xfId="0" applyFont="1" applyFill="1" applyAlignment="1">
      <alignment horizontal="centerContinuous"/>
    </xf>
    <xf numFmtId="0" fontId="3" fillId="0" borderId="0" xfId="0" applyFont="1" applyFill="1"/>
    <xf numFmtId="0" fontId="4" fillId="0" borderId="0" xfId="0" applyFont="1" applyFill="1" applyBorder="1"/>
    <xf numFmtId="0" fontId="4" fillId="0" borderId="0" xfId="0" applyFont="1" applyFill="1" applyAlignment="1">
      <alignment wrapText="1"/>
    </xf>
    <xf numFmtId="42" fontId="4" fillId="0" borderId="0" xfId="0" applyNumberFormat="1" applyFont="1" applyFill="1"/>
    <xf numFmtId="42" fontId="4" fillId="0" borderId="0" xfId="0" applyNumberFormat="1" applyFont="1" applyFill="1" applyBorder="1"/>
    <xf numFmtId="41" fontId="4" fillId="0" borderId="0" xfId="0" applyNumberFormat="1" applyFont="1" applyFill="1"/>
    <xf numFmtId="41" fontId="4" fillId="0" borderId="0" xfId="0" applyNumberFormat="1" applyFont="1" applyFill="1" applyBorder="1"/>
    <xf numFmtId="166" fontId="4" fillId="0" borderId="0" xfId="2" applyNumberFormat="1" applyFont="1" applyFill="1" applyBorder="1"/>
    <xf numFmtId="166" fontId="4" fillId="0" borderId="0" xfId="2" applyNumberFormat="1" applyFont="1" applyFill="1" applyBorder="1" applyAlignment="1">
      <alignment horizontal="center" vertical="center"/>
    </xf>
    <xf numFmtId="166" fontId="4" fillId="0" borderId="0" xfId="2" applyNumberFormat="1" applyFont="1" applyFill="1" applyAlignment="1">
      <alignment horizontal="center" vertical="center"/>
    </xf>
    <xf numFmtId="41" fontId="4" fillId="0" borderId="0" xfId="0" applyNumberFormat="1" applyFont="1" applyFill="1" applyBorder="1" applyAlignment="1">
      <alignment horizontal="right"/>
    </xf>
    <xf numFmtId="43" fontId="4" fillId="0" borderId="0" xfId="0" applyNumberFormat="1" applyFont="1" applyFill="1"/>
    <xf numFmtId="43" fontId="4" fillId="0" borderId="0" xfId="0" applyNumberFormat="1" applyFont="1" applyFill="1" applyBorder="1" applyAlignment="1">
      <alignment horizontal="right"/>
    </xf>
    <xf numFmtId="0" fontId="4" fillId="0" borderId="0" xfId="0" applyFont="1" applyFill="1" applyBorder="1" applyAlignment="1">
      <alignment horizontal="right"/>
    </xf>
    <xf numFmtId="0" fontId="3" fillId="0" borderId="0" xfId="0" applyFont="1" applyFill="1" applyAlignment="1">
      <alignment horizontal="center"/>
    </xf>
    <xf numFmtId="0" fontId="4" fillId="0" borderId="0" xfId="0" applyFont="1" applyFill="1" applyBorder="1" applyAlignment="1">
      <alignment horizontal="right" wrapText="1"/>
    </xf>
    <xf numFmtId="0" fontId="7" fillId="0" borderId="0" xfId="0" applyFont="1" applyFill="1"/>
    <xf numFmtId="166" fontId="4" fillId="0" borderId="0" xfId="0" applyNumberFormat="1" applyFont="1" applyFill="1" applyBorder="1"/>
    <xf numFmtId="0" fontId="24" fillId="0" borderId="0" xfId="0" applyFont="1" applyFill="1" applyBorder="1" applyAlignment="1">
      <alignment horizontal="left"/>
    </xf>
    <xf numFmtId="166" fontId="25" fillId="0" borderId="0" xfId="2" applyNumberFormat="1" applyFont="1" applyFill="1" applyBorder="1"/>
    <xf numFmtId="0" fontId="25" fillId="0" borderId="0" xfId="0" applyFont="1" applyFill="1" applyBorder="1"/>
    <xf numFmtId="0" fontId="26" fillId="0" borderId="0" xfId="0" applyFont="1" applyFill="1" applyBorder="1" applyAlignment="1">
      <alignment horizontal="left"/>
    </xf>
    <xf numFmtId="0" fontId="4" fillId="0" borderId="0" xfId="0" applyFont="1" applyFill="1" applyAlignment="1"/>
    <xf numFmtId="166" fontId="27" fillId="0" borderId="0" xfId="2" applyNumberFormat="1" applyFont="1" applyFill="1" applyBorder="1"/>
    <xf numFmtId="166" fontId="28" fillId="0" borderId="0" xfId="2" applyNumberFormat="1" applyFont="1" applyFill="1" applyBorder="1"/>
    <xf numFmtId="166" fontId="24" fillId="0" borderId="0" xfId="2" applyNumberFormat="1" applyFont="1" applyFill="1" applyBorder="1" applyAlignment="1">
      <alignment horizontal="centerContinuous"/>
    </xf>
    <xf numFmtId="166" fontId="29" fillId="0" borderId="0" xfId="2" applyNumberFormat="1" applyFont="1" applyFill="1" applyBorder="1"/>
    <xf numFmtId="166" fontId="30" fillId="0" borderId="0" xfId="2" applyNumberFormat="1" applyFont="1" applyFill="1" applyBorder="1"/>
    <xf numFmtId="0" fontId="31" fillId="0" borderId="0" xfId="0" applyFont="1" applyFill="1" applyBorder="1"/>
    <xf numFmtId="0" fontId="3" fillId="0" borderId="0" xfId="0" applyFont="1" applyFill="1" applyAlignment="1">
      <alignment horizontal="right"/>
    </xf>
    <xf numFmtId="165" fontId="4" fillId="0" borderId="0" xfId="4" applyNumberFormat="1" applyFont="1" applyFill="1"/>
    <xf numFmtId="166" fontId="4" fillId="0" borderId="0" xfId="3" applyNumberFormat="1" applyFont="1" applyFill="1"/>
    <xf numFmtId="0" fontId="4" fillId="0" borderId="0" xfId="0" applyFont="1" applyFill="1" applyAlignment="1">
      <alignment horizontal="left" indent="1"/>
    </xf>
    <xf numFmtId="0" fontId="4" fillId="0" borderId="0" xfId="0" applyFont="1" applyFill="1" applyAlignment="1">
      <alignment horizontal="left" indent="2"/>
    </xf>
    <xf numFmtId="0" fontId="4" fillId="0" borderId="0" xfId="0" applyFont="1" applyFill="1" applyAlignment="1">
      <alignment horizontal="left" indent="3"/>
    </xf>
    <xf numFmtId="166" fontId="4" fillId="0" borderId="0" xfId="3" applyNumberFormat="1" applyFont="1" applyFill="1" applyBorder="1"/>
    <xf numFmtId="166" fontId="4" fillId="0" borderId="0" xfId="0" applyNumberFormat="1" applyFont="1" applyFill="1"/>
    <xf numFmtId="165" fontId="4" fillId="0" borderId="0" xfId="0" applyNumberFormat="1" applyFont="1" applyFill="1"/>
    <xf numFmtId="167" fontId="4" fillId="0" borderId="0" xfId="0" applyNumberFormat="1" applyFont="1" applyFill="1"/>
    <xf numFmtId="0" fontId="4" fillId="0" borderId="0" xfId="0" applyFont="1" applyFill="1" applyBorder="1" applyAlignment="1">
      <alignment wrapText="1"/>
    </xf>
    <xf numFmtId="42" fontId="4" fillId="0" borderId="0" xfId="3" applyNumberFormat="1" applyFont="1" applyFill="1"/>
    <xf numFmtId="44" fontId="4" fillId="0" borderId="0" xfId="0" applyNumberFormat="1" applyFont="1" applyFill="1"/>
    <xf numFmtId="0" fontId="4" fillId="0" borderId="0" xfId="0" applyFont="1" applyFill="1" applyAlignment="1">
      <alignment horizontal="left"/>
    </xf>
    <xf numFmtId="0" fontId="4" fillId="0" borderId="0" xfId="0" quotePrefix="1" applyFont="1" applyFill="1"/>
    <xf numFmtId="0" fontId="3" fillId="0" borderId="0" xfId="0" applyFont="1" applyFill="1" applyAlignment="1"/>
    <xf numFmtId="165" fontId="3" fillId="0" borderId="0" xfId="0" applyNumberFormat="1" applyFont="1" applyFill="1" applyAlignment="1"/>
    <xf numFmtId="165" fontId="3" fillId="0" borderId="0" xfId="0" applyNumberFormat="1" applyFont="1" applyFill="1"/>
    <xf numFmtId="165" fontId="4" fillId="0" borderId="0" xfId="0" applyNumberFormat="1" applyFont="1" applyFill="1" applyAlignment="1">
      <alignment wrapText="1"/>
    </xf>
    <xf numFmtId="0" fontId="4" fillId="0" borderId="0" xfId="0" applyFont="1" applyFill="1" applyAlignment="1">
      <alignment horizontal="right"/>
    </xf>
    <xf numFmtId="0" fontId="3" fillId="0" borderId="0" xfId="0" quotePrefix="1" applyFont="1" applyFill="1" applyAlignment="1">
      <alignment horizontal="center"/>
    </xf>
    <xf numFmtId="169" fontId="4" fillId="0" borderId="0" xfId="0" applyNumberFormat="1" applyFont="1" applyFill="1"/>
    <xf numFmtId="0" fontId="8" fillId="0" borderId="0" xfId="0" applyFont="1" applyFill="1"/>
    <xf numFmtId="165" fontId="8" fillId="0" borderId="0" xfId="0" applyNumberFormat="1" applyFont="1" applyFill="1"/>
    <xf numFmtId="170" fontId="4" fillId="0" borderId="0" xfId="3" applyNumberFormat="1" applyFont="1" applyFill="1"/>
    <xf numFmtId="166" fontId="4" fillId="0" borderId="0" xfId="3" applyNumberFormat="1" applyFont="1" applyFill="1" applyAlignment="1">
      <alignment vertical="center"/>
    </xf>
    <xf numFmtId="0" fontId="3" fillId="0" borderId="0" xfId="0" applyFont="1" applyFill="1" applyAlignment="1">
      <alignment horizontal="right" wrapText="1"/>
    </xf>
    <xf numFmtId="0" fontId="4" fillId="0" borderId="0" xfId="0" applyFont="1" applyFill="1" applyAlignment="1">
      <alignment vertical="top" wrapText="1"/>
    </xf>
    <xf numFmtId="0" fontId="4" fillId="0" borderId="0" xfId="0" applyFont="1" applyFill="1" applyAlignment="1">
      <alignment horizontal="centerContinuous"/>
    </xf>
    <xf numFmtId="166" fontId="4" fillId="0" borderId="0" xfId="3" applyNumberFormat="1" applyFont="1" applyFill="1" applyProtection="1"/>
    <xf numFmtId="166" fontId="4" fillId="0" borderId="0" xfId="3" applyNumberFormat="1" applyFont="1" applyFill="1" applyBorder="1" applyProtection="1"/>
    <xf numFmtId="0" fontId="3" fillId="0" borderId="0" xfId="0" applyFont="1" applyFill="1" applyBorder="1" applyAlignment="1">
      <alignment horizontal="center" wrapText="1"/>
    </xf>
    <xf numFmtId="165" fontId="4" fillId="0" borderId="0" xfId="4" applyNumberFormat="1" applyFont="1" applyFill="1" applyBorder="1"/>
    <xf numFmtId="0" fontId="4" fillId="0" borderId="0" xfId="0" applyFont="1" applyFill="1" applyAlignment="1">
      <alignment horizontal="left" wrapText="1" indent="4"/>
    </xf>
    <xf numFmtId="0" fontId="4" fillId="0" borderId="0" xfId="0" applyFont="1" applyFill="1" applyAlignment="1">
      <alignment horizontal="left" wrapText="1" indent="5"/>
    </xf>
    <xf numFmtId="165" fontId="4" fillId="0" borderId="0" xfId="3" applyNumberFormat="1" applyFont="1" applyFill="1" applyBorder="1"/>
    <xf numFmtId="15" fontId="3" fillId="0" borderId="0" xfId="0" applyNumberFormat="1" applyFont="1" applyFill="1" applyAlignment="1">
      <alignment horizontal="centerContinuous"/>
    </xf>
    <xf numFmtId="0" fontId="23" fillId="0" borderId="0" xfId="0" applyFont="1" applyBorder="1"/>
    <xf numFmtId="171" fontId="23" fillId="0" borderId="0" xfId="8" applyNumberFormat="1" applyFont="1" applyBorder="1"/>
    <xf numFmtId="165" fontId="23" fillId="0" borderId="0" xfId="4" applyNumberFormat="1" applyFont="1"/>
    <xf numFmtId="165" fontId="23" fillId="0" borderId="0" xfId="4" applyNumberFormat="1" applyFont="1" applyFill="1" applyBorder="1"/>
    <xf numFmtId="44" fontId="4" fillId="0" borderId="0" xfId="0" applyNumberFormat="1" applyFont="1"/>
    <xf numFmtId="0" fontId="23" fillId="0" borderId="0" xfId="0" applyFont="1" applyFill="1" applyBorder="1"/>
    <xf numFmtId="0" fontId="23" fillId="0" borderId="0" xfId="0" applyFont="1" applyAlignment="1">
      <alignment wrapText="1"/>
    </xf>
    <xf numFmtId="10" fontId="23" fillId="0" borderId="0" xfId="8" applyNumberFormat="1" applyFont="1" applyAlignment="1">
      <alignment wrapText="1"/>
    </xf>
    <xf numFmtId="0" fontId="23" fillId="0" borderId="0" xfId="0" applyFont="1" applyFill="1" applyBorder="1" applyAlignment="1">
      <alignment wrapText="1"/>
    </xf>
    <xf numFmtId="0" fontId="23" fillId="0" borderId="0" xfId="0" applyFont="1"/>
    <xf numFmtId="0" fontId="3" fillId="0" borderId="0" xfId="0" applyFont="1" applyFill="1" applyBorder="1" applyAlignment="1">
      <alignment vertical="top"/>
    </xf>
    <xf numFmtId="0" fontId="4" fillId="0" borderId="0" xfId="0" applyFont="1" applyFill="1" applyBorder="1" applyAlignment="1">
      <alignment vertical="top" wrapText="1"/>
    </xf>
    <xf numFmtId="0" fontId="3" fillId="0" borderId="0" xfId="0" applyFont="1" applyFill="1" applyBorder="1" applyAlignment="1">
      <alignment horizontal="left" vertical="top"/>
    </xf>
    <xf numFmtId="0" fontId="23" fillId="0" borderId="0" xfId="0" applyFont="1" applyAlignment="1">
      <alignment vertical="top" wrapText="1"/>
    </xf>
    <xf numFmtId="166" fontId="23" fillId="0" borderId="1" xfId="3" applyNumberFormat="1" applyFont="1" applyBorder="1" applyAlignment="1">
      <alignment vertical="center"/>
    </xf>
    <xf numFmtId="10" fontId="23" fillId="0" borderId="0" xfId="8" applyNumberFormat="1" applyFont="1" applyAlignment="1">
      <alignment vertical="center"/>
    </xf>
    <xf numFmtId="0" fontId="4" fillId="0" borderId="0" xfId="0" applyFont="1" applyFill="1" applyBorder="1" applyAlignment="1">
      <alignment vertical="top"/>
    </xf>
    <xf numFmtId="0" fontId="4" fillId="0" borderId="0" xfId="0" applyFont="1" applyBorder="1" applyAlignment="1"/>
    <xf numFmtId="0" fontId="4" fillId="0" borderId="0" xfId="0" applyFont="1" applyFill="1" applyBorder="1" applyAlignment="1"/>
    <xf numFmtId="165" fontId="4" fillId="0" borderId="2" xfId="0" applyNumberFormat="1" applyFont="1" applyBorder="1"/>
    <xf numFmtId="165" fontId="4" fillId="0" borderId="0" xfId="0" applyNumberFormat="1" applyFont="1" applyBorder="1"/>
    <xf numFmtId="10" fontId="4" fillId="0" borderId="0" xfId="0" applyNumberFormat="1" applyFont="1"/>
    <xf numFmtId="172" fontId="4" fillId="0" borderId="0" xfId="0" applyNumberFormat="1" applyFont="1" applyAlignment="1">
      <alignment horizontal="right"/>
    </xf>
    <xf numFmtId="165" fontId="4" fillId="0" borderId="0" xfId="0" applyNumberFormat="1" applyFont="1"/>
    <xf numFmtId="166" fontId="23" fillId="0" borderId="1" xfId="3" applyNumberFormat="1" applyFont="1" applyBorder="1" applyAlignment="1">
      <alignment horizontal="right" vertical="center"/>
    </xf>
    <xf numFmtId="165" fontId="4" fillId="0" borderId="2" xfId="0" applyNumberFormat="1" applyFont="1" applyBorder="1" applyAlignment="1">
      <alignment horizontal="right"/>
    </xf>
    <xf numFmtId="0" fontId="4" fillId="0" borderId="0" xfId="0" applyFont="1" applyAlignment="1">
      <alignment horizontal="right"/>
    </xf>
    <xf numFmtId="166" fontId="3" fillId="0" borderId="0" xfId="3" applyNumberFormat="1" applyFont="1" applyFill="1" applyAlignment="1">
      <alignment horizontal="centerContinuous"/>
    </xf>
    <xf numFmtId="166" fontId="3" fillId="0" borderId="0" xfId="3" applyNumberFormat="1" applyFont="1" applyFill="1"/>
    <xf numFmtId="166" fontId="13" fillId="0" borderId="0" xfId="3" applyNumberFormat="1" applyFont="1" applyFill="1" applyAlignment="1">
      <alignment horizontal="centerContinuous"/>
    </xf>
    <xf numFmtId="0" fontId="4" fillId="0" borderId="0" xfId="0" applyFont="1" applyFill="1" applyAlignment="1">
      <alignment horizontal="center"/>
    </xf>
    <xf numFmtId="166" fontId="15" fillId="0" borderId="0" xfId="6" applyNumberFormat="1" applyFont="1" applyFill="1" applyAlignment="1" applyProtection="1"/>
    <xf numFmtId="166" fontId="4" fillId="0" borderId="0" xfId="3" applyNumberFormat="1" applyFont="1" applyFill="1" applyAlignment="1">
      <alignment horizontal="center"/>
    </xf>
    <xf numFmtId="166" fontId="4" fillId="0" borderId="0" xfId="3" applyNumberFormat="1" applyFont="1" applyFill="1" applyBorder="1" applyAlignment="1">
      <alignment horizontal="center"/>
    </xf>
    <xf numFmtId="41" fontId="4" fillId="0" borderId="0" xfId="1" applyFont="1" applyFill="1"/>
    <xf numFmtId="41" fontId="4" fillId="0" borderId="0" xfId="1" applyFont="1" applyFill="1" applyBorder="1"/>
    <xf numFmtId="166" fontId="10" fillId="0" borderId="0" xfId="3" applyNumberFormat="1" applyFont="1" applyFill="1"/>
    <xf numFmtId="166" fontId="4" fillId="0" borderId="0" xfId="3" applyNumberFormat="1" applyFont="1" applyFill="1" applyBorder="1" applyAlignment="1">
      <alignment horizontal="right"/>
    </xf>
    <xf numFmtId="166" fontId="4" fillId="0" borderId="0" xfId="3" quotePrefix="1" applyNumberFormat="1" applyFont="1" applyFill="1"/>
    <xf numFmtId="166" fontId="10" fillId="0" borderId="0" xfId="3" applyNumberFormat="1" applyFont="1" applyFill="1" applyBorder="1"/>
    <xf numFmtId="166" fontId="16" fillId="0" borderId="0" xfId="3" applyNumberFormat="1" applyFont="1" applyFill="1"/>
    <xf numFmtId="49" fontId="4" fillId="0" borderId="0" xfId="3" applyNumberFormat="1" applyFont="1" applyFill="1"/>
    <xf numFmtId="0" fontId="7" fillId="0" borderId="0" xfId="0" applyFont="1" applyFill="1" applyAlignment="1">
      <alignment horizontal="centerContinuous"/>
    </xf>
    <xf numFmtId="0" fontId="17" fillId="0" borderId="0" xfId="0" applyFont="1" applyFill="1" applyAlignment="1">
      <alignment horizontal="centerContinuous"/>
    </xf>
    <xf numFmtId="0" fontId="6" fillId="0" borderId="0" xfId="0" applyFont="1" applyFill="1" applyAlignment="1">
      <alignment horizontal="centerContinuous"/>
    </xf>
    <xf numFmtId="173" fontId="7" fillId="0" borderId="0" xfId="0" applyNumberFormat="1" applyFont="1" applyFill="1" applyAlignment="1">
      <alignment horizontal="centerContinuous"/>
    </xf>
    <xf numFmtId="15" fontId="17" fillId="0" borderId="0" xfId="0" applyNumberFormat="1" applyFont="1" applyFill="1" applyAlignment="1">
      <alignment horizontal="centerContinuous"/>
    </xf>
    <xf numFmtId="15" fontId="17" fillId="0" borderId="0" xfId="0" applyNumberFormat="1" applyFont="1" applyFill="1" applyBorder="1" applyAlignment="1">
      <alignment horizontal="centerContinuous"/>
    </xf>
    <xf numFmtId="0" fontId="17" fillId="0" borderId="0" xfId="0" applyFont="1" applyFill="1" applyBorder="1" applyAlignment="1">
      <alignment horizontal="centerContinuous"/>
    </xf>
    <xf numFmtId="0" fontId="4" fillId="0" borderId="0" xfId="0" applyFont="1" applyAlignment="1">
      <alignment vertical="top" wrapText="1" readingOrder="1"/>
    </xf>
    <xf numFmtId="0" fontId="7" fillId="0" borderId="0" xfId="0" applyFont="1" applyFill="1" applyBorder="1"/>
    <xf numFmtId="37" fontId="7" fillId="0" borderId="0" xfId="0" applyNumberFormat="1" applyFont="1" applyFill="1" applyBorder="1" applyProtection="1"/>
    <xf numFmtId="166" fontId="7" fillId="0" borderId="0" xfId="3" applyNumberFormat="1" applyFont="1" applyFill="1" applyBorder="1" applyProtection="1"/>
    <xf numFmtId="0" fontId="7" fillId="0" borderId="0" xfId="0" applyFont="1" applyFill="1" applyBorder="1" applyAlignment="1">
      <alignment horizontal="left"/>
    </xf>
    <xf numFmtId="37" fontId="7" fillId="0" borderId="0" xfId="0" applyNumberFormat="1" applyFont="1" applyFill="1" applyBorder="1" applyAlignment="1" applyProtection="1">
      <alignment horizontal="left"/>
    </xf>
    <xf numFmtId="166" fontId="7" fillId="0" borderId="0" xfId="3" applyNumberFormat="1" applyFont="1" applyFill="1" applyBorder="1" applyAlignment="1" applyProtection="1">
      <alignment horizontal="left"/>
    </xf>
    <xf numFmtId="0" fontId="7" fillId="0" borderId="0" xfId="0" applyFont="1" applyFill="1" applyBorder="1" applyAlignment="1">
      <alignment horizontal="left" indent="1"/>
    </xf>
    <xf numFmtId="166" fontId="7" fillId="0" borderId="0" xfId="3" applyNumberFormat="1" applyFont="1" applyFill="1" applyBorder="1"/>
    <xf numFmtId="0" fontId="7" fillId="0" borderId="0" xfId="0" applyFont="1" applyFill="1" applyBorder="1" applyAlignment="1">
      <alignment horizontal="left" indent="2"/>
    </xf>
    <xf numFmtId="0" fontId="7" fillId="0" borderId="0" xfId="0" applyFont="1" applyFill="1" applyBorder="1" applyAlignment="1">
      <alignment horizontal="left" indent="3"/>
    </xf>
    <xf numFmtId="0" fontId="6" fillId="0" borderId="0" xfId="0" applyFont="1" applyFill="1"/>
    <xf numFmtId="166" fontId="4" fillId="0" borderId="0" xfId="3" applyNumberFormat="1" applyFont="1" applyFill="1" applyAlignment="1">
      <alignment horizontal="left"/>
    </xf>
    <xf numFmtId="37" fontId="4" fillId="0" borderId="0" xfId="0" applyNumberFormat="1" applyFont="1" applyFill="1" applyBorder="1" applyProtection="1"/>
    <xf numFmtId="37" fontId="4" fillId="0" borderId="0" xfId="0" applyNumberFormat="1" applyFont="1" applyFill="1" applyProtection="1"/>
    <xf numFmtId="0" fontId="4" fillId="0" borderId="0" xfId="3" applyNumberFormat="1" applyFont="1" applyFill="1" applyBorder="1" applyAlignment="1">
      <alignment horizontal="centerContinuous"/>
    </xf>
    <xf numFmtId="166" fontId="4" fillId="0" borderId="0" xfId="3" applyNumberFormat="1" applyFont="1" applyFill="1" applyBorder="1" applyAlignment="1">
      <alignment horizontal="centerContinuous"/>
    </xf>
    <xf numFmtId="166" fontId="4" fillId="0" borderId="0" xfId="3" applyNumberFormat="1" applyFont="1" applyFill="1" applyAlignment="1"/>
    <xf numFmtId="0" fontId="3" fillId="0" borderId="0" xfId="7" applyFont="1" applyFill="1" applyAlignment="1">
      <alignment horizontal="centerContinuous"/>
    </xf>
    <xf numFmtId="0" fontId="3" fillId="0" borderId="0" xfId="7" applyFont="1" applyFill="1"/>
    <xf numFmtId="0" fontId="4" fillId="0" borderId="0" xfId="7" applyFont="1" applyFill="1"/>
    <xf numFmtId="0" fontId="4" fillId="0" borderId="0" xfId="7" applyFont="1" applyFill="1" applyAlignment="1">
      <alignment horizontal="center"/>
    </xf>
    <xf numFmtId="0" fontId="4" fillId="0" borderId="0" xfId="7" quotePrefix="1" applyFont="1" applyFill="1" applyAlignment="1">
      <alignment horizontal="left"/>
    </xf>
    <xf numFmtId="166" fontId="4" fillId="0" borderId="0" xfId="5" applyNumberFormat="1" applyFont="1" applyFill="1" applyBorder="1"/>
    <xf numFmtId="165" fontId="4" fillId="0" borderId="0" xfId="5" applyNumberFormat="1" applyFont="1" applyFill="1"/>
    <xf numFmtId="0" fontId="4" fillId="3" borderId="0" xfId="7" applyFont="1" applyFill="1"/>
    <xf numFmtId="166" fontId="4" fillId="3" borderId="0" xfId="2" applyNumberFormat="1" applyFont="1" applyFill="1"/>
    <xf numFmtId="165" fontId="4" fillId="0" borderId="0" xfId="7" applyNumberFormat="1" applyFont="1" applyFill="1"/>
    <xf numFmtId="166" fontId="3" fillId="0" borderId="0" xfId="2" applyNumberFormat="1" applyFont="1" applyFill="1" applyAlignment="1">
      <alignment horizontal="centerContinuous"/>
    </xf>
    <xf numFmtId="166" fontId="3" fillId="0" borderId="0" xfId="2" applyNumberFormat="1" applyFont="1" applyFill="1"/>
    <xf numFmtId="166" fontId="4" fillId="0" borderId="0" xfId="2" applyNumberFormat="1" applyFont="1" applyFill="1" applyAlignment="1">
      <alignment horizontal="center"/>
    </xf>
    <xf numFmtId="166" fontId="4" fillId="0" borderId="0" xfId="2" applyNumberFormat="1" applyFont="1" applyFill="1" applyAlignment="1">
      <alignment horizontal="left"/>
    </xf>
    <xf numFmtId="166" fontId="4" fillId="0" borderId="0" xfId="2" applyNumberFormat="1" applyFont="1" applyFill="1" applyProtection="1"/>
    <xf numFmtId="166" fontId="4" fillId="0" borderId="0" xfId="2" applyNumberFormat="1" applyFont="1" applyFill="1" applyBorder="1" applyAlignment="1" applyProtection="1">
      <alignment horizontal="right"/>
    </xf>
    <xf numFmtId="166" fontId="4" fillId="0" borderId="0" xfId="2" applyNumberFormat="1" applyFont="1" applyFill="1" applyAlignment="1" applyProtection="1">
      <alignment horizontal="right"/>
    </xf>
    <xf numFmtId="166" fontId="4" fillId="0" borderId="0" xfId="2" applyNumberFormat="1" applyFont="1" applyFill="1" applyBorder="1" applyProtection="1"/>
    <xf numFmtId="166" fontId="4" fillId="3" borderId="0" xfId="2" applyNumberFormat="1" applyFont="1" applyFill="1" applyAlignment="1">
      <alignment horizontal="left"/>
    </xf>
    <xf numFmtId="37" fontId="19" fillId="0" borderId="0" xfId="0" applyNumberFormat="1" applyFont="1" applyFill="1"/>
    <xf numFmtId="37" fontId="19" fillId="0" borderId="0" xfId="0" quotePrefix="1" applyNumberFormat="1" applyFont="1" applyFill="1" applyAlignment="1">
      <alignment horizontal="left"/>
    </xf>
    <xf numFmtId="37" fontId="19" fillId="0" borderId="0" xfId="0" applyNumberFormat="1" applyFont="1" applyFill="1" applyBorder="1" applyAlignment="1">
      <alignment horizontal="center"/>
    </xf>
    <xf numFmtId="37" fontId="19" fillId="0" borderId="1" xfId="0" quotePrefix="1" applyNumberFormat="1" applyFont="1" applyFill="1" applyBorder="1" applyAlignment="1">
      <alignment horizontal="center"/>
    </xf>
    <xf numFmtId="37" fontId="19" fillId="0" borderId="0" xfId="0" quotePrefix="1" applyNumberFormat="1" applyFont="1" applyFill="1" applyAlignment="1">
      <alignment horizontal="center"/>
    </xf>
    <xf numFmtId="37" fontId="20" fillId="0" borderId="0" xfId="0" applyNumberFormat="1" applyFont="1" applyFill="1" applyAlignment="1">
      <alignment horizontal="center"/>
    </xf>
    <xf numFmtId="37" fontId="20" fillId="0" borderId="0" xfId="0" quotePrefix="1" applyNumberFormat="1" applyFont="1" applyFill="1" applyAlignment="1">
      <alignment horizontal="center"/>
    </xf>
    <xf numFmtId="37" fontId="21" fillId="0" borderId="0" xfId="0" quotePrefix="1" applyNumberFormat="1" applyFont="1" applyFill="1" applyAlignment="1">
      <alignment horizontal="center"/>
    </xf>
    <xf numFmtId="37" fontId="19" fillId="0" borderId="0" xfId="0" applyNumberFormat="1" applyFont="1" applyFill="1" applyAlignment="1">
      <alignment horizontal="left" indent="1"/>
    </xf>
    <xf numFmtId="37" fontId="21" fillId="0" borderId="0" xfId="0" applyNumberFormat="1" applyFont="1" applyFill="1" applyAlignment="1">
      <alignment horizontal="center"/>
    </xf>
    <xf numFmtId="43" fontId="19" fillId="0" borderId="0" xfId="2" applyFont="1" applyFill="1"/>
    <xf numFmtId="37" fontId="19" fillId="0" borderId="0" xfId="0" applyNumberFormat="1" applyFont="1" applyFill="1" applyAlignment="1">
      <alignment horizontal="left"/>
    </xf>
    <xf numFmtId="37" fontId="19" fillId="0" borderId="2" xfId="0" applyNumberFormat="1" applyFont="1" applyFill="1" applyBorder="1"/>
    <xf numFmtId="37" fontId="19" fillId="0" borderId="3" xfId="0" applyNumberFormat="1" applyFont="1" applyFill="1" applyBorder="1"/>
    <xf numFmtId="37" fontId="19" fillId="0" borderId="0" xfId="0" quotePrefix="1" applyNumberFormat="1" applyFont="1" applyFill="1" applyAlignment="1">
      <alignment horizontal="left" indent="1"/>
    </xf>
    <xf numFmtId="37" fontId="19" fillId="0" borderId="0" xfId="0" applyNumberFormat="1" applyFont="1" applyFill="1" applyAlignment="1">
      <alignment horizontal="left" indent="2"/>
    </xf>
    <xf numFmtId="0" fontId="5" fillId="0" borderId="0" xfId="0" applyFont="1"/>
    <xf numFmtId="166" fontId="17" fillId="2" borderId="0" xfId="3" applyNumberFormat="1" applyFont="1" applyFill="1"/>
    <xf numFmtId="0" fontId="4" fillId="0" borderId="0" xfId="0" applyFont="1" applyAlignment="1"/>
    <xf numFmtId="42" fontId="7" fillId="0" borderId="0" xfId="0" applyNumberFormat="1" applyFont="1" applyFill="1"/>
    <xf numFmtId="41" fontId="7" fillId="0" borderId="0" xfId="0" applyNumberFormat="1" applyFont="1" applyFill="1"/>
    <xf numFmtId="0" fontId="3" fillId="0" borderId="0" xfId="0" applyFont="1" applyFill="1" applyBorder="1" applyAlignment="1">
      <alignment vertical="top" wrapText="1"/>
    </xf>
    <xf numFmtId="0" fontId="3" fillId="0" borderId="0" xfId="0" applyFont="1" applyFill="1" applyAlignment="1">
      <alignment horizontal="center"/>
    </xf>
    <xf numFmtId="166" fontId="35" fillId="0" borderId="0" xfId="3" applyNumberFormat="1" applyFont="1" applyFill="1" applyBorder="1"/>
    <xf numFmtId="0" fontId="34" fillId="0" borderId="0" xfId="0" applyFont="1" applyFill="1" applyBorder="1" applyAlignment="1">
      <alignment horizontal="center" wrapText="1"/>
    </xf>
    <xf numFmtId="166" fontId="35" fillId="0" borderId="0" xfId="3" applyNumberFormat="1" applyFont="1" applyFill="1"/>
    <xf numFmtId="165" fontId="36" fillId="0" borderId="0" xfId="4" applyNumberFormat="1" applyFont="1" applyFill="1" applyBorder="1"/>
    <xf numFmtId="0" fontId="3" fillId="0" borderId="0" xfId="0" applyFont="1" applyFill="1" applyBorder="1"/>
    <xf numFmtId="0" fontId="3" fillId="0" borderId="0" xfId="0" applyFont="1" applyFill="1" applyBorder="1" applyAlignment="1">
      <alignment horizontal="center"/>
    </xf>
    <xf numFmtId="0" fontId="34" fillId="0" borderId="0" xfId="0" applyFont="1" applyFill="1" applyBorder="1"/>
    <xf numFmtId="0" fontId="34" fillId="0" borderId="0" xfId="0" applyFont="1" applyFill="1" applyBorder="1" applyAlignment="1">
      <alignment horizontal="center"/>
    </xf>
    <xf numFmtId="0" fontId="34" fillId="0" borderId="0" xfId="0" applyFont="1" applyFill="1" applyBorder="1" applyAlignment="1">
      <alignment horizontal="left"/>
    </xf>
    <xf numFmtId="0" fontId="35" fillId="0" borderId="0" xfId="0" applyFont="1" applyFill="1" applyBorder="1"/>
    <xf numFmtId="0" fontId="34" fillId="0" borderId="0" xfId="0" applyFont="1" applyFill="1" applyBorder="1" applyAlignment="1">
      <alignment horizontal="centerContinuous"/>
    </xf>
    <xf numFmtId="0" fontId="35" fillId="0" borderId="0" xfId="0" applyFont="1" applyFill="1" applyBorder="1" applyAlignment="1">
      <alignment horizontal="center" wrapText="1"/>
    </xf>
    <xf numFmtId="166" fontId="35" fillId="0" borderId="0" xfId="3" applyNumberFormat="1" applyFont="1" applyFill="1" applyBorder="1" applyProtection="1"/>
    <xf numFmtId="165" fontId="36" fillId="0" borderId="0" xfId="3" applyNumberFormat="1" applyFont="1" applyFill="1" applyBorder="1" applyProtection="1"/>
    <xf numFmtId="165" fontId="35" fillId="0" borderId="0" xfId="3" applyNumberFormat="1" applyFont="1" applyFill="1" applyBorder="1"/>
    <xf numFmtId="41" fontId="35" fillId="0" borderId="0" xfId="3" applyNumberFormat="1" applyFont="1" applyFill="1" applyBorder="1"/>
    <xf numFmtId="166" fontId="39" fillId="0" borderId="0" xfId="3" applyNumberFormat="1" applyFont="1" applyBorder="1" applyAlignment="1">
      <alignment vertical="center"/>
    </xf>
    <xf numFmtId="165" fontId="40" fillId="0" borderId="0" xfId="4" applyNumberFormat="1" applyFont="1" applyBorder="1"/>
    <xf numFmtId="0" fontId="35" fillId="0" borderId="0" xfId="0" applyFont="1" applyBorder="1" applyAlignment="1">
      <alignment horizontal="center"/>
    </xf>
    <xf numFmtId="174" fontId="41" fillId="0" borderId="0" xfId="0" applyNumberFormat="1" applyFont="1" applyBorder="1" applyAlignment="1">
      <alignment horizontal="center"/>
    </xf>
    <xf numFmtId="166" fontId="39" fillId="0" borderId="0" xfId="3" applyNumberFormat="1" applyFont="1" applyBorder="1" applyAlignment="1"/>
    <xf numFmtId="165" fontId="36" fillId="0" borderId="0" xfId="0" applyNumberFormat="1" applyFont="1" applyBorder="1"/>
    <xf numFmtId="166" fontId="39" fillId="0" borderId="0" xfId="3" applyNumberFormat="1" applyFont="1" applyBorder="1" applyAlignment="1">
      <alignment horizontal="right"/>
    </xf>
    <xf numFmtId="165" fontId="36" fillId="0" borderId="0" xfId="0" applyNumberFormat="1" applyFont="1" applyBorder="1" applyAlignment="1">
      <alignment horizontal="right"/>
    </xf>
    <xf numFmtId="0" fontId="17" fillId="0" borderId="0" xfId="0" applyFont="1" applyAlignment="1">
      <alignment horizontal="right" vertical="center"/>
    </xf>
    <xf numFmtId="44" fontId="4" fillId="0" borderId="0" xfId="0" applyNumberFormat="1" applyFont="1" applyFill="1" applyAlignment="1">
      <alignment horizontal="center"/>
    </xf>
    <xf numFmtId="0" fontId="17" fillId="0" borderId="0" xfId="0" applyFont="1"/>
    <xf numFmtId="0" fontId="43" fillId="0" borderId="0" xfId="0" applyFont="1" applyAlignment="1">
      <alignment horizontal="center"/>
    </xf>
    <xf numFmtId="0" fontId="43" fillId="0" borderId="0" xfId="0" applyFont="1" applyAlignment="1">
      <alignment horizontal="center" wrapText="1"/>
    </xf>
    <xf numFmtId="0" fontId="17" fillId="0" borderId="0" xfId="0" applyFont="1" applyAlignment="1">
      <alignment vertical="center"/>
    </xf>
    <xf numFmtId="44" fontId="17" fillId="0" borderId="0" xfId="0" applyNumberFormat="1" applyFont="1" applyAlignment="1">
      <alignment horizontal="center" vertical="center"/>
    </xf>
    <xf numFmtId="175" fontId="17" fillId="0" borderId="0" xfId="0" applyNumberFormat="1" applyFont="1" applyAlignment="1">
      <alignment horizontal="center" vertical="center"/>
    </xf>
    <xf numFmtId="0" fontId="46" fillId="0" borderId="0" xfId="0" applyFont="1" applyAlignment="1">
      <alignment horizontal="right"/>
    </xf>
    <xf numFmtId="0" fontId="46" fillId="0" borderId="0" xfId="0" applyFont="1"/>
    <xf numFmtId="10" fontId="17" fillId="0" borderId="0" xfId="8" applyNumberFormat="1" applyFont="1" applyFill="1"/>
    <xf numFmtId="0" fontId="17" fillId="0" borderId="0" xfId="0" applyFont="1" applyAlignment="1">
      <alignment horizontal="left" vertical="center" wrapText="1" indent="1"/>
    </xf>
    <xf numFmtId="165" fontId="17" fillId="0" borderId="0" xfId="0" applyNumberFormat="1" applyFont="1" applyAlignment="1">
      <alignment horizontal="center" vertical="center"/>
    </xf>
    <xf numFmtId="165" fontId="47" fillId="0" borderId="0" xfId="0" applyNumberFormat="1" applyFont="1" applyAlignment="1">
      <alignment horizontal="right" vertical="center"/>
    </xf>
    <xf numFmtId="9" fontId="48" fillId="5" borderId="0" xfId="10" applyFont="1" applyFill="1" applyAlignment="1">
      <alignment vertical="top"/>
    </xf>
    <xf numFmtId="0" fontId="17" fillId="0" borderId="0" xfId="0" applyFont="1" applyAlignment="1">
      <alignment horizontal="center" vertical="center" wrapText="1"/>
    </xf>
    <xf numFmtId="42" fontId="17" fillId="0" borderId="0" xfId="0" applyNumberFormat="1" applyFont="1"/>
    <xf numFmtId="0" fontId="17" fillId="0" borderId="0" xfId="0" applyFont="1" applyAlignment="1">
      <alignment horizontal="left" indent="3"/>
    </xf>
    <xf numFmtId="165" fontId="17" fillId="0" borderId="0" xfId="0" applyNumberFormat="1" applyFont="1"/>
    <xf numFmtId="166" fontId="43" fillId="0" borderId="0" xfId="0" applyNumberFormat="1" applyFont="1"/>
    <xf numFmtId="165" fontId="47" fillId="0" borderId="0" xfId="0" applyNumberFormat="1" applyFont="1"/>
    <xf numFmtId="0" fontId="17" fillId="0" borderId="0" xfId="0" applyFont="1" applyAlignment="1">
      <alignment horizontal="left" wrapText="1"/>
    </xf>
    <xf numFmtId="166" fontId="35" fillId="0" borderId="0" xfId="0" applyNumberFormat="1" applyFont="1" applyFill="1" applyBorder="1"/>
    <xf numFmtId="0" fontId="35" fillId="0" borderId="0" xfId="0" applyFont="1" applyFill="1" applyAlignment="1">
      <alignment horizontal="center" wrapText="1"/>
    </xf>
    <xf numFmtId="166" fontId="4" fillId="0" borderId="0" xfId="7" applyNumberFormat="1" applyFont="1" applyFill="1"/>
    <xf numFmtId="43" fontId="4" fillId="0" borderId="0" xfId="7" applyNumberFormat="1" applyFont="1" applyFill="1"/>
    <xf numFmtId="166" fontId="35" fillId="0" borderId="0" xfId="2" applyNumberFormat="1" applyFont="1" applyFill="1" applyProtection="1"/>
    <xf numFmtId="165" fontId="36" fillId="0" borderId="0" xfId="5" applyNumberFormat="1" applyFont="1" applyFill="1" applyBorder="1" applyProtection="1"/>
    <xf numFmtId="166" fontId="35" fillId="0" borderId="0" xfId="2" applyNumberFormat="1" applyFont="1" applyFill="1" applyBorder="1" applyProtection="1"/>
    <xf numFmtId="166" fontId="35" fillId="0" borderId="0" xfId="2" applyNumberFormat="1" applyFont="1" applyFill="1" applyBorder="1"/>
    <xf numFmtId="165" fontId="36" fillId="0" borderId="0" xfId="5" applyNumberFormat="1" applyFont="1" applyFill="1" applyBorder="1"/>
    <xf numFmtId="166" fontId="35" fillId="0" borderId="0" xfId="2" applyNumberFormat="1" applyFont="1" applyFill="1" applyBorder="1" applyAlignment="1">
      <alignment horizontal="center"/>
    </xf>
    <xf numFmtId="0" fontId="4" fillId="0" borderId="0" xfId="7" applyFont="1" applyFill="1" applyBorder="1" applyAlignment="1">
      <alignment horizontal="centerContinuous"/>
    </xf>
    <xf numFmtId="0" fontId="35" fillId="0" borderId="0" xfId="7" applyFont="1" applyFill="1" applyBorder="1" applyAlignment="1">
      <alignment horizontal="center"/>
    </xf>
    <xf numFmtId="166" fontId="35" fillId="0" borderId="0" xfId="3" applyNumberFormat="1" applyFont="1" applyFill="1" applyBorder="1" applyAlignment="1">
      <alignment horizontal="center"/>
    </xf>
    <xf numFmtId="0" fontId="35" fillId="0" borderId="0" xfId="0" applyFont="1" applyFill="1" applyBorder="1" applyAlignment="1">
      <alignment horizontal="center"/>
    </xf>
    <xf numFmtId="37" fontId="35" fillId="0" borderId="0" xfId="0" applyNumberFormat="1" applyFont="1" applyFill="1" applyBorder="1" applyProtection="1"/>
    <xf numFmtId="166" fontId="49" fillId="0" borderId="0" xfId="3" applyNumberFormat="1" applyFont="1" applyFill="1" applyBorder="1"/>
    <xf numFmtId="165" fontId="36" fillId="0" borderId="0" xfId="3" applyNumberFormat="1" applyFont="1" applyFill="1" applyBorder="1"/>
    <xf numFmtId="166" fontId="35" fillId="0" borderId="0" xfId="2" applyNumberFormat="1" applyFont="1" applyFill="1"/>
    <xf numFmtId="41" fontId="35" fillId="0" borderId="0" xfId="0" applyNumberFormat="1" applyFont="1" applyFill="1" applyBorder="1" applyProtection="1"/>
    <xf numFmtId="166" fontId="35" fillId="0" borderId="0" xfId="1" applyNumberFormat="1" applyFont="1" applyFill="1" applyBorder="1"/>
    <xf numFmtId="166" fontId="35" fillId="0" borderId="0" xfId="5" applyNumberFormat="1" applyFont="1" applyFill="1" applyBorder="1"/>
    <xf numFmtId="166" fontId="35" fillId="0" borderId="0" xfId="7" applyNumberFormat="1" applyFont="1" applyFill="1" applyBorder="1"/>
    <xf numFmtId="166" fontId="4" fillId="0" borderId="0" xfId="5" applyNumberFormat="1" applyFont="1" applyFill="1"/>
    <xf numFmtId="166" fontId="4" fillId="3" borderId="0" xfId="7" applyNumberFormat="1" applyFont="1" applyFill="1"/>
    <xf numFmtId="166" fontId="4" fillId="0" borderId="0" xfId="5" applyNumberFormat="1" applyFont="1" applyFill="1" applyProtection="1"/>
    <xf numFmtId="166" fontId="35" fillId="0" borderId="0" xfId="2" applyNumberFormat="1" applyFont="1" applyFill="1" applyBorder="1" applyAlignment="1" applyProtection="1">
      <alignment horizontal="right"/>
    </xf>
    <xf numFmtId="165" fontId="35" fillId="0" borderId="0" xfId="5" applyNumberFormat="1" applyFont="1" applyFill="1"/>
    <xf numFmtId="166" fontId="35" fillId="0" borderId="0" xfId="5" applyNumberFormat="1" applyFont="1" applyFill="1"/>
    <xf numFmtId="166" fontId="3" fillId="0" borderId="0" xfId="3" applyNumberFormat="1" applyFont="1" applyFill="1" applyAlignment="1">
      <alignment horizontal="center"/>
    </xf>
    <xf numFmtId="166" fontId="4" fillId="0" borderId="0" xfId="3" applyNumberFormat="1" applyFont="1" applyFill="1"/>
    <xf numFmtId="0" fontId="34" fillId="0" borderId="0" xfId="0" applyFont="1" applyFill="1" applyBorder="1" applyAlignment="1">
      <alignment horizontal="center"/>
    </xf>
    <xf numFmtId="166" fontId="4" fillId="0" borderId="0" xfId="0" applyNumberFormat="1" applyFont="1" applyFill="1" applyBorder="1" applyProtection="1"/>
    <xf numFmtId="44" fontId="17" fillId="0" borderId="0" xfId="0" applyNumberFormat="1" applyFont="1" applyFill="1" applyAlignment="1">
      <alignment horizontal="center"/>
    </xf>
    <xf numFmtId="166" fontId="4" fillId="0" borderId="0" xfId="3" quotePrefix="1" applyNumberFormat="1" applyFont="1" applyFill="1" applyBorder="1"/>
    <xf numFmtId="166" fontId="35" fillId="0" borderId="0" xfId="3" quotePrefix="1" applyNumberFormat="1" applyFont="1" applyFill="1" applyBorder="1"/>
    <xf numFmtId="0" fontId="17" fillId="0" borderId="0" xfId="0" applyFont="1" applyFill="1"/>
    <xf numFmtId="0" fontId="17" fillId="0" borderId="0" xfId="0" applyFont="1" applyFill="1" applyAlignment="1">
      <alignment horizontal="left" indent="1"/>
    </xf>
    <xf numFmtId="0" fontId="17" fillId="0" borderId="0" xfId="0" applyFont="1" applyFill="1" applyAlignment="1">
      <alignment horizontal="left" wrapText="1" indent="1"/>
    </xf>
    <xf numFmtId="0" fontId="17" fillId="0" borderId="0" xfId="0" applyFont="1" applyAlignment="1">
      <alignment horizontal="left" wrapText="1" indent="1"/>
    </xf>
    <xf numFmtId="0" fontId="52" fillId="5" borderId="0" xfId="0" applyFont="1" applyFill="1"/>
    <xf numFmtId="44" fontId="17" fillId="0" borderId="0" xfId="0" applyNumberFormat="1" applyFont="1" applyFill="1" applyAlignment="1">
      <alignment horizontal="center" vertical="center"/>
    </xf>
    <xf numFmtId="44" fontId="17" fillId="0" borderId="0" xfId="0" quotePrefix="1" applyNumberFormat="1" applyFont="1" applyAlignment="1">
      <alignment horizontal="center" vertical="center"/>
    </xf>
    <xf numFmtId="165" fontId="17" fillId="0" borderId="0" xfId="0" quotePrefix="1" applyNumberFormat="1" applyFont="1" applyAlignment="1">
      <alignment horizontal="center" vertical="center"/>
    </xf>
    <xf numFmtId="0" fontId="48" fillId="0" borderId="0" xfId="9" applyFont="1" applyFill="1" applyBorder="1" applyAlignment="1">
      <alignment horizontal="right" vertical="top" wrapText="1"/>
    </xf>
    <xf numFmtId="0" fontId="48" fillId="0" borderId="0" xfId="9" applyFont="1" applyFill="1" applyAlignment="1">
      <alignment horizontal="left" vertical="top" wrapText="1"/>
    </xf>
    <xf numFmtId="165" fontId="4" fillId="0" borderId="0" xfId="0" applyNumberFormat="1" applyFont="1" applyAlignment="1">
      <alignment horizontal="center" vertical="center"/>
    </xf>
    <xf numFmtId="0" fontId="52" fillId="5" borderId="0" xfId="0" applyFont="1" applyFill="1" applyAlignment="1">
      <alignment horizontal="left"/>
    </xf>
    <xf numFmtId="165" fontId="17" fillId="0" borderId="0" xfId="0" applyNumberFormat="1" applyFont="1" applyFill="1" applyAlignment="1">
      <alignment horizontal="center"/>
    </xf>
    <xf numFmtId="0" fontId="3" fillId="0" borderId="0" xfId="0" quotePrefix="1" applyFont="1" applyFill="1"/>
    <xf numFmtId="44" fontId="4" fillId="5" borderId="0" xfId="0" applyNumberFormat="1" applyFont="1" applyFill="1" applyAlignment="1">
      <alignment horizontal="center"/>
    </xf>
    <xf numFmtId="44" fontId="17" fillId="0" borderId="0" xfId="4" applyNumberFormat="1" applyFont="1" applyFill="1" applyAlignment="1">
      <alignment horizontal="center"/>
    </xf>
    <xf numFmtId="165" fontId="36" fillId="0" borderId="0" xfId="0" applyNumberFormat="1" applyFont="1" applyFill="1" applyBorder="1"/>
    <xf numFmtId="166" fontId="17" fillId="0" borderId="0" xfId="3" applyNumberFormat="1" applyFont="1" applyFill="1"/>
    <xf numFmtId="165" fontId="17" fillId="0" borderId="0" xfId="2" applyNumberFormat="1" applyFont="1" applyFill="1" applyAlignment="1">
      <alignment horizontal="center"/>
    </xf>
    <xf numFmtId="166" fontId="17" fillId="0" borderId="0" xfId="2" applyNumberFormat="1" applyFont="1" applyFill="1"/>
    <xf numFmtId="44" fontId="17" fillId="0" borderId="0" xfId="2" applyNumberFormat="1" applyFont="1" applyFill="1" applyAlignment="1">
      <alignment horizontal="center"/>
    </xf>
    <xf numFmtId="44" fontId="17" fillId="0" borderId="0" xfId="3" applyNumberFormat="1" applyFont="1" applyFill="1" applyAlignment="1">
      <alignment horizontal="center"/>
    </xf>
    <xf numFmtId="0" fontId="17" fillId="0" borderId="0" xfId="7" applyFont="1" applyFill="1"/>
    <xf numFmtId="165" fontId="17" fillId="0" borderId="0" xfId="3" applyNumberFormat="1" applyFont="1" applyFill="1" applyAlignment="1">
      <alignment horizontal="center"/>
    </xf>
    <xf numFmtId="166" fontId="17" fillId="0" borderId="0" xfId="2" applyNumberFormat="1" applyFont="1" applyFill="1" applyProtection="1"/>
    <xf numFmtId="0" fontId="4" fillId="0" borderId="0" xfId="0" applyFont="1" applyBorder="1" applyAlignment="1">
      <alignment horizontal="center" wrapText="1"/>
    </xf>
    <xf numFmtId="0" fontId="4" fillId="0" borderId="0" xfId="0" applyFont="1" applyBorder="1" applyAlignment="1">
      <alignment horizontal="left" indent="2"/>
    </xf>
    <xf numFmtId="0" fontId="4" fillId="0" borderId="0" xfId="0" applyFont="1" applyBorder="1" applyAlignment="1">
      <alignment vertical="top"/>
    </xf>
    <xf numFmtId="14" fontId="17" fillId="0" borderId="0" xfId="0" applyNumberFormat="1" applyFont="1" applyFill="1"/>
    <xf numFmtId="174" fontId="35" fillId="0" borderId="0" xfId="0" applyNumberFormat="1" applyFont="1" applyBorder="1" applyAlignment="1">
      <alignment horizontal="center" wrapText="1"/>
    </xf>
    <xf numFmtId="0" fontId="0" fillId="0" borderId="0" xfId="0"/>
    <xf numFmtId="0" fontId="4" fillId="0" borderId="0" xfId="0" applyFont="1" applyAlignment="1">
      <alignment horizontal="left" indent="1"/>
    </xf>
    <xf numFmtId="0" fontId="35" fillId="0" borderId="0" xfId="0" applyFont="1" applyBorder="1" applyAlignment="1">
      <alignment horizontal="center" wrapText="1"/>
    </xf>
    <xf numFmtId="0" fontId="4" fillId="0" borderId="0" xfId="0" applyFont="1" applyBorder="1" applyAlignment="1">
      <alignment wrapText="1"/>
    </xf>
    <xf numFmtId="0" fontId="3" fillId="0" borderId="0" xfId="0" applyFont="1" applyAlignment="1">
      <alignment horizontal="center"/>
    </xf>
    <xf numFmtId="0" fontId="4" fillId="0" borderId="0" xfId="0" applyFont="1" applyAlignment="1">
      <alignment horizontal="center"/>
    </xf>
    <xf numFmtId="165" fontId="7" fillId="0" borderId="0" xfId="0" applyNumberFormat="1" applyFont="1"/>
    <xf numFmtId="166" fontId="7" fillId="0" borderId="0" xfId="0" applyNumberFormat="1" applyFont="1"/>
    <xf numFmtId="166" fontId="37" fillId="0" borderId="0" xfId="0" applyNumberFormat="1" applyFont="1"/>
    <xf numFmtId="166" fontId="4" fillId="0" borderId="0" xfId="0" applyNumberFormat="1" applyFont="1"/>
    <xf numFmtId="166" fontId="35" fillId="0" borderId="0" xfId="0" applyNumberFormat="1" applyFont="1"/>
    <xf numFmtId="166" fontId="35" fillId="0" borderId="0" xfId="0" applyNumberFormat="1" applyFont="1" applyBorder="1"/>
    <xf numFmtId="166" fontId="4" fillId="0" borderId="0" xfId="0" applyNumberFormat="1" applyFont="1" applyBorder="1"/>
    <xf numFmtId="44" fontId="4" fillId="0" borderId="0" xfId="0" applyNumberFormat="1" applyFont="1" applyAlignment="1">
      <alignment horizontal="center"/>
    </xf>
    <xf numFmtId="0" fontId="4" fillId="0" borderId="0" xfId="0" applyFont="1"/>
    <xf numFmtId="165" fontId="38" fillId="0" borderId="0" xfId="0" applyNumberFormat="1" applyFont="1" applyFill="1"/>
    <xf numFmtId="0" fontId="4" fillId="0" borderId="0" xfId="0" applyFont="1" applyAlignment="1">
      <alignment horizontal="center" vertical="center"/>
    </xf>
    <xf numFmtId="5" fontId="4" fillId="0" borderId="0" xfId="0" applyNumberFormat="1" applyFont="1"/>
    <xf numFmtId="0" fontId="3" fillId="0" borderId="0" xfId="0" applyFont="1" applyBorder="1" applyAlignment="1">
      <alignment horizontal="center"/>
    </xf>
    <xf numFmtId="175" fontId="4" fillId="0" borderId="0" xfId="0" quotePrefix="1" applyNumberFormat="1" applyFont="1" applyAlignment="1">
      <alignment horizontal="center" vertical="center"/>
    </xf>
    <xf numFmtId="176" fontId="4" fillId="0" borderId="0" xfId="0" applyNumberFormat="1" applyFont="1"/>
    <xf numFmtId="175" fontId="4" fillId="0" borderId="0" xfId="0" applyNumberFormat="1" applyFont="1" applyAlignment="1">
      <alignment horizontal="center" vertical="center"/>
    </xf>
    <xf numFmtId="174" fontId="34" fillId="0" borderId="0" xfId="0" applyNumberFormat="1" applyFont="1" applyAlignment="1">
      <alignment horizontal="center" wrapText="1"/>
    </xf>
    <xf numFmtId="0" fontId="3" fillId="0" borderId="0" xfId="0" applyFont="1"/>
    <xf numFmtId="0" fontId="2" fillId="0" borderId="0" xfId="0" applyFont="1"/>
    <xf numFmtId="0" fontId="4" fillId="0" borderId="0" xfId="0" applyFont="1" applyAlignment="1">
      <alignment horizontal="left" wrapText="1" indent="1"/>
    </xf>
    <xf numFmtId="177" fontId="4" fillId="0" borderId="0" xfId="8" applyNumberFormat="1" applyFont="1"/>
    <xf numFmtId="0" fontId="4" fillId="0" borderId="0" xfId="0" applyFont="1" applyAlignment="1">
      <alignment vertical="top" wrapText="1"/>
    </xf>
    <xf numFmtId="165" fontId="36" fillId="0" borderId="0" xfId="0" applyNumberFormat="1" applyFont="1"/>
    <xf numFmtId="165" fontId="36" fillId="0" borderId="0" xfId="0" applyNumberFormat="1" applyFont="1" applyFill="1"/>
    <xf numFmtId="44" fontId="4" fillId="0" borderId="0" xfId="0" applyNumberFormat="1" applyFont="1" applyAlignment="1">
      <alignment horizontal="center" vertical="center"/>
    </xf>
    <xf numFmtId="0" fontId="4" fillId="0" borderId="0" xfId="0" applyFont="1" applyAlignment="1">
      <alignment horizontal="left"/>
    </xf>
    <xf numFmtId="0" fontId="4" fillId="0" borderId="0" xfId="0" applyFont="1" applyAlignment="1">
      <alignment vertical="center"/>
    </xf>
    <xf numFmtId="166" fontId="4" fillId="0" borderId="0" xfId="0" applyNumberFormat="1" applyFont="1" applyAlignment="1">
      <alignment vertical="center"/>
    </xf>
    <xf numFmtId="165" fontId="4" fillId="0" borderId="0" xfId="0" applyNumberFormat="1" applyFont="1" applyAlignment="1">
      <alignment vertical="center"/>
    </xf>
    <xf numFmtId="0" fontId="4" fillId="0" borderId="0" xfId="0" applyFont="1" applyAlignment="1">
      <alignment horizontal="left" vertical="top"/>
    </xf>
    <xf numFmtId="0" fontId="4" fillId="0" borderId="0" xfId="0" applyFont="1" applyAlignment="1">
      <alignment horizontal="left" vertical="top" wrapText="1"/>
    </xf>
    <xf numFmtId="174" fontId="34" fillId="0" borderId="0" xfId="0" applyNumberFormat="1" applyFont="1" applyAlignment="1">
      <alignment horizontal="center"/>
    </xf>
    <xf numFmtId="177" fontId="4" fillId="0" borderId="0" xfId="0" applyNumberFormat="1" applyFont="1"/>
    <xf numFmtId="166" fontId="4" fillId="0" borderId="0" xfId="11" applyNumberFormat="1" applyFont="1"/>
    <xf numFmtId="0" fontId="4" fillId="0" borderId="0" xfId="0" applyFont="1" applyAlignment="1">
      <alignment horizontal="center"/>
    </xf>
    <xf numFmtId="0" fontId="3" fillId="0" borderId="0" xfId="0" applyFont="1" applyBorder="1" applyAlignment="1">
      <alignment horizontal="center"/>
    </xf>
    <xf numFmtId="0" fontId="35" fillId="0" borderId="0" xfId="0" applyFont="1" applyBorder="1" applyAlignment="1">
      <alignment horizontal="center" wrapText="1"/>
    </xf>
    <xf numFmtId="0" fontId="3" fillId="0" borderId="0" xfId="0" applyFont="1" applyAlignment="1">
      <alignment horizontal="center"/>
    </xf>
    <xf numFmtId="0" fontId="4" fillId="0" borderId="0" xfId="0" applyFont="1"/>
    <xf numFmtId="0" fontId="34" fillId="0" borderId="0" xfId="0" applyFont="1" applyFill="1" applyBorder="1" applyAlignment="1">
      <alignment horizontal="center"/>
    </xf>
    <xf numFmtId="0" fontId="34" fillId="0" borderId="0" xfId="0" applyFont="1" applyFill="1" applyBorder="1" applyAlignment="1">
      <alignment horizontal="center" wrapText="1"/>
    </xf>
    <xf numFmtId="0" fontId="4" fillId="0" borderId="0" xfId="0" applyFont="1" applyFill="1" applyAlignment="1">
      <alignment horizontal="left" wrapText="1" indent="1"/>
    </xf>
    <xf numFmtId="0" fontId="4" fillId="0" borderId="0" xfId="0" applyFont="1" applyFill="1" applyAlignment="1">
      <alignment wrapText="1"/>
    </xf>
    <xf numFmtId="166" fontId="4" fillId="0" borderId="0" xfId="3" applyNumberFormat="1" applyFont="1" applyFill="1"/>
    <xf numFmtId="0" fontId="4" fillId="0" borderId="0" xfId="0" applyFont="1" applyAlignment="1">
      <alignment horizontal="center"/>
    </xf>
    <xf numFmtId="0" fontId="4" fillId="0" borderId="0" xfId="0" applyFont="1"/>
    <xf numFmtId="166" fontId="4" fillId="0" borderId="0" xfId="3" applyNumberFormat="1" applyFont="1" applyFill="1"/>
    <xf numFmtId="0" fontId="4" fillId="0" borderId="0" xfId="7" applyFont="1" applyFill="1" applyAlignment="1">
      <alignment horizontal="right"/>
    </xf>
    <xf numFmtId="0" fontId="4" fillId="0" borderId="0" xfId="0" applyFont="1" applyAlignment="1">
      <alignment horizontal="center"/>
    </xf>
    <xf numFmtId="0" fontId="4" fillId="0" borderId="0" xfId="0" applyFont="1"/>
    <xf numFmtId="166" fontId="4" fillId="0" borderId="0" xfId="3" applyNumberFormat="1" applyFont="1" applyFill="1"/>
    <xf numFmtId="166" fontId="0" fillId="0" borderId="0" xfId="0" applyNumberFormat="1"/>
    <xf numFmtId="165" fontId="0" fillId="0" borderId="0" xfId="0" applyNumberFormat="1"/>
    <xf numFmtId="0" fontId="34" fillId="0" borderId="0" xfId="0" applyFont="1" applyFill="1" applyBorder="1" applyAlignment="1">
      <alignment horizontal="center"/>
    </xf>
    <xf numFmtId="0" fontId="4" fillId="0" borderId="0" xfId="0" applyFont="1" applyFill="1" applyAlignment="1">
      <alignment wrapText="1"/>
    </xf>
    <xf numFmtId="0" fontId="3" fillId="0" borderId="0" xfId="0" applyFont="1" applyFill="1" applyAlignment="1">
      <alignment horizontal="center"/>
    </xf>
    <xf numFmtId="0" fontId="34" fillId="0" borderId="0" xfId="0" applyFont="1" applyFill="1" applyBorder="1" applyAlignment="1">
      <alignment horizontal="center" wrapText="1"/>
    </xf>
    <xf numFmtId="0" fontId="4" fillId="0" borderId="0" xfId="0" applyFont="1" applyBorder="1" applyAlignment="1">
      <alignment wrapText="1"/>
    </xf>
    <xf numFmtId="177" fontId="4" fillId="0" borderId="0" xfId="0" applyNumberFormat="1" applyFont="1" applyFill="1" applyAlignment="1">
      <alignment horizontal="center"/>
    </xf>
    <xf numFmtId="0" fontId="3" fillId="0" borderId="0" xfId="0" applyFont="1" applyFill="1" applyAlignment="1">
      <alignment horizontal="center"/>
    </xf>
    <xf numFmtId="0" fontId="3" fillId="0" borderId="0" xfId="0" applyFont="1" applyFill="1" applyAlignment="1">
      <alignment vertical="top"/>
    </xf>
    <xf numFmtId="166" fontId="4" fillId="0" borderId="0" xfId="3" applyNumberFormat="1" applyFont="1" applyFill="1" applyAlignment="1">
      <alignment vertical="top"/>
    </xf>
    <xf numFmtId="166" fontId="35" fillId="0" borderId="0" xfId="3" applyNumberFormat="1" applyFont="1" applyFill="1" applyBorder="1" applyAlignment="1">
      <alignment vertical="top"/>
    </xf>
    <xf numFmtId="0" fontId="4" fillId="0" borderId="0" xfId="0" applyFont="1" applyFill="1" applyAlignment="1">
      <alignment vertical="top"/>
    </xf>
    <xf numFmtId="165" fontId="4" fillId="0" borderId="0" xfId="4" applyNumberFormat="1" applyFont="1" applyFill="1" applyBorder="1" applyAlignment="1">
      <alignment vertical="top"/>
    </xf>
    <xf numFmtId="0" fontId="4" fillId="0" borderId="0" xfId="0" applyFont="1" applyFill="1" applyAlignment="1">
      <alignment horizontal="left" vertical="top"/>
    </xf>
    <xf numFmtId="166" fontId="4" fillId="0" borderId="0" xfId="3" applyNumberFormat="1" applyFont="1" applyFill="1" applyBorder="1" applyAlignment="1">
      <alignment vertical="top"/>
    </xf>
    <xf numFmtId="0" fontId="4" fillId="0" borderId="0" xfId="0" applyFont="1" applyFill="1" applyAlignment="1">
      <alignment horizontal="left" vertical="top" wrapText="1"/>
    </xf>
    <xf numFmtId="165" fontId="36" fillId="0" borderId="0" xfId="4" applyNumberFormat="1" applyFont="1" applyFill="1" applyBorder="1" applyAlignment="1">
      <alignment vertical="top"/>
    </xf>
    <xf numFmtId="165" fontId="4" fillId="0" borderId="0" xfId="4" applyNumberFormat="1" applyFont="1" applyFill="1" applyAlignment="1">
      <alignment vertical="top"/>
    </xf>
    <xf numFmtId="0" fontId="3" fillId="0" borderId="0" xfId="0" applyFont="1" applyFill="1" applyAlignment="1">
      <alignment horizontal="left" vertical="top"/>
    </xf>
    <xf numFmtId="0" fontId="4" fillId="0" borderId="0" xfId="0" applyFont="1" applyFill="1" applyAlignment="1">
      <alignment horizontal="left" vertical="top" wrapText="1" indent="1"/>
    </xf>
    <xf numFmtId="0" fontId="4" fillId="0" borderId="0" xfId="0" applyFont="1" applyFill="1" applyAlignment="1">
      <alignment horizontal="left" vertical="top" indent="1"/>
    </xf>
    <xf numFmtId="0" fontId="4" fillId="0" borderId="0" xfId="0" applyFont="1" applyFill="1" applyAlignment="1">
      <alignment horizontal="left" vertical="top" indent="2"/>
    </xf>
    <xf numFmtId="0" fontId="4" fillId="0" borderId="0" xfId="0" applyFont="1" applyFill="1" applyBorder="1" applyAlignment="1">
      <alignment vertical="center"/>
    </xf>
    <xf numFmtId="42" fontId="4" fillId="0" borderId="0" xfId="3" applyNumberFormat="1" applyFont="1" applyFill="1" applyAlignment="1">
      <alignment vertical="top"/>
    </xf>
    <xf numFmtId="165" fontId="4" fillId="0" borderId="0" xfId="3" applyNumberFormat="1" applyFont="1" applyFill="1" applyAlignment="1">
      <alignment vertical="top"/>
    </xf>
    <xf numFmtId="166" fontId="4" fillId="0" borderId="0" xfId="0" applyNumberFormat="1" applyFont="1" applyFill="1" applyAlignment="1">
      <alignment vertical="top"/>
    </xf>
    <xf numFmtId="166" fontId="35" fillId="0" borderId="0" xfId="0" applyNumberFormat="1" applyFont="1" applyFill="1" applyAlignment="1">
      <alignment vertical="top"/>
    </xf>
    <xf numFmtId="0" fontId="36" fillId="0" borderId="0" xfId="0" applyFont="1" applyFill="1" applyBorder="1" applyAlignment="1">
      <alignment vertical="top"/>
    </xf>
    <xf numFmtId="165" fontId="4" fillId="0" borderId="0" xfId="0" applyNumberFormat="1" applyFont="1" applyFill="1" applyAlignment="1">
      <alignment vertical="top"/>
    </xf>
    <xf numFmtId="0" fontId="4" fillId="0" borderId="0" xfId="0" applyFont="1" applyFill="1" applyAlignment="1">
      <alignment horizontal="left" vertical="top" wrapText="1" indent="2"/>
    </xf>
    <xf numFmtId="0" fontId="3" fillId="0" borderId="0" xfId="0" applyFont="1" applyFill="1" applyAlignment="1">
      <alignment horizontal="left" vertical="center"/>
    </xf>
    <xf numFmtId="0" fontId="4" fillId="0" borderId="0" xfId="0" applyFont="1" applyFill="1" applyAlignment="1">
      <alignment vertical="center"/>
    </xf>
    <xf numFmtId="166" fontId="4" fillId="0" borderId="0" xfId="3" applyNumberFormat="1" applyFont="1" applyFill="1" applyBorder="1" applyAlignment="1">
      <alignment vertical="center"/>
    </xf>
    <xf numFmtId="165" fontId="4" fillId="0" borderId="0" xfId="0" applyNumberFormat="1" applyFont="1" applyFill="1" applyBorder="1" applyAlignment="1">
      <alignment vertical="top"/>
    </xf>
    <xf numFmtId="0" fontId="8" fillId="0" borderId="0" xfId="0" applyFont="1" applyFill="1" applyAlignment="1">
      <alignment vertical="top"/>
    </xf>
    <xf numFmtId="166" fontId="4" fillId="0" borderId="0" xfId="4" applyNumberFormat="1" applyFont="1" applyFill="1" applyBorder="1" applyAlignment="1">
      <alignment vertical="top"/>
    </xf>
    <xf numFmtId="166" fontId="35" fillId="0" borderId="0" xfId="4" applyNumberFormat="1" applyFont="1" applyFill="1" applyBorder="1" applyAlignment="1">
      <alignment vertical="top"/>
    </xf>
    <xf numFmtId="165" fontId="36" fillId="0" borderId="0" xfId="4" applyNumberFormat="1" applyFont="1" applyFill="1" applyBorder="1" applyAlignment="1"/>
    <xf numFmtId="166" fontId="4" fillId="0" borderId="0" xfId="4" applyNumberFormat="1" applyFont="1" applyFill="1" applyBorder="1" applyAlignment="1"/>
    <xf numFmtId="0" fontId="4" fillId="0" borderId="0" xfId="0" applyFont="1" applyFill="1" applyAlignment="1">
      <alignment horizontal="left" vertical="center" wrapText="1"/>
    </xf>
    <xf numFmtId="166" fontId="35" fillId="0" borderId="0" xfId="3" applyNumberFormat="1" applyFont="1" applyFill="1" applyBorder="1" applyAlignment="1">
      <alignment vertical="center"/>
    </xf>
    <xf numFmtId="166" fontId="4" fillId="0" borderId="0" xfId="0" applyNumberFormat="1" applyFont="1" applyFill="1" applyAlignment="1">
      <alignment vertical="center"/>
    </xf>
    <xf numFmtId="42" fontId="4" fillId="0" borderId="0" xfId="0" applyNumberFormat="1" applyFont="1" applyFill="1" applyAlignment="1">
      <alignment vertical="top"/>
    </xf>
    <xf numFmtId="41" fontId="4" fillId="0" borderId="0" xfId="0" applyNumberFormat="1" applyFont="1" applyFill="1" applyAlignment="1">
      <alignment vertical="top"/>
    </xf>
    <xf numFmtId="41" fontId="35" fillId="0" borderId="0" xfId="0" applyNumberFormat="1" applyFont="1" applyFill="1" applyBorder="1" applyAlignment="1">
      <alignment vertical="top"/>
    </xf>
    <xf numFmtId="42" fontId="36" fillId="0" borderId="0" xfId="0" applyNumberFormat="1" applyFont="1" applyFill="1" applyBorder="1" applyAlignment="1">
      <alignment vertical="top"/>
    </xf>
    <xf numFmtId="41" fontId="4" fillId="0" borderId="0" xfId="0" applyNumberFormat="1" applyFont="1" applyFill="1" applyAlignment="1"/>
    <xf numFmtId="166" fontId="4" fillId="0" borderId="0" xfId="0" applyNumberFormat="1" applyFont="1" applyFill="1" applyAlignment="1"/>
    <xf numFmtId="165" fontId="4" fillId="0" borderId="0" xfId="3" applyNumberFormat="1" applyFont="1" applyFill="1" applyAlignment="1" applyProtection="1">
      <alignment vertical="top"/>
    </xf>
    <xf numFmtId="166" fontId="4" fillId="0" borderId="0" xfId="3" applyNumberFormat="1" applyFont="1" applyFill="1" applyAlignment="1" applyProtection="1">
      <alignment vertical="top"/>
    </xf>
    <xf numFmtId="166" fontId="35" fillId="0" borderId="0" xfId="3" applyNumberFormat="1" applyFont="1" applyFill="1" applyBorder="1" applyAlignment="1" applyProtection="1">
      <alignment vertical="top"/>
    </xf>
    <xf numFmtId="166" fontId="4" fillId="0" borderId="0" xfId="3" applyNumberFormat="1" applyFont="1" applyFill="1" applyAlignment="1" applyProtection="1"/>
    <xf numFmtId="166" fontId="35" fillId="0" borderId="0" xfId="3" applyNumberFormat="1" applyFont="1" applyFill="1" applyBorder="1" applyAlignment="1" applyProtection="1">
      <alignment horizontal="right" vertical="top"/>
    </xf>
    <xf numFmtId="165" fontId="36" fillId="0" borderId="0" xfId="4" applyNumberFormat="1" applyFont="1" applyFill="1" applyBorder="1" applyAlignment="1" applyProtection="1">
      <alignment vertical="top"/>
    </xf>
    <xf numFmtId="166" fontId="4" fillId="0" borderId="0" xfId="3" applyNumberFormat="1" applyFont="1" applyFill="1" applyBorder="1" applyAlignment="1" applyProtection="1">
      <alignment vertical="top"/>
    </xf>
    <xf numFmtId="0" fontId="4" fillId="0" borderId="0" xfId="0" applyFont="1" applyFill="1" applyAlignment="1">
      <alignment horizontal="right" vertical="top"/>
    </xf>
    <xf numFmtId="166" fontId="35" fillId="0" borderId="0" xfId="0" applyNumberFormat="1" applyFont="1" applyFill="1" applyBorder="1" applyAlignment="1">
      <alignment vertical="top"/>
    </xf>
    <xf numFmtId="166" fontId="4" fillId="0" borderId="0" xfId="0" applyNumberFormat="1" applyFont="1" applyFill="1" applyBorder="1" applyAlignment="1">
      <alignment vertical="top"/>
    </xf>
    <xf numFmtId="165" fontId="36" fillId="0" borderId="0" xfId="3" applyNumberFormat="1" applyFont="1" applyFill="1" applyBorder="1" applyAlignment="1" applyProtection="1">
      <alignment vertical="top"/>
    </xf>
    <xf numFmtId="0" fontId="17" fillId="0" borderId="0" xfId="0" applyFont="1" applyFill="1" applyAlignment="1">
      <alignment vertical="top"/>
    </xf>
    <xf numFmtId="0" fontId="17" fillId="0" borderId="0" xfId="0" applyFont="1" applyFill="1" applyAlignment="1">
      <alignment horizontal="left" vertical="top"/>
    </xf>
    <xf numFmtId="165" fontId="4" fillId="0" borderId="0" xfId="3" applyNumberFormat="1" applyFont="1" applyFill="1" applyBorder="1" applyAlignment="1">
      <alignment vertical="top"/>
    </xf>
    <xf numFmtId="41" fontId="35" fillId="0" borderId="0" xfId="3" applyNumberFormat="1" applyFont="1" applyFill="1" applyBorder="1" applyAlignment="1">
      <alignment vertical="top"/>
    </xf>
    <xf numFmtId="166" fontId="4" fillId="0" borderId="0" xfId="4" applyNumberFormat="1" applyFont="1" applyFill="1" applyAlignment="1">
      <alignment vertical="top"/>
    </xf>
    <xf numFmtId="166" fontId="35" fillId="0" borderId="0" xfId="3" applyNumberFormat="1" applyFont="1" applyFill="1" applyAlignment="1">
      <alignment vertical="top"/>
    </xf>
    <xf numFmtId="0" fontId="4" fillId="0" borderId="0" xfId="0" applyFont="1" applyFill="1" applyAlignment="1">
      <alignment horizontal="left" vertical="center"/>
    </xf>
    <xf numFmtId="166" fontId="4" fillId="0" borderId="0" xfId="3" applyNumberFormat="1" applyFont="1" applyFill="1" applyAlignment="1">
      <alignment horizontal="center" vertical="center"/>
    </xf>
    <xf numFmtId="0" fontId="3" fillId="0" borderId="0" xfId="0" applyFont="1" applyFill="1" applyAlignment="1">
      <alignment horizontal="left" vertical="center" wrapText="1" indent="2"/>
    </xf>
    <xf numFmtId="0" fontId="3" fillId="0" borderId="0" xfId="0" applyFont="1" applyFill="1" applyAlignment="1">
      <alignment horizontal="center" vertical="top"/>
    </xf>
    <xf numFmtId="0" fontId="3" fillId="0" borderId="0" xfId="0" applyFont="1" applyFill="1" applyAlignment="1">
      <alignment horizontal="left" vertical="top" wrapText="1"/>
    </xf>
    <xf numFmtId="165" fontId="36" fillId="0" borderId="0" xfId="0" applyNumberFormat="1" applyFont="1" applyFill="1" applyBorder="1" applyAlignment="1">
      <alignment vertical="top"/>
    </xf>
    <xf numFmtId="165" fontId="35" fillId="0" borderId="0" xfId="0" applyNumberFormat="1" applyFont="1" applyFill="1" applyBorder="1" applyAlignment="1">
      <alignment vertical="top"/>
    </xf>
    <xf numFmtId="0" fontId="4" fillId="3" borderId="0" xfId="0" applyFont="1" applyFill="1" applyAlignment="1">
      <alignment horizontal="left" vertical="top" wrapText="1" indent="2"/>
    </xf>
    <xf numFmtId="0" fontId="4" fillId="0" borderId="0" xfId="0" applyFont="1" applyFill="1" applyBorder="1" applyAlignment="1">
      <alignment horizontal="left" vertical="top" indent="1"/>
    </xf>
    <xf numFmtId="166" fontId="4" fillId="0" borderId="0" xfId="3" applyNumberFormat="1" applyFont="1" applyFill="1" applyAlignment="1">
      <alignment horizontal="right"/>
    </xf>
    <xf numFmtId="0" fontId="3" fillId="0" borderId="0" xfId="0" applyFont="1" applyFill="1" applyAlignment="1">
      <alignment horizontal="center"/>
    </xf>
    <xf numFmtId="0" fontId="4" fillId="0" borderId="10" xfId="0" applyFont="1" applyFill="1" applyBorder="1" applyAlignment="1">
      <alignment horizontal="left" vertical="top" wrapText="1"/>
    </xf>
    <xf numFmtId="0" fontId="4" fillId="0" borderId="0" xfId="0" applyFont="1" applyBorder="1" applyAlignment="1">
      <alignment wrapText="1" readingOrder="1"/>
    </xf>
    <xf numFmtId="0" fontId="10" fillId="0" borderId="0" xfId="0" applyFont="1" applyBorder="1" applyAlignment="1">
      <alignment horizontal="left" vertical="top" wrapText="1"/>
    </xf>
    <xf numFmtId="166" fontId="4" fillId="0" borderId="0" xfId="3" applyNumberFormat="1" applyFont="1" applyFill="1" applyBorder="1" applyAlignment="1">
      <alignment horizontal="center"/>
    </xf>
    <xf numFmtId="166" fontId="4" fillId="0" borderId="0" xfId="3" applyNumberFormat="1" applyFont="1" applyFill="1"/>
    <xf numFmtId="166" fontId="3" fillId="0" borderId="0" xfId="3" applyNumberFormat="1" applyFont="1" applyFill="1" applyAlignment="1"/>
    <xf numFmtId="0" fontId="4" fillId="0" borderId="0" xfId="7" applyFont="1" applyFill="1" applyBorder="1" applyAlignment="1">
      <alignment horizontal="center"/>
    </xf>
    <xf numFmtId="166" fontId="13" fillId="0" borderId="0" xfId="3" applyNumberFormat="1" applyFont="1" applyFill="1" applyAlignment="1">
      <alignment horizontal="center"/>
    </xf>
    <xf numFmtId="0" fontId="33" fillId="0" borderId="0" xfId="0" applyFont="1" applyBorder="1" applyAlignment="1">
      <alignment horizontal="left" vertical="top" readingOrder="1"/>
    </xf>
    <xf numFmtId="166" fontId="4" fillId="0" borderId="0" xfId="2" applyNumberFormat="1" applyFont="1" applyFill="1" applyBorder="1" applyAlignment="1"/>
    <xf numFmtId="166" fontId="4" fillId="0" borderId="0" xfId="2" applyNumberFormat="1" applyFont="1" applyFill="1" applyAlignment="1"/>
    <xf numFmtId="165" fontId="4" fillId="0" borderId="0" xfId="5" applyNumberFormat="1" applyFont="1" applyFill="1" applyAlignment="1"/>
    <xf numFmtId="166" fontId="35" fillId="0" borderId="0" xfId="2" applyNumberFormat="1" applyFont="1" applyFill="1" applyBorder="1" applyAlignment="1" applyProtection="1"/>
    <xf numFmtId="0" fontId="4" fillId="0" borderId="0" xfId="7" applyFont="1" applyFill="1" applyAlignment="1"/>
    <xf numFmtId="166" fontId="4" fillId="0" borderId="0" xfId="7" applyNumberFormat="1" applyFont="1" applyFill="1" applyAlignment="1"/>
    <xf numFmtId="165" fontId="35" fillId="0" borderId="0" xfId="5" applyNumberFormat="1" applyFont="1" applyFill="1" applyBorder="1" applyAlignment="1"/>
    <xf numFmtId="166" fontId="4" fillId="0" borderId="0" xfId="5" applyNumberFormat="1" applyFont="1" applyFill="1" applyBorder="1" applyAlignment="1"/>
    <xf numFmtId="165" fontId="35" fillId="0" borderId="0" xfId="4" applyNumberFormat="1" applyFont="1" applyFill="1" applyBorder="1" applyAlignment="1"/>
    <xf numFmtId="165" fontId="35" fillId="0" borderId="0" xfId="4" applyNumberFormat="1" applyFont="1" applyFill="1" applyBorder="1" applyAlignment="1" applyProtection="1"/>
    <xf numFmtId="165" fontId="35" fillId="0" borderId="0" xfId="3" applyNumberFormat="1" applyFont="1" applyFill="1" applyBorder="1" applyAlignment="1"/>
    <xf numFmtId="166" fontId="35" fillId="0" borderId="0" xfId="3" applyNumberFormat="1" applyFont="1" applyFill="1" applyBorder="1" applyAlignment="1"/>
    <xf numFmtId="0" fontId="55" fillId="0" borderId="0" xfId="0" applyFont="1" applyBorder="1" applyAlignment="1">
      <alignment horizontal="left" vertical="top" readingOrder="1"/>
    </xf>
    <xf numFmtId="0" fontId="34" fillId="0" borderId="0" xfId="0" applyFont="1" applyFill="1" applyBorder="1" applyAlignment="1">
      <alignment horizontal="center"/>
    </xf>
    <xf numFmtId="0" fontId="4" fillId="0" borderId="0" xfId="0" applyFont="1" applyAlignment="1">
      <alignment horizontal="center"/>
    </xf>
    <xf numFmtId="0" fontId="35" fillId="0" borderId="0" xfId="0" applyFont="1" applyBorder="1" applyAlignment="1">
      <alignment horizontal="center" wrapText="1"/>
    </xf>
    <xf numFmtId="166" fontId="4" fillId="3" borderId="0" xfId="0" applyNumberFormat="1" applyFont="1" applyFill="1" applyAlignment="1">
      <alignment horizontal="left"/>
    </xf>
    <xf numFmtId="0" fontId="3" fillId="0" borderId="0" xfId="0" applyFont="1" applyAlignment="1">
      <alignment horizontal="center"/>
    </xf>
    <xf numFmtId="0" fontId="4" fillId="0" borderId="0" xfId="0" applyFont="1"/>
    <xf numFmtId="0" fontId="3" fillId="0" borderId="0" xfId="0" applyFont="1" applyBorder="1" applyAlignment="1">
      <alignment horizontal="center"/>
    </xf>
    <xf numFmtId="0" fontId="4" fillId="0" borderId="21" xfId="0" applyFont="1" applyFill="1" applyBorder="1" applyAlignment="1">
      <alignment horizontal="left" vertical="top" wrapText="1"/>
    </xf>
    <xf numFmtId="0" fontId="4" fillId="0" borderId="22" xfId="0" applyFont="1" applyFill="1" applyBorder="1" applyAlignment="1">
      <alignment horizontal="left" vertical="top" wrapText="1"/>
    </xf>
    <xf numFmtId="0" fontId="4" fillId="0" borderId="23" xfId="0" applyFont="1" applyFill="1" applyBorder="1" applyAlignment="1">
      <alignment horizontal="left" vertical="top" wrapText="1"/>
    </xf>
    <xf numFmtId="0" fontId="3" fillId="0" borderId="0" xfId="0" applyFont="1" applyFill="1" applyAlignment="1">
      <alignment horizontal="center"/>
    </xf>
    <xf numFmtId="15" fontId="3" fillId="0" borderId="0" xfId="0" quotePrefix="1" applyNumberFormat="1" applyFont="1" applyFill="1" applyAlignment="1">
      <alignment horizontal="center"/>
    </xf>
    <xf numFmtId="0" fontId="44" fillId="0" borderId="0" xfId="0" applyFont="1" applyAlignment="1">
      <alignment horizontal="right" vertical="center" wrapText="1"/>
    </xf>
    <xf numFmtId="0" fontId="42" fillId="0" borderId="0" xfId="0" applyFont="1" applyAlignment="1">
      <alignment horizontal="center"/>
    </xf>
    <xf numFmtId="0" fontId="43" fillId="0" borderId="0" xfId="0" applyFont="1" applyAlignment="1">
      <alignment horizontal="center" wrapText="1"/>
    </xf>
    <xf numFmtId="0" fontId="34" fillId="0" borderId="0" xfId="0" applyFont="1" applyFill="1" applyBorder="1" applyAlignment="1">
      <alignment horizontal="center" wrapText="1"/>
    </xf>
    <xf numFmtId="0" fontId="3" fillId="0" borderId="0" xfId="0" applyFont="1" applyFill="1" applyAlignment="1">
      <alignment wrapText="1"/>
    </xf>
    <xf numFmtId="0" fontId="48" fillId="4" borderId="0" xfId="9" applyFont="1" applyFill="1" applyBorder="1" applyAlignment="1">
      <alignment horizontal="center" vertical="top" wrapText="1"/>
    </xf>
    <xf numFmtId="0" fontId="17" fillId="0" borderId="0" xfId="0" applyFont="1" applyAlignment="1">
      <alignment horizontal="center" vertical="center" wrapText="1"/>
    </xf>
    <xf numFmtId="0" fontId="4" fillId="0" borderId="0" xfId="0" applyFont="1" applyFill="1" applyAlignment="1">
      <alignment horizontal="left" vertical="top" wrapText="1" indent="1"/>
    </xf>
    <xf numFmtId="168" fontId="3" fillId="0" borderId="0" xfId="0" quotePrefix="1" applyNumberFormat="1" applyFont="1" applyFill="1" applyAlignment="1">
      <alignment horizontal="center"/>
    </xf>
    <xf numFmtId="168" fontId="3" fillId="0" borderId="0" xfId="0" applyNumberFormat="1" applyFont="1" applyFill="1" applyAlignment="1">
      <alignment horizontal="center"/>
    </xf>
    <xf numFmtId="0" fontId="4" fillId="0" borderId="0" xfId="0" applyFont="1" applyFill="1" applyAlignment="1">
      <alignment horizontal="left" vertical="top" wrapText="1"/>
    </xf>
    <xf numFmtId="0" fontId="4" fillId="0" borderId="0" xfId="0" applyFont="1" applyFill="1" applyAlignment="1">
      <alignment horizontal="left" wrapText="1" indent="1"/>
    </xf>
    <xf numFmtId="0" fontId="32" fillId="0" borderId="21" xfId="0" applyFont="1" applyBorder="1" applyAlignment="1">
      <alignment horizontal="left" vertical="center" wrapText="1" readingOrder="1"/>
    </xf>
    <xf numFmtId="0" fontId="32" fillId="0" borderId="22" xfId="0" applyFont="1" applyBorder="1" applyAlignment="1">
      <alignment horizontal="left" vertical="center" wrapText="1" readingOrder="1"/>
    </xf>
    <xf numFmtId="0" fontId="32" fillId="0" borderId="23" xfId="0" applyFont="1" applyBorder="1" applyAlignment="1">
      <alignment horizontal="left" vertical="center" wrapText="1" readingOrder="1"/>
    </xf>
    <xf numFmtId="0" fontId="4" fillId="0" borderId="0" xfId="0" applyFont="1" applyFill="1" applyAlignment="1">
      <alignment vertical="top" wrapText="1"/>
    </xf>
    <xf numFmtId="0" fontId="3" fillId="0" borderId="0" xfId="0" applyFont="1" applyFill="1" applyAlignment="1">
      <alignment vertical="center" wrapText="1"/>
    </xf>
    <xf numFmtId="0" fontId="52" fillId="5" borderId="0" xfId="0" applyFont="1" applyFill="1" applyAlignment="1">
      <alignment horizontal="left"/>
    </xf>
    <xf numFmtId="0" fontId="33" fillId="0" borderId="21" xfId="0" applyFont="1" applyBorder="1" applyAlignment="1">
      <alignment horizontal="left" vertical="center" wrapText="1" readingOrder="1"/>
    </xf>
    <xf numFmtId="0" fontId="33" fillId="0" borderId="22" xfId="0" applyFont="1" applyBorder="1" applyAlignment="1">
      <alignment horizontal="left" vertical="center" wrapText="1" readingOrder="1"/>
    </xf>
    <xf numFmtId="0" fontId="33" fillId="0" borderId="23" xfId="0" applyFont="1" applyBorder="1" applyAlignment="1">
      <alignment horizontal="left" vertical="center" wrapText="1" readingOrder="1"/>
    </xf>
    <xf numFmtId="0" fontId="17" fillId="0" borderId="0" xfId="0" applyFont="1" applyFill="1" applyAlignment="1">
      <alignment horizontal="center"/>
    </xf>
    <xf numFmtId="49" fontId="3" fillId="0" borderId="0" xfId="0" applyNumberFormat="1" applyFont="1" applyFill="1" applyAlignment="1">
      <alignment horizontal="center"/>
    </xf>
    <xf numFmtId="166" fontId="4" fillId="0" borderId="0" xfId="2" applyNumberFormat="1" applyFont="1" applyFill="1" applyBorder="1" applyAlignment="1">
      <alignment horizontal="center" vertical="center" wrapText="1"/>
    </xf>
    <xf numFmtId="0" fontId="4" fillId="0" borderId="0" xfId="0" applyFont="1" applyFill="1" applyAlignment="1">
      <alignment horizontal="left" vertical="center" wrapText="1"/>
    </xf>
    <xf numFmtId="15" fontId="3" fillId="0" borderId="0" xfId="0" applyNumberFormat="1" applyFont="1" applyAlignment="1">
      <alignment horizontal="center"/>
    </xf>
    <xf numFmtId="0" fontId="3" fillId="0" borderId="10" xfId="0" applyFont="1" applyFill="1" applyBorder="1" applyAlignment="1">
      <alignment horizontal="left" vertical="top" wrapText="1"/>
    </xf>
    <xf numFmtId="0" fontId="3" fillId="0" borderId="0" xfId="0" applyFont="1" applyFill="1" applyBorder="1" applyAlignment="1">
      <alignment horizontal="left" vertical="top" wrapText="1"/>
    </xf>
    <xf numFmtId="0" fontId="22" fillId="0" borderId="0" xfId="0" applyFont="1" applyAlignment="1">
      <alignment horizontal="center"/>
    </xf>
    <xf numFmtId="0" fontId="22" fillId="0" borderId="0" xfId="0" applyFont="1" applyAlignment="1">
      <alignment horizontal="center" wrapText="1"/>
    </xf>
    <xf numFmtId="0" fontId="3" fillId="0" borderId="1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4" fillId="0" borderId="20" xfId="0" applyFont="1" applyBorder="1" applyAlignment="1">
      <alignment horizontal="left" wrapText="1"/>
    </xf>
    <xf numFmtId="0" fontId="4" fillId="0" borderId="0" xfId="0" applyFont="1" applyBorder="1" applyAlignment="1">
      <alignment horizontal="left" wrapText="1"/>
    </xf>
    <xf numFmtId="0" fontId="23" fillId="0" borderId="20" xfId="0" applyFont="1" applyBorder="1" applyAlignment="1">
      <alignment horizontal="left" wrapText="1"/>
    </xf>
    <xf numFmtId="0" fontId="23" fillId="0" borderId="0" xfId="0" applyFont="1" applyBorder="1" applyAlignment="1">
      <alignment horizontal="left" wrapText="1"/>
    </xf>
    <xf numFmtId="0" fontId="33" fillId="0" borderId="0" xfId="0" applyFont="1" applyBorder="1" applyAlignment="1">
      <alignment horizontal="left" vertical="top" wrapText="1" readingOrder="1"/>
    </xf>
    <xf numFmtId="166" fontId="4" fillId="0" borderId="0" xfId="3" applyNumberFormat="1" applyFont="1" applyFill="1" applyAlignment="1">
      <alignment horizontal="left" wrapText="1"/>
    </xf>
    <xf numFmtId="49" fontId="4" fillId="0" borderId="12" xfId="3" applyNumberFormat="1" applyFont="1" applyFill="1" applyBorder="1" applyAlignment="1">
      <alignment wrapText="1"/>
    </xf>
    <xf numFmtId="0" fontId="4" fillId="0" borderId="13" xfId="0" applyFont="1" applyFill="1" applyBorder="1" applyAlignment="1">
      <alignment wrapText="1"/>
    </xf>
    <xf numFmtId="0" fontId="4" fillId="0" borderId="14" xfId="0" applyFont="1" applyFill="1" applyBorder="1" applyAlignment="1">
      <alignment wrapText="1"/>
    </xf>
    <xf numFmtId="0" fontId="4" fillId="0" borderId="15" xfId="0" applyFont="1" applyFill="1" applyBorder="1" applyAlignment="1">
      <alignment wrapText="1"/>
    </xf>
    <xf numFmtId="0" fontId="4" fillId="0" borderId="0" xfId="0" applyFont="1" applyFill="1" applyBorder="1" applyAlignment="1">
      <alignment wrapText="1"/>
    </xf>
    <xf numFmtId="0" fontId="4" fillId="0" borderId="16" xfId="0" applyFont="1" applyFill="1" applyBorder="1" applyAlignment="1">
      <alignment wrapText="1"/>
    </xf>
    <xf numFmtId="0" fontId="4" fillId="0" borderId="17" xfId="0" applyFont="1" applyFill="1" applyBorder="1" applyAlignment="1">
      <alignment wrapText="1"/>
    </xf>
    <xf numFmtId="0" fontId="4" fillId="0" borderId="18" xfId="0" applyFont="1" applyFill="1" applyBorder="1" applyAlignment="1">
      <alignment wrapText="1"/>
    </xf>
    <xf numFmtId="0" fontId="4" fillId="0" borderId="19" xfId="0" applyFont="1" applyFill="1" applyBorder="1" applyAlignment="1">
      <alignment wrapText="1"/>
    </xf>
    <xf numFmtId="166" fontId="4" fillId="0" borderId="0" xfId="3" applyNumberFormat="1" applyFont="1" applyFill="1" applyBorder="1" applyAlignment="1">
      <alignment horizontal="left" vertical="top" wrapText="1"/>
    </xf>
    <xf numFmtId="166" fontId="3" fillId="0" borderId="0" xfId="3" applyNumberFormat="1" applyFont="1" applyFill="1" applyAlignment="1">
      <alignment horizontal="center"/>
    </xf>
    <xf numFmtId="166" fontId="3" fillId="0" borderId="0" xfId="3" applyNumberFormat="1" applyFont="1" applyFill="1" applyBorder="1" applyAlignment="1">
      <alignment horizontal="center"/>
    </xf>
    <xf numFmtId="0" fontId="10" fillId="0" borderId="21" xfId="0" applyFont="1" applyBorder="1" applyAlignment="1">
      <alignment horizontal="left" vertical="top" wrapText="1"/>
    </xf>
    <xf numFmtId="0" fontId="10" fillId="0" borderId="22" xfId="0" applyFont="1" applyBorder="1" applyAlignment="1">
      <alignment horizontal="left" vertical="top" wrapText="1"/>
    </xf>
    <xf numFmtId="0" fontId="10" fillId="0" borderId="23" xfId="0" applyFont="1" applyBorder="1" applyAlignment="1">
      <alignment horizontal="left" vertical="top" wrapText="1"/>
    </xf>
    <xf numFmtId="0" fontId="51" fillId="0" borderId="5" xfId="0" applyFont="1" applyBorder="1" applyAlignment="1">
      <alignment horizontal="left" vertical="center" wrapText="1" indent="1"/>
    </xf>
    <xf numFmtId="0" fontId="51" fillId="0" borderId="6" xfId="0" applyFont="1" applyBorder="1" applyAlignment="1">
      <alignment horizontal="left" vertical="center" wrapText="1" indent="1"/>
    </xf>
    <xf numFmtId="0" fontId="51" fillId="0" borderId="7" xfId="0" applyFont="1" applyBorder="1" applyAlignment="1">
      <alignment horizontal="left" vertical="center" wrapText="1" indent="1"/>
    </xf>
    <xf numFmtId="0" fontId="50" fillId="0" borderId="10" xfId="0" applyFont="1" applyBorder="1" applyAlignment="1">
      <alignment horizontal="left" vertical="top" wrapText="1" indent="1"/>
    </xf>
    <xf numFmtId="0" fontId="50" fillId="0" borderId="0" xfId="0" applyFont="1" applyBorder="1" applyAlignment="1">
      <alignment horizontal="left" vertical="top" wrapText="1" indent="1"/>
    </xf>
    <xf numFmtId="0" fontId="50" fillId="0" borderId="11" xfId="0" applyFont="1" applyBorder="1" applyAlignment="1">
      <alignment horizontal="left" vertical="top" wrapText="1" indent="1"/>
    </xf>
    <xf numFmtId="0" fontId="50" fillId="0" borderId="8" xfId="0" applyFont="1" applyBorder="1" applyAlignment="1">
      <alignment horizontal="left" vertical="top" wrapText="1" indent="1"/>
    </xf>
    <xf numFmtId="0" fontId="50" fillId="0" borderId="4" xfId="0" applyFont="1" applyBorder="1" applyAlignment="1">
      <alignment horizontal="left" vertical="top" wrapText="1" indent="1"/>
    </xf>
    <xf numFmtId="0" fontId="50" fillId="0" borderId="9" xfId="0" applyFont="1" applyBorder="1" applyAlignment="1">
      <alignment horizontal="left" vertical="top" wrapText="1" indent="1"/>
    </xf>
    <xf numFmtId="166" fontId="4" fillId="0" borderId="0" xfId="3" applyNumberFormat="1" applyFont="1" applyFill="1"/>
    <xf numFmtId="0" fontId="4" fillId="0" borderId="0" xfId="7" applyFont="1" applyFill="1" applyBorder="1" applyAlignment="1">
      <alignment horizontal="left" vertical="top" wrapText="1"/>
    </xf>
    <xf numFmtId="166" fontId="4" fillId="0" borderId="0" xfId="2" applyNumberFormat="1" applyFont="1" applyFill="1" applyBorder="1" applyAlignment="1">
      <alignment horizontal="left" vertical="top" wrapText="1"/>
    </xf>
    <xf numFmtId="37" fontId="19" fillId="0" borderId="1" xfId="0" quotePrefix="1" applyNumberFormat="1" applyFont="1" applyFill="1" applyBorder="1" applyAlignment="1">
      <alignment horizontal="center"/>
    </xf>
    <xf numFmtId="37" fontId="19" fillId="0" borderId="1" xfId="0" applyNumberFormat="1" applyFont="1" applyFill="1" applyBorder="1" applyAlignment="1">
      <alignment horizontal="center"/>
    </xf>
    <xf numFmtId="37" fontId="20" fillId="0" borderId="0" xfId="0" applyNumberFormat="1" applyFont="1" applyFill="1" applyAlignment="1">
      <alignment horizontal="center" wrapText="1"/>
    </xf>
    <xf numFmtId="0" fontId="4" fillId="0" borderId="0" xfId="0" applyFont="1" applyFill="1" applyAlignment="1">
      <alignment wrapText="1"/>
    </xf>
  </cellXfs>
  <cellStyles count="12">
    <cellStyle name="Comma" xfId="11" builtinId="3"/>
    <cellStyle name="Comma [0] 2" xfId="1" xr:uid="{00000000-0005-0000-0000-000000000000}"/>
    <cellStyle name="Comma 2" xfId="2" xr:uid="{00000000-0005-0000-0000-000001000000}"/>
    <cellStyle name="Comma 3" xfId="3" xr:uid="{00000000-0005-0000-0000-000002000000}"/>
    <cellStyle name="Currency" xfId="4" builtinId="4"/>
    <cellStyle name="Currency 2" xfId="5" xr:uid="{00000000-0005-0000-0000-000004000000}"/>
    <cellStyle name="Hyperlink" xfId="6" builtinId="8"/>
    <cellStyle name="Normal" xfId="0" builtinId="0"/>
    <cellStyle name="Normal 5" xfId="9" xr:uid="{F3B17BA6-9D86-42A9-84CE-CECC192DBDE4}"/>
    <cellStyle name="Normal_Schedule 6" xfId="7" xr:uid="{00000000-0005-0000-0000-000007000000}"/>
    <cellStyle name="Percent" xfId="8" builtinId="5"/>
    <cellStyle name="Percent 4" xfId="10" xr:uid="{F599866F-E281-45DA-A2A7-EBF2044A2EE6}"/>
  </cellStyles>
  <dxfs count="24">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99"/>
        </patternFill>
      </fill>
    </dxf>
    <dxf>
      <fill>
        <patternFill>
          <bgColor rgb="FFFFFF99"/>
        </patternFill>
      </fill>
    </dxf>
    <dxf>
      <fill>
        <patternFill>
          <bgColor rgb="FFFFFF99"/>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99"/>
        </patternFill>
      </fill>
    </dxf>
    <dxf>
      <fill>
        <patternFill>
          <bgColor rgb="FFFFFF99"/>
        </patternFill>
      </fill>
    </dxf>
  </dxfs>
  <tableStyles count="0" defaultTableStyle="TableStyleMedium2" defaultPivotStyle="PivotStyleLight16"/>
  <colors>
    <mruColors>
      <color rgb="FFFFFF99"/>
      <color rgb="FFFFFFCC"/>
      <color rgb="FF66FFFF"/>
      <color rgb="FFFF99FF"/>
      <color rgb="FFFFCCFF"/>
      <color rgb="FFCCEC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38"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atin typeface="Times New Roman" panose="02020603050405020304" pitchFamily="18" charset="0"/>
                <a:cs typeface="Times New Roman" panose="02020603050405020304" pitchFamily="18" charset="0"/>
              </a:rPr>
              <a:t>Expenses - 2021 - Board</a:t>
            </a:r>
            <a:r>
              <a:rPr lang="en-US" baseline="0">
                <a:latin typeface="Times New Roman" panose="02020603050405020304" pitchFamily="18" charset="0"/>
                <a:cs typeface="Times New Roman" panose="02020603050405020304" pitchFamily="18" charset="0"/>
              </a:rPr>
              <a:t> of Education</a:t>
            </a:r>
            <a:endParaRPr lang="en-US">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2-78C7-43D4-AA18-A758793E292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8C7-43D4-AA18-A758793E292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4-78C7-43D4-AA18-A758793E292B}"/>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8C7-43D4-AA18-A758793E292B}"/>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8C7-43D4-AA18-A758793E292B}"/>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8C7-43D4-AA18-A758793E292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showLegendKey val="0"/>
            <c:showVal val="0"/>
            <c:showCatName val="0"/>
            <c:showSerName val="0"/>
            <c:showPercent val="0"/>
            <c:showBubbleSize val="0"/>
            <c:extLst>
              <c:ext xmlns:c15="http://schemas.microsoft.com/office/drawing/2012/chart" uri="{CE6537A1-D6FC-4f65-9D91-7224C49458BB}"/>
            </c:extLst>
          </c:dLbls>
          <c:cat>
            <c:strRef>
              <c:f>'MD&amp;A Tables'!$P$64:$P$66</c:f>
              <c:strCache>
                <c:ptCount val="3"/>
                <c:pt idx="0">
                  <c:v>Instruction</c:v>
                </c:pt>
                <c:pt idx="1">
                  <c:v>Support </c:v>
                </c:pt>
                <c:pt idx="2">
                  <c:v>All other expenses</c:v>
                </c:pt>
              </c:strCache>
            </c:strRef>
          </c:cat>
          <c:val>
            <c:numRef>
              <c:f>'MD&amp;A Tables'!$Q$64:$Q$66</c:f>
              <c:numCache>
                <c:formatCode>"$"#,##0_);\("$"#,##0\)</c:formatCode>
                <c:ptCount val="3"/>
                <c:pt idx="0">
                  <c:v>127484035</c:v>
                </c:pt>
                <c:pt idx="1">
                  <c:v>24682937</c:v>
                </c:pt>
                <c:pt idx="2">
                  <c:v>2438813</c:v>
                </c:pt>
              </c:numCache>
            </c:numRef>
          </c:val>
          <c:extLst>
            <c:ext xmlns:c16="http://schemas.microsoft.com/office/drawing/2014/chart" uri="{C3380CC4-5D6E-409C-BE32-E72D297353CC}">
              <c16:uniqueId val="{00000000-78C7-43D4-AA18-A758793E292B}"/>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atin typeface="Times New Roman" panose="02020603050405020304" pitchFamily="18" charset="0"/>
                <a:cs typeface="Times New Roman" panose="02020603050405020304" pitchFamily="18" charset="0"/>
              </a:rPr>
              <a:t>Revenues</a:t>
            </a:r>
            <a:r>
              <a:rPr lang="en-US" baseline="0">
                <a:latin typeface="Times New Roman" panose="02020603050405020304" pitchFamily="18" charset="0"/>
                <a:cs typeface="Times New Roman" panose="02020603050405020304" pitchFamily="18" charset="0"/>
              </a:rPr>
              <a:t> - 2021 - Board of Education</a:t>
            </a:r>
            <a:endParaRPr lang="en-US">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spPr>
            <a:solidFill>
              <a:schemeClr val="accent4">
                <a:lumMod val="40000"/>
                <a:lumOff val="60000"/>
              </a:schemeClr>
            </a:solidFill>
          </c:spPr>
          <c:dPt>
            <c:idx val="0"/>
            <c:bubble3D val="0"/>
            <c:spPr>
              <a:solidFill>
                <a:schemeClr val="accent6"/>
              </a:solidFill>
              <a:ln w="19050">
                <a:solidFill>
                  <a:schemeClr val="lt1"/>
                </a:solidFill>
              </a:ln>
              <a:effectLst/>
            </c:spPr>
            <c:extLst>
              <c:ext xmlns:c16="http://schemas.microsoft.com/office/drawing/2014/chart" uri="{C3380CC4-5D6E-409C-BE32-E72D297353CC}">
                <c16:uniqueId val="{00000003-9CE8-4CE0-A9AD-F046F2B3F41E}"/>
              </c:ext>
            </c:extLst>
          </c:dPt>
          <c:dPt>
            <c:idx val="1"/>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02-9CE8-4CE0-A9AD-F046F2B3F41E}"/>
              </c:ext>
            </c:extLst>
          </c:dPt>
          <c:dPt>
            <c:idx val="2"/>
            <c:bubble3D val="0"/>
            <c:spPr>
              <a:solidFill>
                <a:srgbClr val="7030A0"/>
              </a:solidFill>
              <a:ln w="19050">
                <a:solidFill>
                  <a:schemeClr val="lt1"/>
                </a:solidFill>
              </a:ln>
              <a:effectLst/>
            </c:spPr>
            <c:extLst>
              <c:ext xmlns:c16="http://schemas.microsoft.com/office/drawing/2014/chart" uri="{C3380CC4-5D6E-409C-BE32-E72D297353CC}">
                <c16:uniqueId val="{00000004-9CE8-4CE0-A9AD-F046F2B3F41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'MD&amp;A Tables'!$P$45:$P$47</c:f>
              <c:strCache>
                <c:ptCount val="3"/>
                <c:pt idx="0">
                  <c:v>Operating &amp; capital grants</c:v>
                </c:pt>
                <c:pt idx="1">
                  <c:v>State, county, Federal</c:v>
                </c:pt>
                <c:pt idx="2">
                  <c:v>All other revenues</c:v>
                </c:pt>
              </c:strCache>
            </c:strRef>
          </c:cat>
          <c:val>
            <c:numRef>
              <c:f>'MD&amp;A Tables'!$Q$45:$Q$47</c:f>
              <c:numCache>
                <c:formatCode>"$"#,##0</c:formatCode>
                <c:ptCount val="3"/>
                <c:pt idx="0">
                  <c:v>120913136</c:v>
                </c:pt>
                <c:pt idx="1">
                  <c:v>41117116</c:v>
                </c:pt>
                <c:pt idx="2">
                  <c:v>910110</c:v>
                </c:pt>
              </c:numCache>
            </c:numRef>
          </c:val>
          <c:extLst>
            <c:ext xmlns:c16="http://schemas.microsoft.com/office/drawing/2014/chart" uri="{C3380CC4-5D6E-409C-BE32-E72D297353CC}">
              <c16:uniqueId val="{00000000-9CE8-4CE0-A9AD-F046F2B3F41E}"/>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5.4064304461942256E-2"/>
          <c:y val="0.88951224846894117"/>
          <c:w val="0.89187139107611546"/>
          <c:h val="7.345071449402157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atin typeface="Times New Roman" panose="02020603050405020304" pitchFamily="18" charset="0"/>
                <a:cs typeface="Times New Roman" panose="02020603050405020304" pitchFamily="18" charset="0"/>
              </a:rPr>
              <a:t>Assets</a:t>
            </a:r>
            <a:r>
              <a:rPr lang="en-US" baseline="0">
                <a:latin typeface="Times New Roman" panose="02020603050405020304" pitchFamily="18" charset="0"/>
                <a:cs typeface="Times New Roman" panose="02020603050405020304" pitchFamily="18" charset="0"/>
              </a:rPr>
              <a:t> - Year End </a:t>
            </a:r>
            <a:endParaRPr lang="en-US">
              <a:latin typeface="Times New Roman" panose="02020603050405020304" pitchFamily="18" charset="0"/>
              <a:cs typeface="Times New Roman" panose="02020603050405020304" pitchFamily="18" charset="0"/>
            </a:endParaRPr>
          </a:p>
        </c:rich>
      </c:tx>
      <c:layout>
        <c:manualLayout>
          <c:xMode val="edge"/>
          <c:yMode val="edge"/>
          <c:x val="0.35028455818022747"/>
          <c:y val="5.55555555555555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6"/>
              </a:solidFill>
              <a:ln w="19050">
                <a:solidFill>
                  <a:schemeClr val="lt1"/>
                </a:solidFill>
              </a:ln>
              <a:effectLst/>
            </c:spPr>
            <c:extLst>
              <c:ext xmlns:c16="http://schemas.microsoft.com/office/drawing/2014/chart" uri="{C3380CC4-5D6E-409C-BE32-E72D297353CC}">
                <c16:uniqueId val="{00000001-7475-42C4-8ABE-1105A689D399}"/>
              </c:ext>
            </c:extLst>
          </c:dPt>
          <c:dPt>
            <c:idx val="1"/>
            <c:bubble3D val="0"/>
            <c:spPr>
              <a:solidFill>
                <a:schemeClr val="accent5"/>
              </a:solidFill>
              <a:ln w="19050">
                <a:solidFill>
                  <a:schemeClr val="lt1"/>
                </a:solidFill>
              </a:ln>
              <a:effectLst/>
            </c:spPr>
            <c:extLst>
              <c:ext xmlns:c16="http://schemas.microsoft.com/office/drawing/2014/chart" uri="{C3380CC4-5D6E-409C-BE32-E72D297353CC}">
                <c16:uniqueId val="{00000003-4E99-45C6-8204-4314D7BADC04}"/>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5-7475-42C4-8ABE-1105A689D399}"/>
              </c:ext>
            </c:extLst>
          </c:dPt>
          <c:dLbls>
            <c:dLbl>
              <c:idx val="1"/>
              <c:layout>
                <c:manualLayout>
                  <c:x val="6.6462160979877515E-3"/>
                  <c:y val="1.84860746573345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E99-45C6-8204-4314D7BADC0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'MD&amp;A Tables'!$P$7:$P$9</c:f>
              <c:strCache>
                <c:ptCount val="3"/>
                <c:pt idx="0">
                  <c:v>Cash and cash equivalents</c:v>
                </c:pt>
                <c:pt idx="1">
                  <c:v>Other current assets</c:v>
                </c:pt>
                <c:pt idx="2">
                  <c:v>Capital assets</c:v>
                </c:pt>
              </c:strCache>
            </c:strRef>
          </c:cat>
          <c:val>
            <c:numRef>
              <c:f>'MD&amp;A Tables'!$Q$7:$Q$9</c:f>
              <c:numCache>
                <c:formatCode>"$"#,##0</c:formatCode>
                <c:ptCount val="3"/>
                <c:pt idx="0">
                  <c:v>618895</c:v>
                </c:pt>
                <c:pt idx="1">
                  <c:v>784750</c:v>
                </c:pt>
                <c:pt idx="2">
                  <c:v>15311255</c:v>
                </c:pt>
              </c:numCache>
            </c:numRef>
          </c:val>
          <c:extLst>
            <c:ext xmlns:c16="http://schemas.microsoft.com/office/drawing/2014/chart" uri="{C3380CC4-5D6E-409C-BE32-E72D297353CC}">
              <c16:uniqueId val="{00000002-4E99-45C6-8204-4314D7BADC04}"/>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Enrollment</c:v>
          </c:tx>
          <c:spPr>
            <a:ln w="28575" cap="rnd">
              <a:solidFill>
                <a:schemeClr val="accent6">
                  <a:lumMod val="75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'MD&amp;A Tables'!$B$112:$F$112</c:f>
              <c:numCache>
                <c:formatCode>yyyy</c:formatCode>
                <c:ptCount val="5"/>
                <c:pt idx="0">
                  <c:v>42916</c:v>
                </c:pt>
                <c:pt idx="1">
                  <c:v>43281</c:v>
                </c:pt>
                <c:pt idx="2">
                  <c:v>43646</c:v>
                </c:pt>
                <c:pt idx="3">
                  <c:v>44012</c:v>
                </c:pt>
                <c:pt idx="4">
                  <c:v>44377</c:v>
                </c:pt>
              </c:numCache>
            </c:numRef>
          </c:cat>
          <c:val>
            <c:numRef>
              <c:f>'MD&amp;A Tables'!$B$113:$F$113</c:f>
              <c:numCache>
                <c:formatCode>_(* #,##0_);_(* \(#,##0\);_(* "-"??_);_(@_)</c:formatCode>
                <c:ptCount val="5"/>
                <c:pt idx="0">
                  <c:v>3122</c:v>
                </c:pt>
                <c:pt idx="1">
                  <c:v>3255</c:v>
                </c:pt>
                <c:pt idx="2">
                  <c:v>3333</c:v>
                </c:pt>
                <c:pt idx="3">
                  <c:v>3264</c:v>
                </c:pt>
                <c:pt idx="4">
                  <c:v>3400</c:v>
                </c:pt>
              </c:numCache>
            </c:numRef>
          </c:val>
          <c:smooth val="0"/>
          <c:extLst>
            <c:ext xmlns:c16="http://schemas.microsoft.com/office/drawing/2014/chart" uri="{C3380CC4-5D6E-409C-BE32-E72D297353CC}">
              <c16:uniqueId val="{00000000-2D46-4D3F-8676-555B7D3A6693}"/>
            </c:ext>
          </c:extLst>
        </c:ser>
        <c:dLbls>
          <c:dLblPos val="t"/>
          <c:showLegendKey val="0"/>
          <c:showVal val="1"/>
          <c:showCatName val="0"/>
          <c:showSerName val="0"/>
          <c:showPercent val="0"/>
          <c:showBubbleSize val="0"/>
        </c:dLbls>
        <c:smooth val="0"/>
        <c:axId val="720666463"/>
        <c:axId val="727864431"/>
      </c:lineChart>
      <c:dateAx>
        <c:axId val="720666463"/>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Fiscal</a:t>
                </a:r>
                <a:r>
                  <a:rPr lang="en-US" baseline="0"/>
                  <a:t> year ended June 30</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7864431"/>
        <c:crosses val="autoZero"/>
        <c:auto val="1"/>
        <c:lblOffset val="100"/>
        <c:baseTimeUnit val="years"/>
      </c:dateAx>
      <c:valAx>
        <c:axId val="727864431"/>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a:t>
                </a:r>
                <a:r>
                  <a:rPr lang="en-US" baseline="0"/>
                  <a:t> of students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066646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17</xdr:col>
      <xdr:colOff>304800</xdr:colOff>
      <xdr:row>62</xdr:row>
      <xdr:rowOff>52387</xdr:rowOff>
    </xdr:from>
    <xdr:to>
      <xdr:col>24</xdr:col>
      <xdr:colOff>304800</xdr:colOff>
      <xdr:row>74</xdr:row>
      <xdr:rowOff>80962</xdr:rowOff>
    </xdr:to>
    <xdr:graphicFrame macro="">
      <xdr:nvGraphicFramePr>
        <xdr:cNvPr id="7" name="Chart 6">
          <a:extLst>
            <a:ext uri="{FF2B5EF4-FFF2-40B4-BE49-F238E27FC236}">
              <a16:creationId xmlns:a16="http://schemas.microsoft.com/office/drawing/2014/main" id="{83A07F10-B948-4EA7-B9C6-8E9EFA9C394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223837</xdr:colOff>
      <xdr:row>44</xdr:row>
      <xdr:rowOff>14287</xdr:rowOff>
    </xdr:from>
    <xdr:to>
      <xdr:col>24</xdr:col>
      <xdr:colOff>223837</xdr:colOff>
      <xdr:row>60</xdr:row>
      <xdr:rowOff>23812</xdr:rowOff>
    </xdr:to>
    <xdr:graphicFrame macro="">
      <xdr:nvGraphicFramePr>
        <xdr:cNvPr id="9" name="Chart 8">
          <a:extLst>
            <a:ext uri="{FF2B5EF4-FFF2-40B4-BE49-F238E27FC236}">
              <a16:creationId xmlns:a16="http://schemas.microsoft.com/office/drawing/2014/main" id="{9E3B1000-3B76-4A32-84F2-3B981DBAE5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238125</xdr:colOff>
      <xdr:row>6</xdr:row>
      <xdr:rowOff>14287</xdr:rowOff>
    </xdr:from>
    <xdr:to>
      <xdr:col>24</xdr:col>
      <xdr:colOff>238125</xdr:colOff>
      <xdr:row>20</xdr:row>
      <xdr:rowOff>119062</xdr:rowOff>
    </xdr:to>
    <xdr:graphicFrame macro="">
      <xdr:nvGraphicFramePr>
        <xdr:cNvPr id="10" name="Chart 9">
          <a:extLst>
            <a:ext uri="{FF2B5EF4-FFF2-40B4-BE49-F238E27FC236}">
              <a16:creationId xmlns:a16="http://schemas.microsoft.com/office/drawing/2014/main" id="{DA3F7F92-E683-4F1D-90D7-5B2042D58AF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504825</xdr:colOff>
      <xdr:row>98</xdr:row>
      <xdr:rowOff>157162</xdr:rowOff>
    </xdr:from>
    <xdr:to>
      <xdr:col>23</xdr:col>
      <xdr:colOff>200025</xdr:colOff>
      <xdr:row>115</xdr:row>
      <xdr:rowOff>33337</xdr:rowOff>
    </xdr:to>
    <xdr:graphicFrame macro="">
      <xdr:nvGraphicFramePr>
        <xdr:cNvPr id="2" name="Chart 1">
          <a:extLst>
            <a:ext uri="{FF2B5EF4-FFF2-40B4-BE49-F238E27FC236}">
              <a16:creationId xmlns:a16="http://schemas.microsoft.com/office/drawing/2014/main" id="{31CC9484-8B07-49F5-93D3-8319F0C86D9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130</xdr:row>
      <xdr:rowOff>123825</xdr:rowOff>
    </xdr:from>
    <xdr:to>
      <xdr:col>0</xdr:col>
      <xdr:colOff>123825</xdr:colOff>
      <xdr:row>130</xdr:row>
      <xdr:rowOff>133350</xdr:rowOff>
    </xdr:to>
    <xdr:sp macro="" textlink="">
      <xdr:nvSpPr>
        <xdr:cNvPr id="10303" name="Text 5">
          <a:extLst>
            <a:ext uri="{FF2B5EF4-FFF2-40B4-BE49-F238E27FC236}">
              <a16:creationId xmlns:a16="http://schemas.microsoft.com/office/drawing/2014/main" id="{0A7F80CC-9358-42FA-A4D1-CE08D9617ADA}"/>
            </a:ext>
          </a:extLst>
        </xdr:cNvPr>
        <xdr:cNvSpPr txBox="1">
          <a:spLocks noChangeArrowheads="1"/>
        </xdr:cNvSpPr>
      </xdr:nvSpPr>
      <xdr:spPr bwMode="auto">
        <a:xfrm>
          <a:off x="123825" y="21116925"/>
          <a:ext cx="0" cy="9525"/>
        </a:xfrm>
        <a:prstGeom prst="rect">
          <a:avLst/>
        </a:prstGeom>
        <a:solidFill>
          <a:srgbClr val="FFFFFF"/>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nctreasurer.com/SHARE/Audit%20Manual/2002%20Audit%20Manual/BOE%20(35D)/School%20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nctreasurer.com/SHARE/Audit%20Manual/2001%20Audit%20Manual/BOE%20(35D)/School%20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hibit 1 part 1"/>
      <sheetName val="Exhibit 1 part 2"/>
      <sheetName val="Exhibit 2"/>
      <sheetName val="Exhibit 3"/>
      <sheetName val="Exhibit 4"/>
      <sheetName val="Exhibit 5 part 1"/>
      <sheetName val="Module1"/>
      <sheetName val="Exhibit 5 part 2"/>
      <sheetName val="Exh A-1"/>
      <sheetName val="Exh B-1"/>
      <sheetName val="Exh B-2"/>
      <sheetName val="Exh B-3"/>
      <sheetName val="Exh B-4"/>
      <sheetName val="Exh C-1"/>
      <sheetName val="Exh D-1"/>
      <sheetName val="Exh D-2"/>
      <sheetName val="Exh D-3 part 1"/>
      <sheetName val="Exh D-3 part 2"/>
      <sheetName val="Exh D-4"/>
      <sheetName val="Exh D-5"/>
      <sheetName val="Exh E-1"/>
      <sheetName val="Exh E-2"/>
    </sheetNames>
    <sheetDataSet>
      <sheetData sheetId="0"/>
      <sheetData sheetId="1"/>
      <sheetData sheetId="2"/>
      <sheetData sheetId="3"/>
      <sheetData sheetId="4"/>
      <sheetData sheetId="5"/>
      <sheetData sheetId="6" refreshError="1"/>
      <sheetData sheetId="7"/>
      <sheetData sheetId="8">
        <row r="12">
          <cell r="A12" t="str">
            <v>Revenues:</v>
          </cell>
        </row>
        <row r="13">
          <cell r="B13" t="str">
            <v>State of North Carolina:</v>
          </cell>
        </row>
        <row r="14">
          <cell r="C14" t="str">
            <v>Textbooks</v>
          </cell>
          <cell r="F14">
            <v>34000</v>
          </cell>
          <cell r="H14">
            <v>35000</v>
          </cell>
          <cell r="J14">
            <v>1000</v>
          </cell>
          <cell r="M14">
            <v>33250</v>
          </cell>
        </row>
        <row r="15">
          <cell r="C15" t="str">
            <v>Other</v>
          </cell>
          <cell r="F15">
            <v>666400</v>
          </cell>
          <cell r="H15">
            <v>667640</v>
          </cell>
          <cell r="J15">
            <v>1240</v>
          </cell>
          <cell r="M15">
            <v>641714</v>
          </cell>
        </row>
        <row r="16">
          <cell r="D16" t="str">
            <v>Total</v>
          </cell>
          <cell r="F16">
            <v>700400</v>
          </cell>
          <cell r="H16">
            <v>702640</v>
          </cell>
          <cell r="J16">
            <v>2240</v>
          </cell>
          <cell r="M16">
            <v>674964</v>
          </cell>
        </row>
        <row r="18">
          <cell r="B18" t="str">
            <v>Carolina County:</v>
          </cell>
        </row>
        <row r="19">
          <cell r="C19" t="str">
            <v>Appropriation from general revenues</v>
          </cell>
          <cell r="F19">
            <v>1959200</v>
          </cell>
          <cell r="H19">
            <v>1980000</v>
          </cell>
          <cell r="J19">
            <v>20800</v>
          </cell>
          <cell r="M19">
            <v>1881000</v>
          </cell>
        </row>
        <row r="20">
          <cell r="C20" t="str">
            <v>Timber receipts</v>
          </cell>
          <cell r="F20">
            <v>20000</v>
          </cell>
          <cell r="H20">
            <v>20000</v>
          </cell>
          <cell r="J20">
            <v>0</v>
          </cell>
          <cell r="M20">
            <v>19000</v>
          </cell>
        </row>
        <row r="21">
          <cell r="D21" t="str">
            <v xml:space="preserve">Total </v>
          </cell>
          <cell r="F21">
            <v>1979200</v>
          </cell>
          <cell r="H21">
            <v>2000000</v>
          </cell>
          <cell r="J21">
            <v>20800</v>
          </cell>
          <cell r="M21">
            <v>1900000</v>
          </cell>
        </row>
        <row r="23">
          <cell r="B23" t="str">
            <v>Other :</v>
          </cell>
        </row>
        <row r="24">
          <cell r="C24" t="str">
            <v xml:space="preserve"> ABC  revenues</v>
          </cell>
          <cell r="F24">
            <v>10000</v>
          </cell>
          <cell r="H24">
            <v>9900</v>
          </cell>
          <cell r="J24">
            <v>-100</v>
          </cell>
          <cell r="M24">
            <v>8910</v>
          </cell>
        </row>
        <row r="25">
          <cell r="C25" t="str">
            <v>Supplemental school taxes</v>
          </cell>
          <cell r="F25">
            <v>10000</v>
          </cell>
          <cell r="H25">
            <v>12000</v>
          </cell>
          <cell r="J25">
            <v>2000</v>
          </cell>
          <cell r="M25">
            <v>10800</v>
          </cell>
        </row>
        <row r="26">
          <cell r="C26" t="str">
            <v>Sales taxes</v>
          </cell>
          <cell r="F26">
            <v>2170</v>
          </cell>
          <cell r="H26">
            <v>2700</v>
          </cell>
          <cell r="J26">
            <v>530</v>
          </cell>
          <cell r="M26">
            <v>2430</v>
          </cell>
        </row>
        <row r="27">
          <cell r="C27" t="str">
            <v>Sales tax reimbursements - food stamps and food</v>
          </cell>
          <cell r="F27">
            <v>330</v>
          </cell>
          <cell r="H27">
            <v>300</v>
          </cell>
          <cell r="J27">
            <v>-30</v>
          </cell>
          <cell r="M27">
            <v>270</v>
          </cell>
        </row>
        <row r="28">
          <cell r="C28" t="str">
            <v>Inventory tax reimbursements</v>
          </cell>
          <cell r="F28">
            <v>2700</v>
          </cell>
          <cell r="H28">
            <v>3600</v>
          </cell>
          <cell r="J28">
            <v>900</v>
          </cell>
          <cell r="M28">
            <v>3240</v>
          </cell>
        </row>
        <row r="29">
          <cell r="C29" t="str">
            <v>Tuition and fees</v>
          </cell>
          <cell r="F29">
            <v>4800</v>
          </cell>
          <cell r="H29">
            <v>5000</v>
          </cell>
          <cell r="J29">
            <v>200</v>
          </cell>
          <cell r="M29">
            <v>4500</v>
          </cell>
        </row>
        <row r="30">
          <cell r="C30" t="str">
            <v>Fines and forfeitures</v>
          </cell>
          <cell r="F30">
            <v>3400</v>
          </cell>
          <cell r="H30">
            <v>3438</v>
          </cell>
          <cell r="J30">
            <v>38</v>
          </cell>
          <cell r="M30">
            <v>3094.2</v>
          </cell>
        </row>
        <row r="31">
          <cell r="C31" t="str">
            <v>Rental of school property</v>
          </cell>
          <cell r="F31">
            <v>3000</v>
          </cell>
          <cell r="H31">
            <v>4000</v>
          </cell>
          <cell r="J31">
            <v>1000</v>
          </cell>
          <cell r="M31">
            <v>3600</v>
          </cell>
        </row>
        <row r="32">
          <cell r="C32" t="str">
            <v>Interest earned on investments</v>
          </cell>
          <cell r="F32">
            <v>3600</v>
          </cell>
          <cell r="H32">
            <v>1900</v>
          </cell>
          <cell r="J32">
            <v>-1700</v>
          </cell>
          <cell r="M32">
            <v>1805</v>
          </cell>
        </row>
        <row r="33">
          <cell r="D33" t="str">
            <v>Total</v>
          </cell>
          <cell r="F33">
            <v>40000</v>
          </cell>
          <cell r="H33">
            <v>42838</v>
          </cell>
          <cell r="J33">
            <v>2838</v>
          </cell>
          <cell r="M33">
            <v>38649.199999999997</v>
          </cell>
        </row>
        <row r="35">
          <cell r="D35" t="str">
            <v xml:space="preserve">   Total revenues</v>
          </cell>
          <cell r="F35">
            <v>2719600</v>
          </cell>
          <cell r="H35">
            <v>2745478</v>
          </cell>
          <cell r="J35">
            <v>25878</v>
          </cell>
          <cell r="M35">
            <v>2613613.2000000002</v>
          </cell>
        </row>
        <row r="37">
          <cell r="A37" t="str">
            <v>Expenditures:</v>
          </cell>
        </row>
        <row r="38">
          <cell r="B38" t="str">
            <v>Instructional programs:</v>
          </cell>
        </row>
        <row r="39">
          <cell r="C39" t="str">
            <v>Regular:</v>
          </cell>
        </row>
        <row r="40">
          <cell r="D40" t="str">
            <v>Regular</v>
          </cell>
          <cell r="H40">
            <v>100900</v>
          </cell>
          <cell r="M40">
            <v>95855</v>
          </cell>
        </row>
        <row r="41">
          <cell r="D41" t="str">
            <v>Summer  band</v>
          </cell>
          <cell r="H41">
            <v>200000</v>
          </cell>
          <cell r="M41">
            <v>190000</v>
          </cell>
        </row>
        <row r="42">
          <cell r="D42" t="str">
            <v>Instructional aides</v>
          </cell>
          <cell r="H42">
            <v>7500</v>
          </cell>
          <cell r="M42">
            <v>7125</v>
          </cell>
        </row>
        <row r="43">
          <cell r="E43" t="str">
            <v>Total</v>
          </cell>
          <cell r="F43">
            <v>308900</v>
          </cell>
          <cell r="H43">
            <v>308400</v>
          </cell>
          <cell r="J43">
            <v>500</v>
          </cell>
          <cell r="M43">
            <v>292980</v>
          </cell>
        </row>
        <row r="45">
          <cell r="C45" t="str">
            <v>Special:</v>
          </cell>
        </row>
        <row r="46">
          <cell r="D46" t="str">
            <v>Exceptional children</v>
          </cell>
          <cell r="H46">
            <v>80000</v>
          </cell>
          <cell r="M46">
            <v>76000</v>
          </cell>
        </row>
        <row r="47">
          <cell r="D47" t="str">
            <v>Gifted and talented</v>
          </cell>
          <cell r="H47">
            <v>16000</v>
          </cell>
          <cell r="M47">
            <v>15200</v>
          </cell>
        </row>
        <row r="48">
          <cell r="D48" t="str">
            <v>Special Olympics</v>
          </cell>
          <cell r="H48">
            <v>2900</v>
          </cell>
          <cell r="M48">
            <v>2755</v>
          </cell>
        </row>
        <row r="49">
          <cell r="E49" t="str">
            <v>Total</v>
          </cell>
          <cell r="F49">
            <v>99000</v>
          </cell>
          <cell r="H49">
            <v>98900</v>
          </cell>
          <cell r="J49">
            <v>100</v>
          </cell>
          <cell r="M49">
            <v>93955</v>
          </cell>
        </row>
        <row r="51">
          <cell r="C51" t="str">
            <v>Math/Science:</v>
          </cell>
        </row>
        <row r="52">
          <cell r="D52" t="str">
            <v>Innovative</v>
          </cell>
          <cell r="H52">
            <v>900000</v>
          </cell>
          <cell r="M52">
            <v>855000</v>
          </cell>
        </row>
        <row r="53">
          <cell r="D53" t="str">
            <v>Math</v>
          </cell>
          <cell r="H53">
            <v>300000</v>
          </cell>
          <cell r="M53">
            <v>285000</v>
          </cell>
        </row>
        <row r="54">
          <cell r="D54" t="str">
            <v>Science</v>
          </cell>
          <cell r="H54">
            <v>40000</v>
          </cell>
          <cell r="M54">
            <v>38000</v>
          </cell>
        </row>
        <row r="55">
          <cell r="E55" t="str">
            <v>Total</v>
          </cell>
          <cell r="F55">
            <v>1240000</v>
          </cell>
          <cell r="H55">
            <v>1240000</v>
          </cell>
          <cell r="J55">
            <v>0</v>
          </cell>
          <cell r="M55">
            <v>1178000</v>
          </cell>
        </row>
        <row r="56">
          <cell r="C56" t="str">
            <v>Other:</v>
          </cell>
        </row>
        <row r="57">
          <cell r="D57" t="str">
            <v>Employee benefits</v>
          </cell>
          <cell r="F57">
            <v>700000</v>
          </cell>
          <cell r="H57">
            <v>700000</v>
          </cell>
          <cell r="J57">
            <v>0</v>
          </cell>
          <cell r="M57">
            <v>665000</v>
          </cell>
        </row>
        <row r="58">
          <cell r="E58" t="str">
            <v>Total instructional programs</v>
          </cell>
          <cell r="F58">
            <v>2347900</v>
          </cell>
          <cell r="H58">
            <v>2347300</v>
          </cell>
          <cell r="J58">
            <v>600</v>
          </cell>
          <cell r="M58">
            <v>2229935</v>
          </cell>
        </row>
        <row r="60">
          <cell r="B60" t="str">
            <v>Supporting services:</v>
          </cell>
        </row>
        <row r="61">
          <cell r="C61" t="str">
            <v>Pupil services:</v>
          </cell>
        </row>
        <row r="62">
          <cell r="D62" t="str">
            <v>Attendance</v>
          </cell>
          <cell r="H62">
            <v>20000</v>
          </cell>
          <cell r="M62">
            <v>19000</v>
          </cell>
        </row>
        <row r="63">
          <cell r="D63" t="str">
            <v>Psychological services</v>
          </cell>
          <cell r="H63">
            <v>9000</v>
          </cell>
          <cell r="M63">
            <v>8550</v>
          </cell>
        </row>
        <row r="64">
          <cell r="E64" t="str">
            <v>Total</v>
          </cell>
          <cell r="F64">
            <v>29000</v>
          </cell>
          <cell r="H64">
            <v>29000</v>
          </cell>
          <cell r="J64">
            <v>0</v>
          </cell>
          <cell r="M64">
            <v>27550</v>
          </cell>
        </row>
        <row r="66">
          <cell r="C66" t="str">
            <v>Instructional staff services:</v>
          </cell>
        </row>
        <row r="67">
          <cell r="D67" t="str">
            <v>Staff training</v>
          </cell>
          <cell r="H67">
            <v>20000</v>
          </cell>
          <cell r="M67">
            <v>19000</v>
          </cell>
        </row>
        <row r="68">
          <cell r="D68" t="str">
            <v>Educational media</v>
          </cell>
          <cell r="H68">
            <v>950</v>
          </cell>
          <cell r="M68">
            <v>902.5</v>
          </cell>
        </row>
        <row r="69">
          <cell r="E69" t="str">
            <v>Total</v>
          </cell>
          <cell r="F69">
            <v>21000</v>
          </cell>
          <cell r="H69">
            <v>20950</v>
          </cell>
          <cell r="J69">
            <v>50</v>
          </cell>
          <cell r="M69">
            <v>19902.5</v>
          </cell>
        </row>
        <row r="71">
          <cell r="C71" t="str">
            <v>Administrative services:</v>
          </cell>
        </row>
        <row r="72">
          <cell r="D72" t="str">
            <v>Board of education</v>
          </cell>
          <cell r="H72">
            <v>42000</v>
          </cell>
          <cell r="M72">
            <v>39900</v>
          </cell>
        </row>
        <row r="73">
          <cell r="D73" t="str">
            <v>Other administrative support</v>
          </cell>
          <cell r="H73">
            <v>67000</v>
          </cell>
          <cell r="M73">
            <v>63650</v>
          </cell>
        </row>
        <row r="74">
          <cell r="E74" t="str">
            <v>Total</v>
          </cell>
          <cell r="F74">
            <v>109400</v>
          </cell>
          <cell r="H74">
            <v>109000</v>
          </cell>
          <cell r="J74">
            <v>400</v>
          </cell>
          <cell r="M74">
            <v>103550</v>
          </cell>
        </row>
        <row r="76">
          <cell r="C76" t="str">
            <v>Business services:</v>
          </cell>
        </row>
        <row r="77">
          <cell r="D77" t="str">
            <v>Operation of plant</v>
          </cell>
          <cell r="H77">
            <v>10000</v>
          </cell>
          <cell r="M77">
            <v>9500</v>
          </cell>
        </row>
        <row r="78">
          <cell r="D78" t="str">
            <v>Transportation of pupils</v>
          </cell>
          <cell r="H78">
            <v>85598</v>
          </cell>
          <cell r="M78">
            <v>81318.100000000006</v>
          </cell>
        </row>
        <row r="79">
          <cell r="E79" t="str">
            <v>Total</v>
          </cell>
          <cell r="F79">
            <v>96000</v>
          </cell>
          <cell r="H79">
            <v>95598</v>
          </cell>
          <cell r="J79">
            <v>402</v>
          </cell>
          <cell r="M79">
            <v>90818.1</v>
          </cell>
        </row>
        <row r="81">
          <cell r="C81" t="str">
            <v>Other</v>
          </cell>
          <cell r="F81">
            <v>30600</v>
          </cell>
          <cell r="H81">
            <v>30600</v>
          </cell>
          <cell r="J81">
            <v>0</v>
          </cell>
          <cell r="M81">
            <v>29070</v>
          </cell>
        </row>
        <row r="83">
          <cell r="E83" t="str">
            <v>Total supporting services</v>
          </cell>
          <cell r="F83">
            <v>286000</v>
          </cell>
          <cell r="H83">
            <v>285148</v>
          </cell>
          <cell r="J83">
            <v>852</v>
          </cell>
          <cell r="M83">
            <v>270890.59999999998</v>
          </cell>
        </row>
        <row r="85">
          <cell r="B85" t="str">
            <v>Community services</v>
          </cell>
          <cell r="F85">
            <v>6000</v>
          </cell>
          <cell r="H85">
            <v>5091</v>
          </cell>
          <cell r="J85">
            <v>909</v>
          </cell>
          <cell r="M85">
            <v>8313.4500000000007</v>
          </cell>
        </row>
        <row r="87">
          <cell r="B87" t="str">
            <v>Nonprogram charges</v>
          </cell>
        </row>
        <row r="88">
          <cell r="D88" t="str">
            <v>Payments to charter schools</v>
          </cell>
          <cell r="F88">
            <v>79275</v>
          </cell>
          <cell r="H88">
            <v>75000</v>
          </cell>
          <cell r="M88">
            <v>37500</v>
          </cell>
        </row>
        <row r="89">
          <cell r="D89" t="str">
            <v>Other</v>
          </cell>
          <cell r="F89">
            <v>425</v>
          </cell>
          <cell r="H89">
            <v>364</v>
          </cell>
          <cell r="M89">
            <v>345.8</v>
          </cell>
        </row>
        <row r="90">
          <cell r="E90" t="str">
            <v>Total</v>
          </cell>
          <cell r="F90">
            <v>79700</v>
          </cell>
          <cell r="H90">
            <v>75364</v>
          </cell>
          <cell r="J90">
            <v>4336</v>
          </cell>
          <cell r="M90">
            <v>37845.800000000003</v>
          </cell>
        </row>
        <row r="92">
          <cell r="C92" t="str">
            <v>Total expenditures</v>
          </cell>
          <cell r="F92">
            <v>2719600</v>
          </cell>
          <cell r="H92">
            <v>2712903</v>
          </cell>
          <cell r="J92">
            <v>6697</v>
          </cell>
          <cell r="M92">
            <v>2546984.85</v>
          </cell>
        </row>
        <row r="93">
          <cell r="J93">
            <v>6697</v>
          </cell>
        </row>
        <row r="94">
          <cell r="C94" t="str">
            <v xml:space="preserve">Excess of revenues over expenditures </v>
          </cell>
          <cell r="F94">
            <v>0</v>
          </cell>
          <cell r="H94">
            <v>32575</v>
          </cell>
          <cell r="J94">
            <v>32575</v>
          </cell>
          <cell r="M94">
            <v>66628.350000000093</v>
          </cell>
        </row>
        <row r="96">
          <cell r="A96" t="str">
            <v>Fund balance:</v>
          </cell>
        </row>
        <row r="97">
          <cell r="B97" t="str">
            <v>Beginning of year, July 1</v>
          </cell>
          <cell r="H97">
            <v>26055</v>
          </cell>
          <cell r="M97">
            <v>-40573.350000000093</v>
          </cell>
        </row>
        <row r="98">
          <cell r="B98" t="str">
            <v xml:space="preserve">   Increase in reserve for inventories</v>
          </cell>
          <cell r="H98">
            <v>1200</v>
          </cell>
          <cell r="M98">
            <v>0</v>
          </cell>
        </row>
        <row r="99">
          <cell r="B99" t="str">
            <v>End of year, June 30</v>
          </cell>
          <cell r="H99">
            <v>59830</v>
          </cell>
          <cell r="M99">
            <v>26055</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hibit 1 part 1"/>
      <sheetName val="Exhibit 1 part 2"/>
      <sheetName val="Exhibit 2"/>
      <sheetName val="Exhibit 3"/>
      <sheetName val="Exhibit 4"/>
      <sheetName val="Exhibit 5 part 1"/>
      <sheetName val="Module1"/>
      <sheetName val="Exhibit 5 part 2"/>
      <sheetName val="Exh A-1"/>
      <sheetName val="Exh B-1"/>
      <sheetName val="Exh B-2"/>
      <sheetName val="Exh B-3"/>
      <sheetName val="Exh B-4"/>
      <sheetName val="Exh C-1"/>
      <sheetName val="Exh D-1"/>
      <sheetName val="Exh D-2"/>
      <sheetName val="Exh D-3 part 1"/>
      <sheetName val="Exh D-3 part 2"/>
      <sheetName val="Exh D-4"/>
      <sheetName val="Exh D-5"/>
      <sheetName val="Exh E-1"/>
      <sheetName val="Exh E-2"/>
    </sheetNames>
    <sheetDataSet>
      <sheetData sheetId="0"/>
      <sheetData sheetId="1" refreshError="1"/>
      <sheetData sheetId="2"/>
      <sheetData sheetId="3"/>
      <sheetData sheetId="4" refreshError="1"/>
      <sheetData sheetId="5"/>
      <sheetData sheetId="6" refreshError="1"/>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5D855-5B77-46F7-81CB-2B92994EC06A}">
  <sheetPr>
    <tabColor theme="7" tint="0.79998168889431442"/>
  </sheetPr>
  <dimension ref="A1:AC277"/>
  <sheetViews>
    <sheetView showGridLines="0" tabSelected="1" zoomScaleNormal="100" workbookViewId="0">
      <selection sqref="A1:G1"/>
    </sheetView>
  </sheetViews>
  <sheetFormatPr defaultRowHeight="12.75" x14ac:dyDescent="0.2"/>
  <cols>
    <col min="1" max="1" width="29.7109375" customWidth="1"/>
    <col min="2" max="7" width="12.7109375" customWidth="1"/>
    <col min="8" max="14" width="12.7109375" style="306" customWidth="1"/>
    <col min="16" max="16" width="21.85546875" customWidth="1"/>
    <col min="17" max="18" width="13.7109375" customWidth="1"/>
  </cols>
  <sheetData>
    <row r="1" spans="1:29" x14ac:dyDescent="0.2">
      <c r="A1" s="468" t="s">
        <v>574</v>
      </c>
      <c r="B1" s="468"/>
      <c r="C1" s="468"/>
      <c r="D1" s="468"/>
      <c r="E1" s="468"/>
      <c r="F1" s="468"/>
      <c r="G1" s="468"/>
      <c r="H1" s="324"/>
      <c r="I1" s="324"/>
      <c r="J1" s="324"/>
      <c r="K1" s="347"/>
      <c r="L1" s="347"/>
      <c r="M1" s="324"/>
      <c r="N1" s="324"/>
      <c r="O1" s="320"/>
      <c r="P1" s="320"/>
      <c r="Q1" s="320"/>
      <c r="R1" s="1"/>
      <c r="S1" s="1"/>
      <c r="T1" s="1"/>
      <c r="U1" s="1"/>
      <c r="V1" s="1"/>
      <c r="W1" s="1"/>
      <c r="X1" s="1"/>
      <c r="Y1" s="1"/>
      <c r="Z1" s="1"/>
      <c r="AA1" s="1"/>
      <c r="AB1" s="1"/>
      <c r="AC1" s="1"/>
    </row>
    <row r="2" spans="1:29" x14ac:dyDescent="0.2">
      <c r="A2" s="468" t="s">
        <v>626</v>
      </c>
      <c r="B2" s="468"/>
      <c r="C2" s="468"/>
      <c r="D2" s="468"/>
      <c r="E2" s="468"/>
      <c r="F2" s="468"/>
      <c r="G2" s="468"/>
      <c r="H2" s="324"/>
      <c r="I2" s="324"/>
      <c r="J2" s="324"/>
      <c r="K2" s="347"/>
      <c r="L2" s="347"/>
      <c r="M2" s="324"/>
      <c r="N2" s="324"/>
      <c r="O2" s="320"/>
      <c r="P2" s="320"/>
      <c r="Q2" s="320"/>
      <c r="R2" s="1"/>
      <c r="S2" s="1"/>
      <c r="T2" s="1"/>
      <c r="U2" s="1"/>
      <c r="V2" s="1"/>
      <c r="W2" s="1"/>
      <c r="X2" s="1"/>
      <c r="Y2" s="1"/>
      <c r="Z2" s="1"/>
      <c r="AA2" s="1"/>
      <c r="AB2" s="1"/>
      <c r="AC2" s="1"/>
    </row>
    <row r="3" spans="1:29" ht="12.75" customHeight="1" x14ac:dyDescent="0.2">
      <c r="A3" s="463" t="s">
        <v>624</v>
      </c>
      <c r="B3" s="463"/>
      <c r="C3" s="463"/>
      <c r="D3" s="463"/>
      <c r="E3" s="463"/>
      <c r="F3" s="463"/>
      <c r="G3" s="463"/>
      <c r="H3" s="301"/>
      <c r="I3" s="301"/>
      <c r="J3" s="301"/>
      <c r="K3" s="301"/>
      <c r="L3" s="301"/>
      <c r="M3" s="301"/>
      <c r="N3" s="301"/>
      <c r="O3" s="320"/>
      <c r="P3" s="320"/>
      <c r="Q3" s="320"/>
      <c r="R3" s="1"/>
      <c r="S3" s="1"/>
      <c r="T3" s="1"/>
      <c r="U3" s="1"/>
      <c r="V3" s="1"/>
      <c r="W3" s="1"/>
      <c r="X3" s="1"/>
      <c r="Y3" s="1"/>
      <c r="Z3" s="1"/>
      <c r="AA3" s="1"/>
      <c r="AB3" s="1"/>
      <c r="AC3" s="1"/>
    </row>
    <row r="4" spans="1:29" ht="15" x14ac:dyDescent="0.35">
      <c r="A4" s="11"/>
      <c r="B4" s="464" t="s">
        <v>59</v>
      </c>
      <c r="C4" s="464"/>
      <c r="D4" s="464" t="s">
        <v>60</v>
      </c>
      <c r="E4" s="464"/>
      <c r="F4" s="464" t="s">
        <v>575</v>
      </c>
      <c r="G4" s="464"/>
      <c r="H4" s="308"/>
      <c r="I4" s="308"/>
      <c r="J4" s="308"/>
      <c r="K4" s="348"/>
      <c r="L4" s="348"/>
      <c r="M4" s="308"/>
      <c r="N4" s="308"/>
      <c r="O4" s="320"/>
      <c r="P4" s="320"/>
      <c r="Q4" s="320"/>
      <c r="R4" s="1"/>
      <c r="S4" s="1"/>
      <c r="T4" s="1"/>
      <c r="U4" s="1"/>
      <c r="V4" s="1"/>
      <c r="W4" s="1"/>
      <c r="X4" s="1"/>
      <c r="Y4" s="1"/>
      <c r="Z4" s="1"/>
      <c r="AA4" s="1"/>
      <c r="AB4" s="1"/>
      <c r="AC4" s="1"/>
    </row>
    <row r="5" spans="1:29" ht="15" x14ac:dyDescent="0.35">
      <c r="A5" s="11"/>
      <c r="B5" s="305">
        <f>F112</f>
        <v>44377</v>
      </c>
      <c r="C5" s="305">
        <f>DATE(YEAR(GWNetPos!A4)-1,MONTH(GWNetPos!A4),DAY(GWNetPos!A4))</f>
        <v>44012</v>
      </c>
      <c r="D5" s="305">
        <f>B5</f>
        <v>44377</v>
      </c>
      <c r="E5" s="305">
        <f>C5</f>
        <v>44012</v>
      </c>
      <c r="F5" s="305">
        <f>B5</f>
        <v>44377</v>
      </c>
      <c r="G5" s="305">
        <f>C5</f>
        <v>44012</v>
      </c>
      <c r="H5" s="305"/>
      <c r="I5" s="463" t="s">
        <v>59</v>
      </c>
      <c r="J5" s="463"/>
      <c r="K5" s="463" t="s">
        <v>60</v>
      </c>
      <c r="L5" s="463"/>
      <c r="M5" s="311" t="s">
        <v>17</v>
      </c>
      <c r="N5" s="305"/>
      <c r="O5" s="320"/>
      <c r="P5" s="320"/>
      <c r="Q5" s="320"/>
      <c r="R5" s="1"/>
      <c r="S5" s="1"/>
      <c r="T5" s="1"/>
      <c r="U5" s="1"/>
      <c r="V5" s="1"/>
      <c r="W5" s="1"/>
      <c r="X5" s="1"/>
      <c r="Y5" s="1"/>
      <c r="Z5" s="1"/>
      <c r="AA5" s="1"/>
      <c r="AB5" s="1"/>
      <c r="AC5" s="1"/>
    </row>
    <row r="6" spans="1:29" x14ac:dyDescent="0.2">
      <c r="A6" s="11"/>
      <c r="B6" s="301"/>
      <c r="C6" s="301"/>
      <c r="D6" s="301"/>
      <c r="E6" s="301"/>
      <c r="F6" s="301"/>
      <c r="G6" s="301"/>
      <c r="H6" s="301"/>
      <c r="I6" s="310" t="s">
        <v>621</v>
      </c>
      <c r="J6" s="310" t="s">
        <v>620</v>
      </c>
      <c r="K6" s="349" t="s">
        <v>621</v>
      </c>
      <c r="L6" s="349" t="s">
        <v>620</v>
      </c>
      <c r="M6" s="310" t="s">
        <v>620</v>
      </c>
      <c r="N6" s="301"/>
      <c r="O6" s="320"/>
      <c r="P6" s="465" t="s">
        <v>627</v>
      </c>
      <c r="Q6" s="465"/>
      <c r="R6" s="1"/>
      <c r="S6" s="1"/>
      <c r="T6" s="1"/>
      <c r="U6" s="1"/>
      <c r="V6" s="1"/>
      <c r="W6" s="1"/>
      <c r="X6" s="1"/>
      <c r="Y6" s="1"/>
      <c r="Z6" s="1"/>
      <c r="AA6" s="1"/>
      <c r="AB6" s="1"/>
      <c r="AC6" s="1"/>
    </row>
    <row r="7" spans="1:29" x14ac:dyDescent="0.2">
      <c r="A7" s="11" t="s">
        <v>61</v>
      </c>
      <c r="B7" s="106">
        <f>GWNetPos!B9</f>
        <v>301861</v>
      </c>
      <c r="C7" s="106">
        <v>233002</v>
      </c>
      <c r="D7" s="106">
        <f>GWNetPos!C9</f>
        <v>317034</v>
      </c>
      <c r="E7" s="106">
        <v>327412</v>
      </c>
      <c r="F7" s="106">
        <f t="shared" ref="F7:G9" si="0">+D7+B7</f>
        <v>618895</v>
      </c>
      <c r="G7" s="106">
        <f t="shared" si="0"/>
        <v>560414</v>
      </c>
      <c r="H7" s="106">
        <f>D7+D8</f>
        <v>500277</v>
      </c>
      <c r="I7" s="109">
        <f>+B7-C7</f>
        <v>68859</v>
      </c>
      <c r="J7" s="325">
        <f>IF(OR(B7&lt;=0,C7&lt;=0),"na   ",IF((B7/C7)-1&gt;GASB34GovtFundsBS!$G$70,"NM  ",(B7/C7)-1))</f>
        <v>0.29552965210599047</v>
      </c>
      <c r="K7" s="109">
        <f>+D7-E7</f>
        <v>-10378</v>
      </c>
      <c r="L7" s="325">
        <f>IF(OR(D7&lt;=0,E7&lt;=0),"na   ",IF((D7/E7)-1&gt;GASB34GovtFundsBS!$G$70,"NM  ",(D7/E7)-1))</f>
        <v>-3.1697066692729647E-2</v>
      </c>
      <c r="M7" s="325">
        <f>IF(OR(G7&lt;=0,F7&lt;=0),"na   ",IF((F7/G7)-1&gt;GASB34GovtFundsBS!$G$70,"NM  ",(F7/G7)-1))</f>
        <v>0.1043532103052387</v>
      </c>
      <c r="N7" s="106"/>
      <c r="O7" s="320"/>
      <c r="P7" s="320" t="str">
        <f>A7</f>
        <v>Cash and cash equivalents</v>
      </c>
      <c r="Q7" s="326">
        <f>F7</f>
        <v>618895</v>
      </c>
      <c r="R7" s="106"/>
      <c r="S7" s="1"/>
      <c r="T7" s="1"/>
      <c r="U7" s="1"/>
      <c r="V7" s="1"/>
      <c r="W7" s="1"/>
      <c r="X7" s="1"/>
      <c r="Y7" s="1"/>
      <c r="Z7" s="1"/>
      <c r="AA7" s="1"/>
      <c r="AB7" s="1"/>
      <c r="AC7" s="1"/>
    </row>
    <row r="8" spans="1:29" s="306" customFormat="1" x14ac:dyDescent="0.2">
      <c r="A8" s="11" t="s">
        <v>622</v>
      </c>
      <c r="B8" s="318">
        <f>SUM(GWNetPos!B9:B15)-B7</f>
        <v>601507</v>
      </c>
      <c r="C8" s="318">
        <f>764529-C7</f>
        <v>531527</v>
      </c>
      <c r="D8" s="318">
        <f>SUM(GWNetPos!C9:C15)-D7</f>
        <v>183243</v>
      </c>
      <c r="E8" s="318">
        <f>425068-E7</f>
        <v>97656</v>
      </c>
      <c r="F8" s="318">
        <f t="shared" si="0"/>
        <v>784750</v>
      </c>
      <c r="G8" s="318">
        <f t="shared" si="0"/>
        <v>629183</v>
      </c>
      <c r="H8" s="106"/>
      <c r="I8" s="315">
        <f>+B8-C8</f>
        <v>69980</v>
      </c>
      <c r="J8" s="325">
        <f>IF(OR(B8&lt;=0,C8&lt;=0),"na   ",IF((B8/C8)-1&gt;GASB34GovtFundsBS!$G$70,"NM  ",(B8/C8)-1))</f>
        <v>0.13165841057933081</v>
      </c>
      <c r="K8" s="315">
        <f>+D8-E8</f>
        <v>85587</v>
      </c>
      <c r="L8" s="325">
        <f>IF(OR(D8&lt;=0,E8&lt;=0),"na   ",IF((D8/E8)-1&gt;GASB34GovtFundsBS!$G$70,"NM  ",(D8/E8)-1))</f>
        <v>0.87641312361759649</v>
      </c>
      <c r="M8" s="327">
        <f>IF(OR(G8&lt;=0,F8&lt;=0),"na   ",IF((F8/G8)-1&gt;GASB34GovtFundsBS!$G$70,"NM  ",(F8/G8)-1))</f>
        <v>0.24725238920949866</v>
      </c>
      <c r="N8" s="106">
        <f>D8-E8</f>
        <v>85587</v>
      </c>
      <c r="O8" s="320"/>
      <c r="P8" s="320" t="str">
        <f>A8</f>
        <v>Other current assets</v>
      </c>
      <c r="Q8" s="326">
        <f>F8</f>
        <v>784750</v>
      </c>
      <c r="R8" s="106"/>
      <c r="S8" s="1"/>
      <c r="T8" s="1"/>
      <c r="U8" s="1"/>
      <c r="V8" s="1"/>
      <c r="W8" s="1"/>
      <c r="X8" s="1"/>
      <c r="Y8" s="1"/>
      <c r="Z8" s="1"/>
      <c r="AA8" s="1"/>
      <c r="AB8" s="1"/>
      <c r="AC8" s="1"/>
    </row>
    <row r="9" spans="1:29" ht="15" x14ac:dyDescent="0.35">
      <c r="A9" s="11" t="s">
        <v>576</v>
      </c>
      <c r="B9" s="317">
        <f>GWNetPos!B19</f>
        <v>15262085</v>
      </c>
      <c r="C9" s="317">
        <v>7240693</v>
      </c>
      <c r="D9" s="317">
        <f>GWNetPos!C19</f>
        <v>49170</v>
      </c>
      <c r="E9" s="317">
        <v>46705</v>
      </c>
      <c r="F9" s="317">
        <f t="shared" si="0"/>
        <v>15311255</v>
      </c>
      <c r="G9" s="317">
        <f t="shared" si="0"/>
        <v>7287398</v>
      </c>
      <c r="H9" s="317"/>
      <c r="I9" s="315">
        <f>+B9-C9</f>
        <v>8021392</v>
      </c>
      <c r="J9" s="325">
        <f>IF(OR(B9&lt;=0,C9&lt;=0),"na   ",IF((B9/C9)-1&gt;GASB34GovtFundsBS!$G$70,"NM  ",(B9/C9)-1))</f>
        <v>1.1078210331524896</v>
      </c>
      <c r="K9" s="315">
        <f>+D9-E9</f>
        <v>2465</v>
      </c>
      <c r="L9" s="325">
        <f>IF(OR(D9&lt;=0,E9&lt;=0),"na   ",IF((D9/E9)-1&gt;GASB34GovtFundsBS!$G$70,"NM  ",(D9/E9)-1))</f>
        <v>5.2778075152553283E-2</v>
      </c>
      <c r="M9" s="327">
        <f>IF(OR(G9&lt;=0,F9&lt;=0),"na   ",IF((F9/G9)-1&gt;GASB34GovtFundsBS!$G$70,"NM  ",(F9/G9)-1))</f>
        <v>1.1010592532478669</v>
      </c>
      <c r="N9" s="317"/>
      <c r="O9" s="320"/>
      <c r="P9" s="320" t="str">
        <f>A9</f>
        <v>Capital assets</v>
      </c>
      <c r="Q9" s="326">
        <f>F9</f>
        <v>15311255</v>
      </c>
      <c r="R9" s="317"/>
      <c r="S9" s="1"/>
      <c r="T9" s="1"/>
      <c r="U9" s="1"/>
      <c r="V9" s="1"/>
      <c r="W9" s="1"/>
      <c r="X9" s="1"/>
      <c r="Y9" s="1"/>
      <c r="Z9" s="1"/>
      <c r="AA9" s="1"/>
      <c r="AB9" s="1"/>
      <c r="AC9" s="1"/>
    </row>
    <row r="10" spans="1:29" ht="15" x14ac:dyDescent="0.35">
      <c r="A10" s="302" t="s">
        <v>71</v>
      </c>
      <c r="B10" s="317">
        <f t="shared" ref="B10:G10" si="1">SUM(B7:B9)</f>
        <v>16165453</v>
      </c>
      <c r="C10" s="317">
        <f t="shared" si="1"/>
        <v>8005222</v>
      </c>
      <c r="D10" s="317">
        <f>SUM(D7:D9)</f>
        <v>549447</v>
      </c>
      <c r="E10" s="317">
        <f t="shared" si="1"/>
        <v>471773</v>
      </c>
      <c r="F10" s="317">
        <f t="shared" si="1"/>
        <v>16714900</v>
      </c>
      <c r="G10" s="317">
        <f t="shared" si="1"/>
        <v>8476995</v>
      </c>
      <c r="H10" s="317"/>
      <c r="I10" s="315">
        <f>+B10-C10</f>
        <v>8160231</v>
      </c>
      <c r="J10" s="325">
        <f>IF(OR(B10&lt;=0,C10&lt;=0),"na   ",IF((B10/C10)-1&gt;GASB34GovtFundsBS!$G$70,"NM  ",(B10/C10)-1))</f>
        <v>1.0193634854848499</v>
      </c>
      <c r="K10" s="315">
        <f>+D10-E10</f>
        <v>77674</v>
      </c>
      <c r="L10" s="325">
        <f>IF(OR(D10&lt;=0,E10&lt;=0),"na   ",IF((D10/E10)-1&gt;GASB34GovtFundsBS!$G$70,"NM  ",(D10/E10)-1))</f>
        <v>0.16464274131838819</v>
      </c>
      <c r="M10" s="327">
        <f>IF(OR(G10&lt;=0,F10&lt;=0),"na   ",IF((F10/G10)-1&gt;GASB34GovtFundsBS!$G$70,"NM  ",(F10/G10)-1))</f>
        <v>0.9717954298663618</v>
      </c>
      <c r="N10" s="317"/>
      <c r="O10" s="320"/>
      <c r="P10" s="320"/>
      <c r="Q10" s="317"/>
      <c r="R10" s="317"/>
      <c r="S10" s="1"/>
      <c r="T10" s="1"/>
      <c r="U10" s="1"/>
      <c r="V10" s="1"/>
      <c r="W10" s="1"/>
      <c r="X10" s="1"/>
      <c r="Y10" s="1"/>
      <c r="Z10" s="1"/>
      <c r="AA10" s="1"/>
      <c r="AB10" s="1"/>
      <c r="AC10" s="1"/>
    </row>
    <row r="11" spans="1:29" x14ac:dyDescent="0.2">
      <c r="A11" s="302"/>
      <c r="B11" s="318"/>
      <c r="C11" s="318"/>
      <c r="D11" s="318"/>
      <c r="E11" s="318"/>
      <c r="F11" s="318"/>
      <c r="G11" s="318"/>
      <c r="H11" s="318"/>
      <c r="I11" s="318"/>
      <c r="J11" s="318"/>
      <c r="K11" s="318"/>
      <c r="L11" s="318"/>
      <c r="M11" s="318"/>
      <c r="N11" s="318"/>
      <c r="O11" s="320"/>
      <c r="P11" s="320"/>
      <c r="Q11" s="318"/>
      <c r="R11" s="318"/>
      <c r="S11" s="1"/>
      <c r="T11" s="1"/>
      <c r="U11" s="1"/>
      <c r="V11" s="1"/>
      <c r="W11" s="1"/>
      <c r="X11" s="1"/>
      <c r="Y11" s="1"/>
      <c r="Z11" s="1"/>
      <c r="AA11" s="1"/>
      <c r="AB11" s="1"/>
      <c r="AC11" s="1"/>
    </row>
    <row r="12" spans="1:29" ht="15" x14ac:dyDescent="0.35">
      <c r="A12" s="303" t="s">
        <v>496</v>
      </c>
      <c r="B12" s="317">
        <f>GWNetPos!B25</f>
        <v>247911</v>
      </c>
      <c r="C12" s="317">
        <v>46668</v>
      </c>
      <c r="D12" s="317">
        <f>GWNetPos!C25</f>
        <v>61979</v>
      </c>
      <c r="E12" s="317">
        <v>9522</v>
      </c>
      <c r="F12" s="317">
        <f>B12+D12</f>
        <v>309890</v>
      </c>
      <c r="G12" s="317">
        <f>C12+E12</f>
        <v>56190</v>
      </c>
      <c r="H12" s="317"/>
      <c r="I12" s="315">
        <f t="shared" ref="I12:I22" si="2">+B12-C12</f>
        <v>201243</v>
      </c>
      <c r="J12" s="325" t="str">
        <f>IF(OR(B12&lt;=0,C12&lt;=0),"na   ",IF((B12/C12)-1&gt;GASB34GovtFundsBS!$G$70,"NM  ",(B12/C12)-1))</f>
        <v xml:space="preserve">NM  </v>
      </c>
      <c r="K12" s="315">
        <f>+D12-E12</f>
        <v>52457</v>
      </c>
      <c r="L12" s="325" t="str">
        <f>IF(OR(D12&lt;=0,E12&lt;=0),"na   ",IF((D12/E12)-1&gt;GASB34GovtFundsBS!$G$70,"NM  ",(D12/E12)-1))</f>
        <v xml:space="preserve">NM  </v>
      </c>
      <c r="M12" s="327" t="str">
        <f>IF(OR(G12&lt;=0,F12&lt;=0),"na   ",IF((F12/G12)-1&gt;GASB34GovtFundsBS!$G$70,"NM  ",(F12/G12)-1))</f>
        <v xml:space="preserve">NM  </v>
      </c>
      <c r="N12" s="317"/>
      <c r="O12" s="320"/>
      <c r="P12" s="320"/>
      <c r="Q12" s="317"/>
      <c r="R12" s="317"/>
      <c r="S12" s="1"/>
      <c r="T12" s="1"/>
      <c r="U12" s="1"/>
      <c r="V12" s="1"/>
      <c r="W12" s="1"/>
      <c r="X12" s="1"/>
      <c r="Y12" s="1"/>
      <c r="Z12" s="1"/>
      <c r="AA12" s="1"/>
      <c r="AB12" s="1"/>
      <c r="AC12" s="1"/>
    </row>
    <row r="13" spans="1:29" x14ac:dyDescent="0.2">
      <c r="A13" s="302"/>
      <c r="B13" s="318"/>
      <c r="C13" s="318"/>
      <c r="D13" s="318"/>
      <c r="E13" s="318"/>
      <c r="F13" s="318"/>
      <c r="G13" s="318"/>
      <c r="H13" s="318"/>
      <c r="I13" s="315"/>
      <c r="J13" s="325"/>
      <c r="K13" s="325"/>
      <c r="L13" s="325"/>
      <c r="M13" s="327"/>
      <c r="N13" s="318"/>
      <c r="O13" s="320"/>
      <c r="P13" s="320"/>
      <c r="Q13" s="318"/>
      <c r="R13" s="318"/>
      <c r="S13" s="1"/>
      <c r="T13" s="1"/>
      <c r="U13" s="1"/>
      <c r="V13" s="1"/>
      <c r="W13" s="1"/>
      <c r="X13" s="1"/>
      <c r="Y13" s="1"/>
      <c r="Z13" s="1"/>
      <c r="AA13" s="1"/>
      <c r="AB13" s="1"/>
      <c r="AC13" s="1"/>
    </row>
    <row r="14" spans="1:29" x14ac:dyDescent="0.2">
      <c r="A14" s="11" t="s">
        <v>577</v>
      </c>
      <c r="B14" s="318">
        <f>SUM(GWNetPos!B28:B30)</f>
        <v>386131</v>
      </c>
      <c r="C14" s="318">
        <v>346963</v>
      </c>
      <c r="D14" s="318">
        <f>SUM(GWNetPos!C28:C30)</f>
        <v>5200</v>
      </c>
      <c r="E14" s="318">
        <v>4800</v>
      </c>
      <c r="F14" s="318">
        <f>+D14+B14</f>
        <v>391331</v>
      </c>
      <c r="G14" s="318">
        <f>+E14+C14</f>
        <v>351763</v>
      </c>
      <c r="H14" s="318"/>
      <c r="I14" s="315">
        <f t="shared" si="2"/>
        <v>39168</v>
      </c>
      <c r="J14" s="325">
        <f>IF(OR(B14&lt;=0,C14&lt;=0),"na   ",IF((B14/C14)-1&gt;GASB34GovtFundsBS!$G$70,"NM  ",(B14/C14)-1))</f>
        <v>0.11288811775318974</v>
      </c>
      <c r="K14" s="315">
        <f>+D14-E14</f>
        <v>400</v>
      </c>
      <c r="L14" s="325">
        <f>IF(OR(D14&lt;=0,E14&lt;=0),"na   ",IF((D14/E14)-1&gt;GASB34GovtFundsBS!$G$70,"NM  ",(D14/E14)-1))</f>
        <v>8.3333333333333259E-2</v>
      </c>
      <c r="M14" s="327">
        <f>IF(OR(G14&lt;=0,F14&lt;=0),"na   ",IF((F14/G14)-1&gt;GASB34GovtFundsBS!$G$70,"NM  ",(F14/G14)-1))</f>
        <v>0.11248482643143243</v>
      </c>
      <c r="N14" s="318"/>
      <c r="O14" s="320"/>
      <c r="P14" s="320"/>
      <c r="Q14" s="318"/>
      <c r="R14" s="318"/>
      <c r="S14" s="1"/>
      <c r="T14" s="1"/>
      <c r="U14" s="1"/>
      <c r="V14" s="1"/>
      <c r="W14" s="1"/>
      <c r="X14" s="1"/>
      <c r="Y14" s="1"/>
      <c r="Z14" s="1"/>
      <c r="AA14" s="1"/>
      <c r="AB14" s="1"/>
      <c r="AC14" s="1"/>
    </row>
    <row r="15" spans="1:29" ht="15" x14ac:dyDescent="0.35">
      <c r="A15" s="11" t="s">
        <v>578</v>
      </c>
      <c r="B15" s="317">
        <f>SUM(GWNetPos!B32:B35)</f>
        <v>1508849</v>
      </c>
      <c r="C15" s="317">
        <v>236637</v>
      </c>
      <c r="D15" s="317">
        <f>SUM(GWNetPos!C32:C35)</f>
        <v>313135</v>
      </c>
      <c r="E15" s="317">
        <v>0</v>
      </c>
      <c r="F15" s="317">
        <f>+D15+B15</f>
        <v>1821984</v>
      </c>
      <c r="G15" s="317">
        <f>+E15+C15</f>
        <v>236637</v>
      </c>
      <c r="H15" s="317"/>
      <c r="I15" s="315">
        <f t="shared" si="2"/>
        <v>1272212</v>
      </c>
      <c r="J15" s="325" t="str">
        <f>IF(OR(B15&lt;=0,C15&lt;=0),"na   ",IF((B15/C15)-1&gt;GASB34GovtFundsBS!$G$70,"NM  ",(B15/C15)-1))</f>
        <v xml:space="preserve">NM  </v>
      </c>
      <c r="K15" s="315">
        <f>+D15-E15</f>
        <v>313135</v>
      </c>
      <c r="L15" s="325" t="str">
        <f>IF(OR(D15&lt;=0,E15&lt;=0),"na   ",IF((D15/E15)-1&gt;GASB34GovtFundsBS!$G$70,"NM  ",(D15/E15)-1))</f>
        <v xml:space="preserve">na   </v>
      </c>
      <c r="M15" s="327" t="str">
        <f>IF(OR(G15&lt;=0,F15&lt;=0),"na   ",IF((F15/G15)-1&gt;GASB34GovtFundsBS!$G$70,"NM  ",(F15/G15)-1))</f>
        <v xml:space="preserve">NM  </v>
      </c>
      <c r="N15" s="317"/>
      <c r="O15" s="320"/>
      <c r="P15" s="320"/>
      <c r="Q15" s="317"/>
      <c r="R15" s="317"/>
      <c r="S15" s="1"/>
      <c r="T15" s="1"/>
      <c r="U15" s="1"/>
      <c r="V15" s="1"/>
      <c r="W15" s="1"/>
      <c r="X15" s="1"/>
      <c r="Y15" s="1"/>
      <c r="Z15" s="1"/>
      <c r="AA15" s="1"/>
      <c r="AB15" s="1"/>
      <c r="AC15" s="1"/>
    </row>
    <row r="16" spans="1:29" ht="15" x14ac:dyDescent="0.35">
      <c r="A16" s="302" t="s">
        <v>79</v>
      </c>
      <c r="B16" s="317">
        <f t="shared" ref="B16:G16" si="3">SUM(B14:B15)</f>
        <v>1894980</v>
      </c>
      <c r="C16" s="317">
        <f t="shared" si="3"/>
        <v>583600</v>
      </c>
      <c r="D16" s="317">
        <f>SUM(D14:D15)</f>
        <v>318335</v>
      </c>
      <c r="E16" s="317">
        <f t="shared" si="3"/>
        <v>4800</v>
      </c>
      <c r="F16" s="317">
        <f t="shared" si="3"/>
        <v>2213315</v>
      </c>
      <c r="G16" s="317">
        <f t="shared" si="3"/>
        <v>588400</v>
      </c>
      <c r="H16" s="317"/>
      <c r="I16" s="315">
        <f>+B16-C16</f>
        <v>1311380</v>
      </c>
      <c r="J16" s="325">
        <f>IF(OR(B16&lt;=0,C16&lt;=0),"na   ",IF((B16/C16)-1&gt;GASB34GovtFundsBS!$G$70,"NM  ",(B16/C16)-1))</f>
        <v>2.2470527758738861</v>
      </c>
      <c r="K16" s="315">
        <f>+D16-E16</f>
        <v>313535</v>
      </c>
      <c r="L16" s="325" t="str">
        <f>IF(OR(D16&lt;=0,E16&lt;=0),"na   ",IF((D16/E16)-1&gt;GASB34GovtFundsBS!$G$70,"NM  ",(D16/E16)-1))</f>
        <v xml:space="preserve">NM  </v>
      </c>
      <c r="M16" s="327">
        <f>IF(OR(G16&lt;=0,F16&lt;=0),"na   ",IF((F16/G16)-1&gt;GASB34GovtFundsBS!$G$70,"NM  ",(F16/G16)-1))</f>
        <v>2.7615822569680488</v>
      </c>
      <c r="N16" s="317"/>
      <c r="O16" s="320"/>
      <c r="P16" s="320"/>
      <c r="Q16" s="317"/>
      <c r="R16" s="317"/>
      <c r="S16" s="1"/>
      <c r="T16" s="1"/>
      <c r="U16" s="1"/>
      <c r="V16" s="1"/>
      <c r="W16" s="1"/>
      <c r="X16" s="1"/>
      <c r="Y16" s="1"/>
      <c r="Z16" s="1"/>
      <c r="AA16" s="1"/>
      <c r="AB16" s="1"/>
      <c r="AC16" s="1"/>
    </row>
    <row r="17" spans="1:29" x14ac:dyDescent="0.2">
      <c r="A17" s="11"/>
      <c r="B17" s="318"/>
      <c r="C17" s="318"/>
      <c r="D17" s="318"/>
      <c r="E17" s="318"/>
      <c r="F17" s="318"/>
      <c r="G17" s="318"/>
      <c r="H17" s="318"/>
      <c r="I17" s="315"/>
      <c r="J17" s="325"/>
      <c r="K17" s="325"/>
      <c r="L17" s="325"/>
      <c r="M17" s="327"/>
      <c r="N17" s="318"/>
      <c r="O17" s="320"/>
      <c r="P17" s="320"/>
      <c r="Q17" s="318"/>
      <c r="R17" s="318"/>
      <c r="S17" s="1"/>
      <c r="T17" s="1"/>
      <c r="U17" s="1"/>
      <c r="V17" s="1"/>
      <c r="W17" s="1"/>
      <c r="X17" s="1"/>
      <c r="Y17" s="1"/>
      <c r="Z17" s="1"/>
      <c r="AA17" s="1"/>
      <c r="AB17" s="1"/>
      <c r="AC17" s="1"/>
    </row>
    <row r="18" spans="1:29" ht="15" x14ac:dyDescent="0.35">
      <c r="A18" s="11" t="s">
        <v>499</v>
      </c>
      <c r="B18" s="317">
        <f>GWNetPos!B42</f>
        <v>477046</v>
      </c>
      <c r="C18" s="317">
        <v>70048</v>
      </c>
      <c r="D18" s="317">
        <f>GWNetPos!C42</f>
        <v>115239</v>
      </c>
      <c r="E18" s="317">
        <v>30338</v>
      </c>
      <c r="F18" s="317">
        <f>B18+D18</f>
        <v>592285</v>
      </c>
      <c r="G18" s="317">
        <f>C18+E18</f>
        <v>100386</v>
      </c>
      <c r="H18" s="317"/>
      <c r="I18" s="315">
        <f t="shared" si="2"/>
        <v>406998</v>
      </c>
      <c r="J18" s="325" t="str">
        <f>IF(OR(B18&lt;=0,C18&lt;=0),"na   ",IF((B18/C18)-1&gt;GASB34GovtFundsBS!$G$70,"NM  ",(B18/C18)-1))</f>
        <v xml:space="preserve">NM  </v>
      </c>
      <c r="K18" s="315">
        <f>+D18-E18</f>
        <v>84901</v>
      </c>
      <c r="L18" s="325">
        <f>IF(OR(D18&lt;=0,E18&lt;=0),"na   ",IF((D18/E18)-1&gt;GASB34GovtFundsBS!$G$70,"NM  ",(D18/E18)-1))</f>
        <v>2.798503526929923</v>
      </c>
      <c r="M18" s="327" t="str">
        <f>IF(OR(G18&lt;=0,F18&lt;=0),"na   ",IF((F18/G18)-1&gt;GASB34GovtFundsBS!$G$70,"NM  ",(F18/G18)-1))</f>
        <v xml:space="preserve">NM  </v>
      </c>
      <c r="N18" s="317"/>
      <c r="O18" s="320"/>
      <c r="P18" s="320"/>
      <c r="Q18" s="317"/>
      <c r="R18" s="317"/>
      <c r="S18" s="1"/>
      <c r="T18" s="1"/>
      <c r="U18" s="1"/>
      <c r="V18" s="1"/>
      <c r="W18" s="1"/>
      <c r="X18" s="1"/>
      <c r="Y18" s="1"/>
      <c r="Z18" s="1"/>
      <c r="AA18" s="1"/>
      <c r="AB18" s="1"/>
      <c r="AC18" s="1"/>
    </row>
    <row r="19" spans="1:29" x14ac:dyDescent="0.2">
      <c r="A19" s="11"/>
      <c r="B19" s="318"/>
      <c r="C19" s="318"/>
      <c r="D19" s="318"/>
      <c r="E19" s="318"/>
      <c r="F19" s="318"/>
      <c r="G19" s="318"/>
      <c r="H19" s="318"/>
      <c r="I19" s="315"/>
      <c r="J19" s="325"/>
      <c r="K19" s="325"/>
      <c r="L19" s="325"/>
      <c r="M19" s="327"/>
      <c r="N19" s="318"/>
      <c r="O19" s="320"/>
      <c r="P19" s="320"/>
      <c r="Q19" s="318"/>
      <c r="R19" s="318"/>
      <c r="S19" s="1"/>
      <c r="T19" s="1"/>
      <c r="U19" s="1"/>
      <c r="V19" s="1"/>
      <c r="W19" s="1"/>
      <c r="X19" s="1"/>
      <c r="Y19" s="1"/>
      <c r="Z19" s="1"/>
      <c r="AA19" s="1"/>
      <c r="AB19" s="1"/>
      <c r="AC19" s="1"/>
    </row>
    <row r="20" spans="1:29" x14ac:dyDescent="0.2">
      <c r="A20" s="309" t="s">
        <v>80</v>
      </c>
      <c r="B20" s="318">
        <f>GWNetPos!B45</f>
        <v>15073708</v>
      </c>
      <c r="C20" s="318">
        <v>7223341</v>
      </c>
      <c r="D20" s="318">
        <f>GWNetPos!C45</f>
        <v>49170</v>
      </c>
      <c r="E20" s="318">
        <v>46705</v>
      </c>
      <c r="F20" s="318">
        <f t="shared" ref="F20:G22" si="4">+D20+B20</f>
        <v>15122878</v>
      </c>
      <c r="G20" s="318">
        <f t="shared" si="4"/>
        <v>7270046</v>
      </c>
      <c r="H20" s="318"/>
      <c r="I20" s="315">
        <f t="shared" si="2"/>
        <v>7850367</v>
      </c>
      <c r="J20" s="325">
        <f>IF(OR(B20&lt;=0,C20&lt;=0),"na   ",IF((B20/C20)-1&gt;GASB34GovtFundsBS!$G$70,"NM  ",(B20/C20)-1))</f>
        <v>1.0868055377698491</v>
      </c>
      <c r="K20" s="315">
        <f>+D20-E20</f>
        <v>2465</v>
      </c>
      <c r="L20" s="325">
        <f>IF(OR(D20&lt;=0,E20&lt;=0),"na   ",IF((D20/E20)-1&gt;GASB34GovtFundsBS!$G$70,"NM  ",(D20/E20)-1))</f>
        <v>5.2778075152553283E-2</v>
      </c>
      <c r="M20" s="327">
        <f>IF(OR(G20&lt;=0,F20&lt;=0),"na   ",IF((F20/G20)-1&gt;GASB34GovtFundsBS!$G$70,"NM  ",(F20/G20)-1))</f>
        <v>1.0801626289572308</v>
      </c>
      <c r="N20" s="318"/>
      <c r="O20" s="320"/>
      <c r="P20" s="320"/>
      <c r="Q20" s="318"/>
      <c r="R20" s="318"/>
      <c r="S20" s="1"/>
      <c r="T20" s="1"/>
      <c r="U20" s="1"/>
      <c r="V20" s="1"/>
      <c r="W20" s="1"/>
      <c r="X20" s="1"/>
      <c r="Y20" s="1"/>
      <c r="Z20" s="1"/>
      <c r="AA20" s="1"/>
      <c r="AB20" s="1"/>
      <c r="AC20" s="1"/>
    </row>
    <row r="21" spans="1:29" x14ac:dyDescent="0.2">
      <c r="A21" s="309" t="s">
        <v>579</v>
      </c>
      <c r="B21" s="318">
        <f>SUM(GWNetPos!B47:B50)</f>
        <v>342668</v>
      </c>
      <c r="C21" s="318">
        <v>340720</v>
      </c>
      <c r="D21" s="318">
        <f>SUM(GWNetPos!C47:C50)</f>
        <v>487</v>
      </c>
      <c r="E21" s="318">
        <v>0</v>
      </c>
      <c r="F21" s="318">
        <f t="shared" si="4"/>
        <v>343155</v>
      </c>
      <c r="G21" s="318">
        <f t="shared" si="4"/>
        <v>340720</v>
      </c>
      <c r="H21" s="318"/>
      <c r="I21" s="315">
        <f t="shared" si="2"/>
        <v>1948</v>
      </c>
      <c r="J21" s="325">
        <f>IF(OR(B21&lt;=0,C21&lt;=0),"na   ",IF((B21/C21)-1&gt;GASB34GovtFundsBS!$G$70,"NM  ",(B21/C21)-1))</f>
        <v>5.7173045315801474E-3</v>
      </c>
      <c r="K21" s="315">
        <f>+D21-E21</f>
        <v>487</v>
      </c>
      <c r="L21" s="325" t="str">
        <f>IF(OR(D21&lt;=0,E21&lt;=0),"na   ",IF((D21/E21)-1&gt;GASB34GovtFundsBS!$G$70,"NM  ",(D21/E21)-1))</f>
        <v xml:space="preserve">na   </v>
      </c>
      <c r="M21" s="327">
        <f>IF(OR(G21&lt;=0,F21&lt;=0),"na   ",IF((F21/G21)-1&gt;GASB34GovtFundsBS!$G$70,"NM  ",(F21/G21)-1))</f>
        <v>7.1466306644751842E-3</v>
      </c>
      <c r="N21" s="318"/>
      <c r="O21" s="320"/>
      <c r="P21" s="320"/>
      <c r="Q21" s="318"/>
      <c r="R21" s="318"/>
      <c r="S21" s="1"/>
      <c r="T21" s="1"/>
      <c r="U21" s="1"/>
      <c r="V21" s="1"/>
      <c r="W21" s="1"/>
      <c r="X21" s="1"/>
      <c r="Y21" s="1"/>
      <c r="Z21" s="1"/>
      <c r="AA21" s="1"/>
      <c r="AB21" s="1"/>
      <c r="AC21" s="1"/>
    </row>
    <row r="22" spans="1:29" ht="15" x14ac:dyDescent="0.35">
      <c r="A22" s="11" t="s">
        <v>580</v>
      </c>
      <c r="B22" s="317">
        <f>GWNetPos!B51</f>
        <v>-1375038</v>
      </c>
      <c r="C22" s="317">
        <f>-303394-1254535</f>
        <v>-1557929</v>
      </c>
      <c r="D22" s="317">
        <f>GWNetPos!C51</f>
        <v>128195</v>
      </c>
      <c r="E22" s="317">
        <f>420268-20534-7238-313634+2</f>
        <v>78864</v>
      </c>
      <c r="F22" s="317">
        <f t="shared" si="4"/>
        <v>-1246843</v>
      </c>
      <c r="G22" s="317">
        <f t="shared" si="4"/>
        <v>-1479065</v>
      </c>
      <c r="H22" s="317"/>
      <c r="I22" s="315">
        <f t="shared" si="2"/>
        <v>182891</v>
      </c>
      <c r="J22" s="325" t="str">
        <f>IF(OR(B22&lt;=0,C22&lt;=0),"na   ",IF((B22/C22)-1&gt;GASB34GovtFundsBS!$G$70,"NM  ",(B22/C22)-1))</f>
        <v xml:space="preserve">na   </v>
      </c>
      <c r="K22" s="315">
        <f>+D22-E22</f>
        <v>49331</v>
      </c>
      <c r="L22" s="325">
        <f>IF(OR(D22&lt;=0,E22&lt;=0),"na   ",IF((D22/E22)-1&gt;GASB34GovtFundsBS!$G$70,"NM  ",(D22/E22)-1))</f>
        <v>0.62551988232907285</v>
      </c>
      <c r="M22" s="327" t="str">
        <f>IF(OR(G22&lt;=0,F22&lt;=0),"na   ",IF((F22/G22)-1&gt;GASB34GovtFundsBS!$G$70,"NM  ",(F22/G22)-1))</f>
        <v xml:space="preserve">na   </v>
      </c>
      <c r="N22" s="317"/>
      <c r="O22" s="320"/>
      <c r="P22" s="320"/>
      <c r="Q22" s="317"/>
      <c r="R22" s="317"/>
      <c r="S22" s="1"/>
      <c r="T22" s="1"/>
      <c r="U22" s="1"/>
      <c r="V22" s="1"/>
      <c r="W22" s="1"/>
      <c r="X22" s="1"/>
      <c r="Y22" s="1"/>
      <c r="Z22" s="1"/>
      <c r="AA22" s="1"/>
      <c r="AB22" s="1"/>
      <c r="AC22" s="1"/>
    </row>
    <row r="23" spans="1:29" ht="15" x14ac:dyDescent="0.35">
      <c r="A23" s="11" t="s">
        <v>83</v>
      </c>
      <c r="B23" s="216">
        <f t="shared" ref="B23:G23" si="5">SUM(B20:B22)</f>
        <v>14041338</v>
      </c>
      <c r="C23" s="216">
        <f t="shared" si="5"/>
        <v>6006132</v>
      </c>
      <c r="D23" s="216">
        <f>SUM(D20:D22)</f>
        <v>177852</v>
      </c>
      <c r="E23" s="216">
        <f t="shared" si="5"/>
        <v>125569</v>
      </c>
      <c r="F23" s="216">
        <f t="shared" si="5"/>
        <v>14219190</v>
      </c>
      <c r="G23" s="216">
        <f t="shared" si="5"/>
        <v>6131701</v>
      </c>
      <c r="H23" s="216"/>
      <c r="I23" s="109">
        <f>+B23-C23</f>
        <v>8035206</v>
      </c>
      <c r="J23" s="325">
        <f>IF(OR(B23&lt;=0,C23&lt;=0),"na   ",IF((B23/C23)-1&gt;GASB34GovtFundsBS!$G$70,"NM  ",(B23/C23)-1))</f>
        <v>1.3378337339239299</v>
      </c>
      <c r="K23" s="109">
        <f>+D23-E23</f>
        <v>52283</v>
      </c>
      <c r="L23" s="325">
        <f>IF(OR(D23&lt;=0,E23&lt;=0),"na   ",IF((D23/E23)-1&gt;GASB34GovtFundsBS!$G$70,"NM  ",(D23/E23)-1))</f>
        <v>0.41636868972437457</v>
      </c>
      <c r="M23" s="327">
        <f>IF(OR(G23&lt;=0,F23&lt;=0),"na   ",IF((F23/G23)-1&gt;GASB34GovtFundsBS!$G$70,"NM  ",(F23/G23)-1))</f>
        <v>1.3189633675875583</v>
      </c>
      <c r="N23" s="216"/>
      <c r="O23" s="320"/>
      <c r="P23" s="320"/>
      <c r="Q23" s="216"/>
      <c r="R23" s="216"/>
      <c r="S23" s="1"/>
      <c r="T23" s="1"/>
      <c r="U23" s="1"/>
      <c r="V23" s="1"/>
      <c r="W23" s="1"/>
      <c r="X23" s="1"/>
      <c r="Y23" s="1"/>
      <c r="Z23" s="1"/>
      <c r="AA23" s="1"/>
      <c r="AB23" s="1"/>
      <c r="AC23" s="1"/>
    </row>
    <row r="24" spans="1:29" x14ac:dyDescent="0.2">
      <c r="A24" s="320"/>
      <c r="B24" s="320"/>
      <c r="C24" s="320"/>
      <c r="D24" s="320"/>
      <c r="E24" s="320"/>
      <c r="F24" s="320"/>
      <c r="G24" s="320"/>
      <c r="H24" s="320"/>
      <c r="I24" s="320"/>
      <c r="J24" s="320"/>
      <c r="K24" s="350"/>
      <c r="L24" s="350"/>
      <c r="M24" s="320"/>
      <c r="N24" s="320"/>
      <c r="O24" s="320"/>
      <c r="P24" s="320"/>
      <c r="Q24" s="320"/>
      <c r="R24" s="1"/>
      <c r="S24" s="1"/>
      <c r="T24" s="1"/>
      <c r="U24" s="1"/>
      <c r="V24" s="1"/>
      <c r="W24" s="1"/>
      <c r="X24" s="1"/>
      <c r="Y24" s="1"/>
      <c r="Z24" s="1"/>
      <c r="AA24" s="1"/>
      <c r="AB24" s="1"/>
      <c r="AC24" s="1"/>
    </row>
    <row r="25" spans="1:29" x14ac:dyDescent="0.2">
      <c r="A25" s="320"/>
      <c r="B25" s="320"/>
      <c r="C25" s="320"/>
      <c r="D25" s="320"/>
      <c r="E25" s="320"/>
      <c r="F25" s="320"/>
      <c r="G25" s="320"/>
      <c r="H25" s="320"/>
      <c r="I25" s="320"/>
      <c r="J25" s="320"/>
      <c r="K25" s="350"/>
      <c r="L25" s="350"/>
      <c r="M25" s="320"/>
      <c r="N25" s="320"/>
      <c r="O25" s="320"/>
      <c r="P25" s="320"/>
      <c r="Q25" s="320"/>
      <c r="R25" s="1"/>
      <c r="S25" s="1"/>
      <c r="T25" s="1"/>
      <c r="U25" s="1"/>
      <c r="V25" s="1"/>
      <c r="W25" s="1"/>
      <c r="X25" s="1"/>
      <c r="Y25" s="1"/>
      <c r="Z25" s="1"/>
      <c r="AA25" s="1"/>
      <c r="AB25" s="1"/>
      <c r="AC25" s="1"/>
    </row>
    <row r="26" spans="1:29" s="306" customFormat="1" x14ac:dyDescent="0.2">
      <c r="A26" s="357" t="s">
        <v>630</v>
      </c>
      <c r="B26" s="319" t="str">
        <f>IF(+B10+B12-B16-B18-B23=0,"Yes",+B10+B12-B16-B18-B23)</f>
        <v>Yes</v>
      </c>
      <c r="C26" s="356"/>
      <c r="D26" s="319" t="str">
        <f>IF(+D10+D12-D16-D18-D23=0,"Yes",+D10+D12-D16-D18-D23)</f>
        <v>Yes</v>
      </c>
      <c r="E26" s="356"/>
      <c r="F26" s="319" t="str">
        <f>IF(+F10+F12-F16-F18-F23=0,"Yes",+F10+F12-F16-F18-F23)</f>
        <v>Yes</v>
      </c>
      <c r="G26" s="356"/>
      <c r="H26" s="357"/>
      <c r="I26" s="357"/>
      <c r="J26" s="357"/>
      <c r="K26" s="357"/>
      <c r="L26" s="357"/>
      <c r="M26" s="357"/>
      <c r="N26" s="357"/>
      <c r="O26" s="357"/>
      <c r="P26" s="357"/>
      <c r="Q26" s="357"/>
      <c r="R26" s="357"/>
      <c r="S26" s="357"/>
      <c r="T26" s="357"/>
      <c r="U26" s="357"/>
      <c r="V26" s="357"/>
      <c r="W26" s="357"/>
      <c r="X26" s="357"/>
      <c r="Y26" s="357"/>
      <c r="Z26" s="357"/>
      <c r="AA26" s="357"/>
      <c r="AB26" s="357"/>
      <c r="AC26" s="357"/>
    </row>
    <row r="27" spans="1:29" s="306" customFormat="1" x14ac:dyDescent="0.2">
      <c r="A27" s="320" t="s">
        <v>600</v>
      </c>
      <c r="B27" s="319" t="str">
        <f>IF(B23-GWNetPos!B52=0,"Yes",B23-GWNetPos!B52)</f>
        <v>Yes</v>
      </c>
      <c r="C27" s="311"/>
      <c r="D27" s="319" t="str">
        <f>IF(D23-GWNetPos!C52=0,"Yes",D23-GWNetPos!C52)</f>
        <v>Yes</v>
      </c>
      <c r="E27" s="311"/>
      <c r="F27" s="319" t="str">
        <f>IF(F23-GWNetPos!D52=0,"Yes",F23-GWNetPos!D52)</f>
        <v>Yes</v>
      </c>
      <c r="G27" s="311"/>
      <c r="H27" s="311"/>
      <c r="I27" s="311"/>
      <c r="J27" s="311"/>
      <c r="K27" s="346"/>
      <c r="L27" s="346"/>
      <c r="M27" s="311"/>
      <c r="N27" s="311"/>
      <c r="O27" s="320"/>
      <c r="P27" s="320"/>
      <c r="Q27" s="320"/>
      <c r="R27" s="1"/>
      <c r="S27" s="1"/>
      <c r="T27" s="1"/>
      <c r="U27" s="1"/>
      <c r="V27" s="1"/>
      <c r="W27" s="1"/>
      <c r="X27" s="1"/>
      <c r="Y27" s="1"/>
      <c r="Z27" s="1"/>
      <c r="AA27" s="1"/>
      <c r="AB27" s="1"/>
      <c r="AC27" s="1"/>
    </row>
    <row r="28" spans="1:29" x14ac:dyDescent="0.2">
      <c r="A28" s="320" t="s">
        <v>601</v>
      </c>
      <c r="B28" s="319" t="str">
        <f t="shared" ref="B28:G28" si="6">IF(B23-B67=0,"Yes",B23-B67)</f>
        <v>Yes</v>
      </c>
      <c r="C28" s="319" t="str">
        <f t="shared" si="6"/>
        <v>Yes</v>
      </c>
      <c r="D28" s="319" t="str">
        <f t="shared" si="6"/>
        <v>Yes</v>
      </c>
      <c r="E28" s="319" t="str">
        <f t="shared" si="6"/>
        <v>Yes</v>
      </c>
      <c r="F28" s="319" t="str">
        <f t="shared" si="6"/>
        <v>Yes</v>
      </c>
      <c r="G28" s="319" t="str">
        <f t="shared" si="6"/>
        <v>Yes</v>
      </c>
      <c r="H28" s="319"/>
      <c r="I28" s="319"/>
      <c r="J28" s="319"/>
      <c r="K28" s="319"/>
      <c r="L28" s="319"/>
      <c r="M28" s="319"/>
      <c r="N28" s="319"/>
      <c r="O28" s="320"/>
      <c r="P28" s="320"/>
      <c r="Q28" s="320"/>
      <c r="R28" s="1"/>
      <c r="S28" s="1"/>
      <c r="T28" s="1"/>
      <c r="U28" s="1"/>
      <c r="V28" s="1"/>
      <c r="W28" s="1"/>
      <c r="X28" s="1"/>
      <c r="Y28" s="1"/>
      <c r="Z28" s="1"/>
      <c r="AA28" s="1"/>
      <c r="AB28" s="1"/>
      <c r="AC28" s="1"/>
    </row>
    <row r="29" spans="1:29" s="306" customFormat="1" x14ac:dyDescent="0.2">
      <c r="A29" s="361" t="s">
        <v>632</v>
      </c>
      <c r="B29" s="319" t="str">
        <f>IF(B10-GWNetPos!B20=0,"Yes",B10-GWNetPos!B20)</f>
        <v>Yes</v>
      </c>
      <c r="C29" s="360"/>
      <c r="D29" s="319" t="str">
        <f>IF(D10-GWNetPos!C20=0,"Yes",D10-GWNetPos!C20)</f>
        <v>Yes</v>
      </c>
      <c r="E29" s="360"/>
      <c r="F29" s="360"/>
      <c r="G29" s="360"/>
      <c r="H29" s="319"/>
      <c r="I29" s="319"/>
      <c r="J29" s="319"/>
      <c r="K29" s="319"/>
      <c r="L29" s="319"/>
      <c r="M29" s="319"/>
      <c r="N29" s="319"/>
      <c r="O29" s="361"/>
      <c r="P29" s="361"/>
      <c r="Q29" s="361"/>
      <c r="R29" s="361"/>
      <c r="S29" s="361"/>
      <c r="T29" s="361"/>
      <c r="U29" s="361"/>
      <c r="V29" s="361"/>
      <c r="W29" s="361"/>
      <c r="X29" s="361"/>
      <c r="Y29" s="361"/>
      <c r="Z29" s="361"/>
      <c r="AA29" s="361"/>
      <c r="AB29" s="361"/>
      <c r="AC29" s="361"/>
    </row>
    <row r="30" spans="1:29" s="306" customFormat="1" x14ac:dyDescent="0.2">
      <c r="A30" s="361" t="s">
        <v>637</v>
      </c>
      <c r="B30" s="319" t="str">
        <f>IF(B16-GWNetPos!B36=0,"Yes",B16-GWNetPos!B36)</f>
        <v>Yes</v>
      </c>
      <c r="C30" s="360"/>
      <c r="D30" s="319" t="str">
        <f>IF(D16-GWNetPos!C36=0,"Yes",D16-GWNetPos!C36)</f>
        <v>Yes</v>
      </c>
      <c r="E30" s="360"/>
      <c r="F30" s="360"/>
      <c r="G30" s="360"/>
      <c r="H30" s="319"/>
      <c r="I30" s="319"/>
      <c r="J30" s="319"/>
      <c r="K30" s="319"/>
      <c r="L30" s="319"/>
      <c r="M30" s="319"/>
      <c r="N30" s="319"/>
      <c r="O30" s="361"/>
      <c r="P30" s="361"/>
      <c r="Q30" s="361"/>
      <c r="R30" s="361"/>
      <c r="S30" s="361"/>
      <c r="T30" s="361"/>
      <c r="U30" s="361"/>
      <c r="V30" s="361"/>
      <c r="W30" s="361"/>
      <c r="X30" s="361"/>
      <c r="Y30" s="361"/>
      <c r="Z30" s="361"/>
      <c r="AA30" s="361"/>
      <c r="AB30" s="361"/>
      <c r="AC30" s="361"/>
    </row>
    <row r="31" spans="1:29" s="306" customFormat="1" x14ac:dyDescent="0.2">
      <c r="A31" s="361" t="s">
        <v>634</v>
      </c>
      <c r="B31" s="319"/>
      <c r="C31" s="360"/>
      <c r="D31" s="319">
        <f>IF(D10-'Net Pos-Prop'!D24=0,"Yes",D10-'Net Pos-Prop'!D24)</f>
        <v>-7700</v>
      </c>
      <c r="E31" s="360"/>
      <c r="F31" s="360"/>
      <c r="G31" s="360"/>
      <c r="H31" s="319"/>
      <c r="I31" s="319" t="str">
        <f>IF(D31-GWNetPos!C13=0,"Internal Balance","Investigate!")</f>
        <v>Internal Balance</v>
      </c>
      <c r="J31" s="319"/>
      <c r="K31" s="319"/>
      <c r="L31" s="319"/>
      <c r="M31" s="319"/>
      <c r="N31" s="319"/>
      <c r="O31" s="361"/>
      <c r="P31" s="361"/>
      <c r="Q31" s="361"/>
      <c r="R31" s="361"/>
      <c r="S31" s="361"/>
      <c r="T31" s="361"/>
      <c r="U31" s="361"/>
      <c r="V31" s="361"/>
      <c r="W31" s="361"/>
      <c r="X31" s="361"/>
      <c r="Y31" s="361"/>
      <c r="Z31" s="361"/>
      <c r="AA31" s="361"/>
      <c r="AB31" s="361"/>
      <c r="AC31" s="361"/>
    </row>
    <row r="32" spans="1:29" s="306" customFormat="1" x14ac:dyDescent="0.2">
      <c r="A32" s="361" t="s">
        <v>635</v>
      </c>
      <c r="B32" s="360"/>
      <c r="C32" s="360"/>
      <c r="D32" s="319">
        <f>IF(D16-'Net Pos-Prop'!D42=0,"Yes",D16-'Net Pos-Prop'!D42)</f>
        <v>-7700</v>
      </c>
      <c r="E32" s="360"/>
      <c r="F32" s="360"/>
      <c r="G32" s="360"/>
      <c r="H32" s="319"/>
      <c r="I32" s="319" t="str">
        <f>IF(D32-GWNetPos!C13=0,"Internal Balance","Investigate!")</f>
        <v>Internal Balance</v>
      </c>
      <c r="J32" s="319"/>
      <c r="K32" s="319"/>
      <c r="L32" s="319"/>
      <c r="M32" s="319"/>
      <c r="N32" s="319"/>
      <c r="O32" s="361"/>
      <c r="P32" s="361"/>
      <c r="Q32" s="361"/>
      <c r="R32" s="361"/>
      <c r="S32" s="361"/>
      <c r="T32" s="361"/>
      <c r="U32" s="361"/>
      <c r="V32" s="361"/>
      <c r="W32" s="361"/>
      <c r="X32" s="361"/>
      <c r="Y32" s="361"/>
      <c r="Z32" s="361"/>
      <c r="AA32" s="361"/>
      <c r="AB32" s="361"/>
      <c r="AC32" s="361"/>
    </row>
    <row r="33" spans="1:29" s="306" customFormat="1" x14ac:dyDescent="0.2">
      <c r="A33" s="361" t="s">
        <v>636</v>
      </c>
      <c r="B33" s="360"/>
      <c r="C33" s="360"/>
      <c r="D33" s="319" t="str">
        <f>IF(D23-'Net Pos-Prop'!D53=0,"Yes",D23-'Net Pos-Prop'!D53)</f>
        <v>Yes</v>
      </c>
      <c r="E33" s="360"/>
      <c r="F33" s="360"/>
      <c r="G33" s="360"/>
      <c r="H33" s="319"/>
      <c r="I33" s="319"/>
      <c r="J33" s="319"/>
      <c r="K33" s="319"/>
      <c r="L33" s="319"/>
      <c r="M33" s="319"/>
      <c r="N33" s="319"/>
      <c r="O33" s="361"/>
      <c r="P33" s="361"/>
      <c r="Q33" s="361"/>
      <c r="R33" s="361"/>
      <c r="S33" s="361"/>
      <c r="T33" s="361"/>
      <c r="U33" s="361"/>
      <c r="V33" s="361"/>
      <c r="W33" s="361"/>
      <c r="X33" s="361"/>
      <c r="Y33" s="361"/>
      <c r="Z33" s="361"/>
      <c r="AA33" s="361"/>
      <c r="AB33" s="361"/>
      <c r="AC33" s="361"/>
    </row>
    <row r="34" spans="1:29" x14ac:dyDescent="0.2">
      <c r="A34" s="320"/>
      <c r="B34" s="320"/>
      <c r="C34" s="320"/>
      <c r="D34" s="320"/>
      <c r="E34" s="320"/>
      <c r="F34" s="320"/>
      <c r="G34" s="320"/>
      <c r="H34" s="320"/>
      <c r="I34" s="320"/>
      <c r="J34" s="320"/>
      <c r="K34" s="350"/>
      <c r="L34" s="350"/>
      <c r="M34" s="320"/>
      <c r="N34" s="320"/>
      <c r="O34" s="320"/>
      <c r="P34" s="320"/>
      <c r="Q34" s="320"/>
      <c r="R34" s="1"/>
      <c r="S34" s="1"/>
      <c r="T34" s="1"/>
      <c r="U34" s="1"/>
      <c r="V34" s="1"/>
      <c r="W34" s="1"/>
      <c r="X34" s="1"/>
      <c r="Y34" s="1"/>
      <c r="Z34" s="1"/>
      <c r="AA34" s="1"/>
      <c r="AB34" s="1"/>
      <c r="AC34" s="1"/>
    </row>
    <row r="35" spans="1:29" x14ac:dyDescent="0.2">
      <c r="A35" s="320"/>
      <c r="B35" s="320"/>
      <c r="C35" s="320"/>
      <c r="D35" s="320"/>
      <c r="E35" s="320"/>
      <c r="F35" s="320"/>
      <c r="G35" s="320"/>
      <c r="H35" s="320"/>
      <c r="I35" s="320"/>
      <c r="J35" s="320"/>
      <c r="K35" s="350"/>
      <c r="L35" s="350"/>
      <c r="M35" s="320"/>
      <c r="N35" s="320"/>
      <c r="O35" s="320"/>
      <c r="P35" s="320"/>
      <c r="Q35" s="320"/>
      <c r="R35" s="1"/>
      <c r="S35" s="1"/>
      <c r="T35" s="1"/>
      <c r="U35" s="1"/>
      <c r="V35" s="1"/>
      <c r="W35" s="1"/>
      <c r="X35" s="1"/>
      <c r="Y35" s="1"/>
      <c r="Z35" s="1"/>
      <c r="AA35" s="1"/>
      <c r="AB35" s="1"/>
      <c r="AC35" s="1"/>
    </row>
    <row r="36" spans="1:29" x14ac:dyDescent="0.2">
      <c r="A36" s="466" t="s">
        <v>581</v>
      </c>
      <c r="B36" s="466"/>
      <c r="C36" s="466"/>
      <c r="D36" s="466"/>
      <c r="E36" s="466"/>
      <c r="F36" s="466"/>
      <c r="G36" s="467"/>
      <c r="H36" s="320"/>
      <c r="I36" s="320"/>
      <c r="J36" s="320"/>
      <c r="K36" s="350"/>
      <c r="L36" s="350"/>
      <c r="M36" s="320"/>
      <c r="N36" s="320"/>
      <c r="O36" s="320"/>
      <c r="P36" s="320"/>
      <c r="Q36" s="320"/>
      <c r="R36" s="1"/>
      <c r="S36" s="1"/>
      <c r="T36" s="1"/>
      <c r="U36" s="1"/>
      <c r="V36" s="1"/>
      <c r="W36" s="1"/>
      <c r="X36" s="1"/>
      <c r="Y36" s="1"/>
      <c r="Z36" s="1"/>
      <c r="AA36" s="1"/>
      <c r="AB36" s="1"/>
      <c r="AC36" s="1"/>
    </row>
    <row r="37" spans="1:29" x14ac:dyDescent="0.2">
      <c r="A37" s="466" t="s">
        <v>625</v>
      </c>
      <c r="B37" s="466"/>
      <c r="C37" s="466"/>
      <c r="D37" s="466"/>
      <c r="E37" s="466"/>
      <c r="F37" s="466"/>
      <c r="G37" s="467"/>
      <c r="H37" s="320"/>
      <c r="I37" s="320"/>
      <c r="J37" s="320"/>
      <c r="K37" s="350"/>
      <c r="L37" s="350"/>
      <c r="M37" s="320"/>
      <c r="N37" s="320"/>
      <c r="O37" s="320"/>
      <c r="P37" s="320"/>
      <c r="Q37" s="320"/>
      <c r="R37" s="1"/>
      <c r="S37" s="1"/>
      <c r="T37" s="1"/>
      <c r="U37" s="1"/>
      <c r="V37" s="1"/>
      <c r="W37" s="1"/>
      <c r="X37" s="1"/>
      <c r="Y37" s="1"/>
      <c r="Z37" s="1"/>
      <c r="AA37" s="1"/>
      <c r="AB37" s="1"/>
      <c r="AC37" s="1"/>
    </row>
    <row r="38" spans="1:29" x14ac:dyDescent="0.2">
      <c r="A38" s="463" t="s">
        <v>623</v>
      </c>
      <c r="B38" s="463"/>
      <c r="C38" s="463"/>
      <c r="D38" s="463"/>
      <c r="E38" s="463"/>
      <c r="F38" s="463"/>
      <c r="G38" s="463"/>
      <c r="H38" s="320"/>
      <c r="I38" s="320"/>
      <c r="J38" s="320"/>
      <c r="K38" s="350"/>
      <c r="L38" s="350"/>
      <c r="M38" s="320"/>
      <c r="N38" s="320"/>
      <c r="O38" s="320"/>
      <c r="P38" s="320"/>
      <c r="Q38" s="320"/>
      <c r="R38" s="1"/>
      <c r="S38" s="1"/>
      <c r="T38" s="1"/>
      <c r="U38" s="1"/>
      <c r="V38" s="1"/>
      <c r="W38" s="1"/>
      <c r="X38" s="1"/>
      <c r="Y38" s="1"/>
      <c r="Z38" s="1"/>
      <c r="AA38" s="1"/>
      <c r="AB38" s="1"/>
      <c r="AC38" s="1"/>
    </row>
    <row r="39" spans="1:29" ht="15" x14ac:dyDescent="0.35">
      <c r="A39" s="320"/>
      <c r="B39" s="464" t="s">
        <v>59</v>
      </c>
      <c r="C39" s="464"/>
      <c r="D39" s="464" t="s">
        <v>60</v>
      </c>
      <c r="E39" s="464"/>
      <c r="F39" s="464" t="s">
        <v>575</v>
      </c>
      <c r="G39" s="464"/>
      <c r="H39" s="308"/>
      <c r="I39" s="308"/>
      <c r="J39" s="308"/>
      <c r="K39" s="348"/>
      <c r="L39" s="348"/>
      <c r="M39" s="308"/>
      <c r="N39" s="308"/>
      <c r="O39" s="320"/>
      <c r="P39" s="320"/>
      <c r="Q39" s="320"/>
      <c r="R39" s="1"/>
      <c r="S39" s="1"/>
      <c r="T39" s="1"/>
      <c r="U39" s="1"/>
      <c r="V39" s="1"/>
      <c r="W39" s="1"/>
      <c r="X39" s="1"/>
      <c r="Y39" s="1"/>
      <c r="Z39" s="1"/>
      <c r="AA39" s="1"/>
      <c r="AB39" s="1"/>
      <c r="AC39" s="1"/>
    </row>
    <row r="40" spans="1:29" ht="15" x14ac:dyDescent="0.35">
      <c r="A40" s="320"/>
      <c r="B40" s="328">
        <f t="shared" ref="B40:G40" si="7">B5</f>
        <v>44377</v>
      </c>
      <c r="C40" s="328">
        <f t="shared" si="7"/>
        <v>44012</v>
      </c>
      <c r="D40" s="328">
        <f t="shared" si="7"/>
        <v>44377</v>
      </c>
      <c r="E40" s="328">
        <f t="shared" si="7"/>
        <v>44012</v>
      </c>
      <c r="F40" s="328">
        <f t="shared" si="7"/>
        <v>44377</v>
      </c>
      <c r="G40" s="328">
        <f t="shared" si="7"/>
        <v>44012</v>
      </c>
      <c r="H40" s="328"/>
      <c r="I40" s="328"/>
      <c r="J40" s="328"/>
      <c r="K40" s="328"/>
      <c r="L40" s="328"/>
      <c r="M40" s="328"/>
      <c r="N40" s="328"/>
      <c r="O40" s="320"/>
      <c r="P40" s="320"/>
      <c r="Q40" s="320"/>
      <c r="R40" s="1"/>
      <c r="S40" s="1"/>
      <c r="T40" s="1"/>
      <c r="U40" s="1"/>
      <c r="V40" s="1"/>
      <c r="W40" s="1"/>
      <c r="X40" s="1"/>
      <c r="Y40" s="1"/>
      <c r="Z40" s="1"/>
      <c r="AA40" s="1"/>
      <c r="AB40" s="1"/>
      <c r="AC40" s="1"/>
    </row>
    <row r="41" spans="1:29" x14ac:dyDescent="0.2">
      <c r="A41" s="320" t="s">
        <v>223</v>
      </c>
      <c r="B41" s="320"/>
      <c r="C41" s="320"/>
      <c r="D41" s="320"/>
      <c r="E41" s="320"/>
      <c r="F41" s="320"/>
      <c r="G41" s="320"/>
      <c r="H41" s="320"/>
      <c r="I41" s="463" t="s">
        <v>59</v>
      </c>
      <c r="J41" s="463"/>
      <c r="K41" s="463" t="s">
        <v>60</v>
      </c>
      <c r="L41" s="463"/>
      <c r="M41" s="311" t="s">
        <v>17</v>
      </c>
      <c r="N41" s="320"/>
      <c r="O41" s="320"/>
      <c r="P41" s="320"/>
      <c r="Q41" s="320"/>
      <c r="R41" s="1"/>
      <c r="S41" s="1"/>
      <c r="T41" s="1"/>
      <c r="U41" s="1"/>
      <c r="V41" s="1"/>
      <c r="W41" s="1"/>
      <c r="X41" s="1"/>
      <c r="Y41" s="1"/>
      <c r="Z41" s="1"/>
      <c r="AA41" s="1"/>
      <c r="AB41" s="1"/>
      <c r="AC41" s="1"/>
    </row>
    <row r="42" spans="1:29" x14ac:dyDescent="0.2">
      <c r="A42" s="329" t="s">
        <v>582</v>
      </c>
      <c r="B42" s="320"/>
      <c r="C42" s="320"/>
      <c r="D42" s="320"/>
      <c r="E42" s="320"/>
      <c r="F42" s="320"/>
      <c r="G42" s="320"/>
      <c r="H42" s="320"/>
      <c r="I42" s="310" t="s">
        <v>621</v>
      </c>
      <c r="J42" s="310" t="s">
        <v>620</v>
      </c>
      <c r="K42" s="349" t="s">
        <v>621</v>
      </c>
      <c r="L42" s="349" t="s">
        <v>620</v>
      </c>
      <c r="M42" s="310" t="s">
        <v>620</v>
      </c>
      <c r="N42" s="320"/>
      <c r="O42" s="320"/>
      <c r="P42" s="320"/>
      <c r="Q42" s="109"/>
      <c r="R42" s="312"/>
      <c r="S42" s="1"/>
      <c r="T42" s="1"/>
      <c r="U42" s="1"/>
      <c r="V42" s="1"/>
      <c r="W42" s="1"/>
      <c r="X42" s="1"/>
      <c r="Y42" s="1"/>
      <c r="Z42" s="1"/>
      <c r="AA42" s="1"/>
      <c r="AB42" s="1"/>
      <c r="AC42" s="1"/>
    </row>
    <row r="43" spans="1:29" ht="12.75" customHeight="1" x14ac:dyDescent="0.2">
      <c r="A43" s="307" t="s">
        <v>558</v>
      </c>
      <c r="B43" s="109">
        <f>GWStmtAct!C32</f>
        <v>283000</v>
      </c>
      <c r="C43" s="109">
        <v>279467</v>
      </c>
      <c r="D43" s="109">
        <f>GWStmtAct!C37</f>
        <v>553292</v>
      </c>
      <c r="E43" s="109">
        <f>ROUND(+D43*0.98,0)</f>
        <v>542226</v>
      </c>
      <c r="F43" s="109">
        <f>+D43+B43</f>
        <v>836292</v>
      </c>
      <c r="G43" s="109">
        <f>+E43+C43</f>
        <v>821693</v>
      </c>
      <c r="H43" s="109"/>
      <c r="I43" s="109">
        <f>+B43-C43</f>
        <v>3533</v>
      </c>
      <c r="J43" s="325">
        <f>IF(OR(B43&lt;=0,C43&lt;=0),"na   ",IF((B43/C43)-1&gt;GASB34GovtFundsBS!$G$70,"NM  ",(B43/C43)-1))</f>
        <v>1.2641921944272383E-2</v>
      </c>
      <c r="K43" s="109">
        <f>+D43-E43</f>
        <v>11066</v>
      </c>
      <c r="L43" s="325">
        <f>IF(OR(D43&lt;=0,E43&lt;=0),"na   ",IF((D43/E43)-1&gt;GASB34GovtFundsBS!$G$70,"NM  ",(D43/E43)-1))</f>
        <v>2.0408464367256407E-2</v>
      </c>
      <c r="M43" s="325">
        <f>IF(OR(G43&lt;=0,F43&lt;=0),"na   ",IF((F43/G43)-1&gt;GASB34GovtFundsBS!$G$70,"NM  ",(F43/G43)-1))</f>
        <v>1.7766976230782161E-2</v>
      </c>
      <c r="N43" s="109"/>
      <c r="O43" s="320"/>
      <c r="P43" s="330"/>
      <c r="Q43" s="330"/>
      <c r="R43" s="313"/>
      <c r="S43" s="1"/>
      <c r="T43" s="1"/>
      <c r="U43" s="1"/>
      <c r="V43" s="1"/>
      <c r="W43" s="1"/>
      <c r="X43" s="1"/>
      <c r="Y43" s="1"/>
      <c r="Z43" s="1"/>
      <c r="AA43" s="1"/>
      <c r="AB43" s="1"/>
      <c r="AC43" s="1"/>
    </row>
    <row r="44" spans="1:29" ht="12.75" customHeight="1" x14ac:dyDescent="0.2">
      <c r="A44" s="331" t="s">
        <v>559</v>
      </c>
      <c r="B44" s="315">
        <f>GWStmtAct!D32</f>
        <v>120300128</v>
      </c>
      <c r="C44" s="315">
        <f>5004361+145000000</f>
        <v>150004361</v>
      </c>
      <c r="D44" s="315">
        <f>GWStmtAct!D37</f>
        <v>577008</v>
      </c>
      <c r="E44" s="315">
        <f>ROUND(+D44*0.98,0)</f>
        <v>565468</v>
      </c>
      <c r="F44" s="315">
        <f>+B44+D44</f>
        <v>120877136</v>
      </c>
      <c r="G44" s="315">
        <f>+C44+E44</f>
        <v>150569829</v>
      </c>
      <c r="H44" s="315"/>
      <c r="I44" s="315">
        <f>+B44-C44</f>
        <v>-29704233</v>
      </c>
      <c r="J44" s="325">
        <f>IF(OR(B44&lt;=0,C44&lt;=0),"na   ",IF((B44/C44)-1&gt;GASB34GovtFundsBS!$G$70,"NM  ",(B44/C44)-1))</f>
        <v>-0.1980224628269307</v>
      </c>
      <c r="K44" s="315">
        <f>+D44-E44</f>
        <v>11540</v>
      </c>
      <c r="L44" s="325">
        <f>IF(OR(D44&lt;=0,E44&lt;=0),"na   ",IF((D44/E44)-1&gt;GASB34GovtFundsBS!$G$70,"NM  ",(D44/E44)-1))</f>
        <v>2.0407874539319693E-2</v>
      </c>
      <c r="M44" s="327">
        <f>IF(OR(G44&lt;=0,F44&lt;=0),"na   ",IF((F44/G44)-1&gt;GASB34GovtFundsBS!$G$70,"NM  ",(F44/G44)-1))</f>
        <v>-0.19720214333244679</v>
      </c>
      <c r="N44" s="315"/>
      <c r="O44" s="320"/>
      <c r="P44" s="465" t="s">
        <v>615</v>
      </c>
      <c r="Q44" s="465"/>
      <c r="R44" s="313"/>
      <c r="S44" s="1"/>
      <c r="T44" s="1"/>
      <c r="U44" s="1"/>
      <c r="V44" s="1"/>
      <c r="W44" s="1"/>
      <c r="X44" s="1"/>
      <c r="Y44" s="1"/>
      <c r="Z44" s="1"/>
      <c r="AA44" s="1"/>
      <c r="AB44" s="1"/>
      <c r="AC44" s="1"/>
    </row>
    <row r="45" spans="1:29" x14ac:dyDescent="0.2">
      <c r="A45" s="331" t="s">
        <v>560</v>
      </c>
      <c r="B45" s="315">
        <f>GWStmtAct!E32</f>
        <v>36000</v>
      </c>
      <c r="C45" s="315">
        <v>38000</v>
      </c>
      <c r="D45" s="315">
        <f>GWStmtAct!E37</f>
        <v>0</v>
      </c>
      <c r="E45" s="315">
        <f>+D45*0.98</f>
        <v>0</v>
      </c>
      <c r="F45" s="315">
        <f>+B45+D45</f>
        <v>36000</v>
      </c>
      <c r="G45" s="315">
        <f>+C45+E45</f>
        <v>38000</v>
      </c>
      <c r="H45" s="315"/>
      <c r="I45" s="315">
        <f t="shared" ref="I45:I61" si="8">+B45-C45</f>
        <v>-2000</v>
      </c>
      <c r="J45" s="325">
        <f>IF(OR(B45&lt;=0,C45&lt;=0),"na   ",IF((B45/C45)-1&gt;GASB34GovtFundsBS!$G$70,"NM  ",(B45/C45)-1))</f>
        <v>-5.2631578947368474E-2</v>
      </c>
      <c r="K45" s="315">
        <f>+D45-E45</f>
        <v>0</v>
      </c>
      <c r="L45" s="325" t="str">
        <f>IF(OR(D45&lt;=0,E45&lt;=0),"na   ",IF((D45/E45)-1&gt;GASB34GovtFundsBS!$G$70,"NM  ",(D45/E45)-1))</f>
        <v xml:space="preserve">na   </v>
      </c>
      <c r="M45" s="327">
        <f>IF(OR(G45&lt;=0,F45&lt;=0),"na   ",IF((F45/G45)-1&gt;GASB34GovtFundsBS!$G$70,"NM  ",(F45/G45)-1))</f>
        <v>-5.2631578947368474E-2</v>
      </c>
      <c r="N45" s="315"/>
      <c r="O45" s="320"/>
      <c r="P45" s="320" t="s">
        <v>619</v>
      </c>
      <c r="Q45" s="326">
        <f>SUM(GWStmtAct!D38:E38)</f>
        <v>120913136</v>
      </c>
      <c r="R45" s="313"/>
      <c r="S45" s="1"/>
      <c r="T45" s="1"/>
      <c r="U45" s="1"/>
      <c r="V45" s="1"/>
      <c r="W45" s="1"/>
      <c r="X45" s="1"/>
      <c r="Y45" s="1"/>
      <c r="Z45" s="1"/>
      <c r="AA45" s="1"/>
      <c r="AB45" s="1"/>
      <c r="AC45" s="1"/>
    </row>
    <row r="46" spans="1:29" ht="15" x14ac:dyDescent="0.35">
      <c r="A46" s="329" t="s">
        <v>123</v>
      </c>
      <c r="B46" s="315"/>
      <c r="C46" s="315"/>
      <c r="D46" s="315"/>
      <c r="E46" s="315"/>
      <c r="F46" s="315"/>
      <c r="G46" s="315"/>
      <c r="H46" s="315"/>
      <c r="I46" s="315"/>
      <c r="J46" s="325"/>
      <c r="K46" s="325"/>
      <c r="L46" s="325"/>
      <c r="M46" s="327"/>
      <c r="N46" s="315"/>
      <c r="O46" s="320"/>
      <c r="P46" s="320" t="s">
        <v>618</v>
      </c>
      <c r="Q46" s="326">
        <f>SUM(GWStmtAct!G42:G47)</f>
        <v>41117116</v>
      </c>
      <c r="R46" s="314"/>
      <c r="S46" s="1"/>
      <c r="T46" s="1"/>
      <c r="U46" s="1"/>
      <c r="V46" s="1"/>
      <c r="W46" s="1"/>
      <c r="X46" s="1"/>
      <c r="Y46" s="1"/>
      <c r="Z46" s="1"/>
      <c r="AA46" s="1"/>
      <c r="AB46" s="1"/>
      <c r="AC46" s="1"/>
    </row>
    <row r="47" spans="1:29" ht="15" x14ac:dyDescent="0.35">
      <c r="A47" s="307" t="s">
        <v>583</v>
      </c>
      <c r="B47" s="316">
        <f>GWStmtAct!G50</f>
        <v>41190934</v>
      </c>
      <c r="C47" s="316">
        <f>4798526+33000000</f>
        <v>37798526</v>
      </c>
      <c r="D47" s="316">
        <f>GWStmtAct!H50</f>
        <v>122002</v>
      </c>
      <c r="E47" s="316">
        <f>ROUND(+D47*0.98,0)</f>
        <v>119562</v>
      </c>
      <c r="F47" s="316">
        <f>+D47+B47</f>
        <v>41312936</v>
      </c>
      <c r="G47" s="316">
        <f>+E47+C47</f>
        <v>37918088</v>
      </c>
      <c r="H47" s="316"/>
      <c r="I47" s="315">
        <f t="shared" si="8"/>
        <v>3392408</v>
      </c>
      <c r="J47" s="325">
        <f>IF(OR(B47&lt;=0,C47&lt;=0),"na   ",IF((B47/C47)-1&gt;GASB34GovtFundsBS!$G$70,"NM  ",(B47/C47)-1))</f>
        <v>8.9749743151359862E-2</v>
      </c>
      <c r="K47" s="315">
        <f>+D47-E47</f>
        <v>2440</v>
      </c>
      <c r="L47" s="325">
        <f>IF(OR(D47&lt;=0,E47&lt;=0),"na   ",IF((D47/E47)-1&gt;GASB34GovtFundsBS!$G$70,"NM  ",(D47/E47)-1))</f>
        <v>2.0407821883207111E-2</v>
      </c>
      <c r="M47" s="327">
        <f>IF(OR(G47&lt;=0,F47&lt;=0),"na   ",IF((F47/G47)-1&gt;GASB34GovtFundsBS!$G$70,"NM  ",(F47/G47)-1))</f>
        <v>8.9531096610145466E-2</v>
      </c>
      <c r="N47" s="316"/>
      <c r="O47" s="320"/>
      <c r="P47" s="320" t="s">
        <v>617</v>
      </c>
      <c r="Q47" s="326">
        <f>GWStmtAct!C38+SUM(GWStmtAct!G48:G49)</f>
        <v>910110</v>
      </c>
      <c r="R47" s="314"/>
      <c r="S47" s="1"/>
      <c r="T47" s="1"/>
      <c r="U47" s="1"/>
      <c r="V47" s="1"/>
      <c r="W47" s="1"/>
      <c r="X47" s="1"/>
      <c r="Y47" s="1"/>
      <c r="Z47" s="1"/>
      <c r="AA47" s="1"/>
      <c r="AB47" s="1"/>
      <c r="AC47" s="1"/>
    </row>
    <row r="48" spans="1:29" ht="15" x14ac:dyDescent="0.35">
      <c r="A48" s="329" t="s">
        <v>175</v>
      </c>
      <c r="B48" s="316">
        <f t="shared" ref="B48:G48" si="9">SUM(B43:B47)</f>
        <v>161810062</v>
      </c>
      <c r="C48" s="316">
        <f t="shared" si="9"/>
        <v>188120354</v>
      </c>
      <c r="D48" s="316">
        <f t="shared" si="9"/>
        <v>1252302</v>
      </c>
      <c r="E48" s="316">
        <f t="shared" si="9"/>
        <v>1227256</v>
      </c>
      <c r="F48" s="316">
        <f t="shared" si="9"/>
        <v>163062364</v>
      </c>
      <c r="G48" s="316">
        <f t="shared" si="9"/>
        <v>189347610</v>
      </c>
      <c r="H48" s="316"/>
      <c r="I48" s="315">
        <f t="shared" si="8"/>
        <v>-26310292</v>
      </c>
      <c r="J48" s="325">
        <f>IF(OR(B48&lt;=0,C48&lt;=0),"na   ",IF((B48/C48)-1&gt;GASB34GovtFundsBS!$G$70,"NM  ",(B48/C48)-1))</f>
        <v>-0.1398588267593841</v>
      </c>
      <c r="K48" s="315">
        <f>+D48-E48</f>
        <v>25046</v>
      </c>
      <c r="L48" s="325">
        <f>IF(OR(D48&lt;=0,E48&lt;=0),"na   ",IF((D48/E48)-1&gt;GASB34GovtFundsBS!$G$70,"NM  ",(D48/E48)-1))</f>
        <v>2.0408130007105285E-2</v>
      </c>
      <c r="M48" s="327">
        <f>IF(OR(G48&lt;=0,F48&lt;=0),"na   ",IF((F48/G48)-1&gt;GASB34GovtFundsBS!$G$70,"NM  ",(F48/G48)-1))</f>
        <v>-0.13882005693127053</v>
      </c>
      <c r="N48" s="316"/>
      <c r="O48" s="320"/>
      <c r="P48" s="320"/>
      <c r="Q48" s="315"/>
      <c r="R48" s="313"/>
      <c r="S48" s="1"/>
      <c r="T48" s="1"/>
      <c r="U48" s="1"/>
      <c r="V48" s="1"/>
      <c r="W48" s="1"/>
      <c r="X48" s="1"/>
      <c r="Y48" s="1"/>
      <c r="Z48" s="1"/>
      <c r="AA48" s="1"/>
      <c r="AB48" s="1"/>
      <c r="AC48" s="1"/>
    </row>
    <row r="49" spans="1:29" x14ac:dyDescent="0.2">
      <c r="A49" s="320"/>
      <c r="B49" s="315"/>
      <c r="C49" s="315"/>
      <c r="D49" s="315"/>
      <c r="E49" s="315"/>
      <c r="F49" s="315"/>
      <c r="G49" s="315"/>
      <c r="H49" s="315"/>
      <c r="I49" s="315"/>
      <c r="J49" s="325"/>
      <c r="K49" s="325"/>
      <c r="L49" s="325"/>
      <c r="M49" s="315"/>
      <c r="N49" s="315"/>
      <c r="O49" s="320"/>
      <c r="P49" s="320"/>
      <c r="Q49" s="315"/>
      <c r="R49" s="313"/>
      <c r="S49" s="1"/>
      <c r="T49" s="1"/>
      <c r="U49" s="1"/>
      <c r="V49" s="1"/>
      <c r="W49" s="1"/>
      <c r="X49" s="1"/>
      <c r="Y49" s="1"/>
      <c r="Z49" s="1"/>
      <c r="AA49" s="1"/>
      <c r="AB49" s="1"/>
      <c r="AC49" s="1"/>
    </row>
    <row r="50" spans="1:29" x14ac:dyDescent="0.2">
      <c r="A50" s="320" t="s">
        <v>584</v>
      </c>
      <c r="B50" s="315"/>
      <c r="C50" s="315"/>
      <c r="D50" s="315"/>
      <c r="E50" s="315"/>
      <c r="F50" s="315"/>
      <c r="G50" s="315"/>
      <c r="H50" s="315"/>
      <c r="I50" s="315"/>
      <c r="J50" s="325"/>
      <c r="K50" s="325"/>
      <c r="L50" s="325"/>
      <c r="M50" s="315"/>
      <c r="N50" s="315"/>
      <c r="O50" s="320"/>
      <c r="P50" s="320"/>
      <c r="Q50" s="330"/>
      <c r="R50" s="313"/>
      <c r="S50" s="1"/>
      <c r="T50" s="1"/>
      <c r="U50" s="1"/>
      <c r="V50" s="1"/>
      <c r="W50" s="1"/>
      <c r="X50" s="1"/>
      <c r="Y50" s="1"/>
      <c r="Z50" s="1"/>
      <c r="AA50" s="1"/>
      <c r="AB50" s="1"/>
      <c r="AC50" s="1"/>
    </row>
    <row r="51" spans="1:29" x14ac:dyDescent="0.2">
      <c r="A51" s="329" t="s">
        <v>585</v>
      </c>
      <c r="B51" s="315"/>
      <c r="C51" s="315"/>
      <c r="D51" s="315"/>
      <c r="E51" s="315"/>
      <c r="F51" s="315"/>
      <c r="G51" s="315"/>
      <c r="H51" s="315"/>
      <c r="I51" s="315"/>
      <c r="J51" s="325"/>
      <c r="K51" s="325"/>
      <c r="L51" s="325"/>
      <c r="M51" s="315"/>
      <c r="N51" s="315"/>
      <c r="O51" s="320"/>
      <c r="P51" s="330"/>
      <c r="Q51" s="330"/>
      <c r="R51" s="313"/>
      <c r="S51" s="1"/>
      <c r="T51" s="1"/>
      <c r="U51" s="1"/>
      <c r="V51" s="1"/>
      <c r="W51" s="1"/>
      <c r="X51" s="1"/>
      <c r="Y51" s="1"/>
      <c r="Z51" s="1"/>
      <c r="AA51" s="1"/>
      <c r="AB51" s="1"/>
      <c r="AC51" s="1"/>
    </row>
    <row r="52" spans="1:29" x14ac:dyDescent="0.2">
      <c r="A52" s="307" t="s">
        <v>177</v>
      </c>
      <c r="B52" s="315">
        <f>SUM(GWStmtAct!B12:B17)</f>
        <v>127484035</v>
      </c>
      <c r="C52" s="315">
        <f>4989452+75000000+33000000</f>
        <v>112989452</v>
      </c>
      <c r="D52" s="315">
        <v>0</v>
      </c>
      <c r="E52" s="315">
        <v>0</v>
      </c>
      <c r="F52" s="315">
        <f t="shared" ref="F52:G57" si="10">+D52+B52</f>
        <v>127484035</v>
      </c>
      <c r="G52" s="315">
        <f t="shared" si="10"/>
        <v>112989452</v>
      </c>
      <c r="H52" s="315"/>
      <c r="I52" s="315">
        <f t="shared" si="8"/>
        <v>14494583</v>
      </c>
      <c r="J52" s="325">
        <f>IF(OR(B52&lt;=0,C52&lt;=0),"na   ",IF((B52/C52)-1&gt;GASB34GovtFundsBS!$G$70,"NM  ",(B52/C52)-1))</f>
        <v>0.12828262057594553</v>
      </c>
      <c r="K52" s="315">
        <f t="shared" ref="K52:K57" si="11">+D52-E52</f>
        <v>0</v>
      </c>
      <c r="L52" s="325" t="str">
        <f>IF(OR(D52&lt;=0,E52&lt;=0),"na   ",IF((D52/E52)-1&gt;GASB34GovtFundsBS!$G$70,"NM  ",(D52/E52)-1))</f>
        <v xml:space="preserve">na   </v>
      </c>
      <c r="M52" s="327">
        <f>IF(OR(G52&lt;=0,F52&lt;=0),"na   ",IF((F52/G52)-1&gt;GASB34GovtFundsBS!$G$70,"NM  ",(F52/G52)-1))</f>
        <v>0.12828262057594553</v>
      </c>
      <c r="N52" s="315"/>
      <c r="O52" s="320"/>
      <c r="P52" s="330"/>
      <c r="Q52" s="330"/>
      <c r="R52" s="313"/>
      <c r="S52" s="1"/>
      <c r="T52" s="1"/>
      <c r="U52" s="1"/>
      <c r="V52" s="1"/>
      <c r="W52" s="1"/>
      <c r="X52" s="1"/>
      <c r="Y52" s="1"/>
      <c r="Z52" s="1"/>
      <c r="AA52" s="1"/>
      <c r="AB52" s="1"/>
      <c r="AC52" s="1"/>
    </row>
    <row r="53" spans="1:29" x14ac:dyDescent="0.2">
      <c r="A53" s="307" t="s">
        <v>178</v>
      </c>
      <c r="B53" s="315">
        <f>SUM(GWStmtAct!B19:B27)</f>
        <v>24682937</v>
      </c>
      <c r="C53" s="315">
        <f>2473527+70000000</f>
        <v>72473527</v>
      </c>
      <c r="D53" s="315">
        <v>0</v>
      </c>
      <c r="E53" s="315">
        <v>0</v>
      </c>
      <c r="F53" s="315">
        <f t="shared" si="10"/>
        <v>24682937</v>
      </c>
      <c r="G53" s="315">
        <f t="shared" si="10"/>
        <v>72473527</v>
      </c>
      <c r="H53" s="315"/>
      <c r="I53" s="315">
        <f t="shared" si="8"/>
        <v>-47790590</v>
      </c>
      <c r="J53" s="325">
        <f>IF(OR(B53&lt;=0,C53&lt;=0),"na   ",IF((B53/C53)-1&gt;GASB34GovtFundsBS!$G$70,"NM  ",(B53/C53)-1))</f>
        <v>-0.65942133601418351</v>
      </c>
      <c r="K53" s="315">
        <f t="shared" si="11"/>
        <v>0</v>
      </c>
      <c r="L53" s="325" t="str">
        <f>IF(OR(D53&lt;=0,E53&lt;=0),"na   ",IF((D53/E53)-1&gt;GASB34GovtFundsBS!$G$70,"NM  ",(D53/E53)-1))</f>
        <v xml:space="preserve">na   </v>
      </c>
      <c r="M53" s="327">
        <f>IF(OR(G53&lt;=0,F53&lt;=0),"na   ",IF((F53/G53)-1&gt;GASB34GovtFundsBS!$G$70,"NM  ",(F53/G53)-1))</f>
        <v>-0.65942133601418351</v>
      </c>
      <c r="N53" s="315"/>
      <c r="O53" s="320"/>
      <c r="P53" s="330"/>
      <c r="Q53" s="330"/>
      <c r="R53" s="313"/>
      <c r="S53" s="1"/>
      <c r="T53" s="1"/>
      <c r="U53" s="1"/>
      <c r="V53" s="1"/>
      <c r="W53" s="1"/>
      <c r="X53" s="1"/>
      <c r="Y53" s="1"/>
      <c r="Z53" s="1"/>
      <c r="AA53" s="1"/>
      <c r="AB53" s="1"/>
      <c r="AC53" s="1"/>
    </row>
    <row r="54" spans="1:29" x14ac:dyDescent="0.2">
      <c r="A54" s="307" t="s">
        <v>113</v>
      </c>
      <c r="B54" s="315">
        <f>GWStmtAct!B28</f>
        <v>1048990</v>
      </c>
      <c r="C54" s="315">
        <v>18041</v>
      </c>
      <c r="D54" s="315">
        <v>0</v>
      </c>
      <c r="E54" s="315">
        <v>0</v>
      </c>
      <c r="F54" s="315">
        <f t="shared" si="10"/>
        <v>1048990</v>
      </c>
      <c r="G54" s="315">
        <f t="shared" si="10"/>
        <v>18041</v>
      </c>
      <c r="H54" s="315"/>
      <c r="I54" s="315">
        <f t="shared" si="8"/>
        <v>1030949</v>
      </c>
      <c r="J54" s="325" t="str">
        <f>IF(OR(B54&lt;=0,C54&lt;=0),"na   ",IF((B54/C54)-1&gt;GASB34GovtFundsBS!$G$70,"NM  ",(B54/C54)-1))</f>
        <v xml:space="preserve">NM  </v>
      </c>
      <c r="K54" s="315">
        <f t="shared" si="11"/>
        <v>0</v>
      </c>
      <c r="L54" s="325" t="str">
        <f>IF(OR(D54&lt;=0,E54&lt;=0),"na   ",IF((D54/E54)-1&gt;GASB34GovtFundsBS!$G$70,"NM  ",(D54/E54)-1))</f>
        <v xml:space="preserve">na   </v>
      </c>
      <c r="M54" s="327" t="str">
        <f>IF(OR(G54&lt;=0,F54&lt;=0),"na   ",IF((F54/G54)-1&gt;GASB34GovtFundsBS!$G$70,"NM  ",(F54/G54)-1))</f>
        <v xml:space="preserve">NM  </v>
      </c>
      <c r="N54" s="315"/>
      <c r="O54" s="320"/>
      <c r="P54" s="330"/>
      <c r="Q54" s="330"/>
      <c r="R54" s="313"/>
      <c r="S54" s="1"/>
      <c r="T54" s="1"/>
      <c r="U54" s="1"/>
      <c r="V54" s="1"/>
      <c r="W54" s="1"/>
      <c r="X54" s="1"/>
      <c r="Y54" s="1"/>
      <c r="Z54" s="1"/>
      <c r="AA54" s="1"/>
      <c r="AB54" s="1"/>
      <c r="AC54" s="1"/>
    </row>
    <row r="55" spans="1:29" x14ac:dyDescent="0.2">
      <c r="A55" s="307" t="s">
        <v>114</v>
      </c>
      <c r="B55" s="315">
        <f>GWStmtAct!B29</f>
        <v>10363</v>
      </c>
      <c r="C55" s="315">
        <f>ROUND(+B55*0.95,0)</f>
        <v>9845</v>
      </c>
      <c r="D55" s="315">
        <v>0</v>
      </c>
      <c r="E55" s="315">
        <v>0</v>
      </c>
      <c r="F55" s="315">
        <f t="shared" si="10"/>
        <v>10363</v>
      </c>
      <c r="G55" s="315">
        <f t="shared" si="10"/>
        <v>9845</v>
      </c>
      <c r="H55" s="315"/>
      <c r="I55" s="315">
        <f t="shared" si="8"/>
        <v>518</v>
      </c>
      <c r="J55" s="325">
        <f>IF(OR(B55&lt;=0,C55&lt;=0),"na   ",IF((B55/C55)-1&gt;GASB34GovtFundsBS!$G$70,"NM  ",(B55/C55)-1))</f>
        <v>5.2615540883697243E-2</v>
      </c>
      <c r="K55" s="315">
        <f t="shared" si="11"/>
        <v>0</v>
      </c>
      <c r="L55" s="325" t="str">
        <f>IF(OR(D55&lt;=0,E55&lt;=0),"na   ",IF((D55/E55)-1&gt;GASB34GovtFundsBS!$G$70,"NM  ",(D55/E55)-1))</f>
        <v xml:space="preserve">na   </v>
      </c>
      <c r="M55" s="327">
        <f>IF(OR(G55&lt;=0,F55&lt;=0),"na   ",IF((F55/G55)-1&gt;GASB34GovtFundsBS!$G$70,"NM  ",(F55/G55)-1))</f>
        <v>5.2615540883697243E-2</v>
      </c>
      <c r="N55" s="315"/>
      <c r="O55" s="320"/>
      <c r="P55" s="320"/>
      <c r="Q55" s="323"/>
      <c r="R55" s="313"/>
      <c r="S55" s="1"/>
      <c r="T55" s="1"/>
      <c r="U55" s="1"/>
      <c r="V55" s="1"/>
      <c r="W55" s="1"/>
      <c r="X55" s="1"/>
      <c r="Y55" s="1"/>
      <c r="Z55" s="1"/>
      <c r="AA55" s="1"/>
      <c r="AB55" s="1"/>
      <c r="AC55" s="1"/>
    </row>
    <row r="56" spans="1:29" x14ac:dyDescent="0.2">
      <c r="A56" s="307" t="s">
        <v>115</v>
      </c>
      <c r="B56" s="315">
        <f>GWStmtAct!B30</f>
        <v>1873</v>
      </c>
      <c r="C56" s="315">
        <f>ROUND(+B56*0.95,0)</f>
        <v>1779</v>
      </c>
      <c r="D56" s="315">
        <v>0</v>
      </c>
      <c r="E56" s="315">
        <v>0</v>
      </c>
      <c r="F56" s="315">
        <f t="shared" si="10"/>
        <v>1873</v>
      </c>
      <c r="G56" s="315">
        <f t="shared" si="10"/>
        <v>1779</v>
      </c>
      <c r="H56" s="315"/>
      <c r="I56" s="315">
        <f t="shared" si="8"/>
        <v>94</v>
      </c>
      <c r="J56" s="325">
        <f>IF(OR(B56&lt;=0,C56&lt;=0),"na   ",IF((B56/C56)-1&gt;GASB34GovtFundsBS!$G$70,"NM  ",(B56/C56)-1))</f>
        <v>5.2838673412029191E-2</v>
      </c>
      <c r="K56" s="315">
        <f t="shared" si="11"/>
        <v>0</v>
      </c>
      <c r="L56" s="325" t="str">
        <f>IF(OR(D56&lt;=0,E56&lt;=0),"na   ",IF((D56/E56)-1&gt;GASB34GovtFundsBS!$G$70,"NM  ",(D56/E56)-1))</f>
        <v xml:space="preserve">na   </v>
      </c>
      <c r="M56" s="327">
        <f>IF(OR(G56&lt;=0,F56&lt;=0),"na   ",IF((F56/G56)-1&gt;GASB34GovtFundsBS!$G$70,"NM  ",(F56/G56)-1))</f>
        <v>5.2838673412029191E-2</v>
      </c>
      <c r="N56" s="315"/>
      <c r="O56" s="320"/>
      <c r="P56" s="320"/>
      <c r="Q56" s="315"/>
      <c r="R56" s="313"/>
      <c r="S56" s="1"/>
      <c r="T56" s="1"/>
      <c r="U56" s="1"/>
      <c r="V56" s="1"/>
      <c r="W56" s="1"/>
      <c r="X56" s="1"/>
      <c r="Y56" s="1"/>
      <c r="Z56" s="1"/>
      <c r="AA56" s="1"/>
      <c r="AB56" s="1"/>
      <c r="AC56" s="1"/>
    </row>
    <row r="57" spans="1:29" x14ac:dyDescent="0.2">
      <c r="A57" s="307" t="s">
        <v>32</v>
      </c>
      <c r="B57" s="315">
        <f>GWStmtAct!B31</f>
        <v>163568</v>
      </c>
      <c r="C57" s="315">
        <f>ROUND(+B57*0.95,0)</f>
        <v>155390</v>
      </c>
      <c r="D57" s="315">
        <v>0</v>
      </c>
      <c r="E57" s="315">
        <v>0</v>
      </c>
      <c r="F57" s="315">
        <f t="shared" si="10"/>
        <v>163568</v>
      </c>
      <c r="G57" s="315">
        <f t="shared" si="10"/>
        <v>155390</v>
      </c>
      <c r="H57" s="315"/>
      <c r="I57" s="315">
        <f t="shared" si="8"/>
        <v>8178</v>
      </c>
      <c r="J57" s="325">
        <f>IF(OR(B57&lt;=0,C57&lt;=0),"na   ",IF((B57/C57)-1&gt;GASB34GovtFundsBS!$G$70,"NM  ",(B57/C57)-1))</f>
        <v>5.2628869296608594E-2</v>
      </c>
      <c r="K57" s="315">
        <f t="shared" si="11"/>
        <v>0</v>
      </c>
      <c r="L57" s="325" t="str">
        <f>IF(OR(D57&lt;=0,E57&lt;=0),"na   ",IF((D57/E57)-1&gt;GASB34GovtFundsBS!$G$70,"NM  ",(D57/E57)-1))</f>
        <v xml:space="preserve">na   </v>
      </c>
      <c r="M57" s="327">
        <f>IF(OR(G57&lt;=0,F57&lt;=0),"na   ",IF((F57/G57)-1&gt;GASB34GovtFundsBS!$G$70,"NM  ",(F57/G57)-1))</f>
        <v>5.2628869296608594E-2</v>
      </c>
      <c r="N57" s="315"/>
      <c r="O57" s="320"/>
      <c r="P57" s="320"/>
      <c r="Q57" s="315"/>
      <c r="R57" s="313"/>
      <c r="S57" s="1"/>
      <c r="T57" s="1"/>
      <c r="U57" s="1"/>
      <c r="V57" s="1"/>
      <c r="W57" s="1"/>
      <c r="X57" s="1"/>
      <c r="Y57" s="1"/>
      <c r="Z57" s="1"/>
      <c r="AA57" s="1"/>
      <c r="AB57" s="1"/>
      <c r="AC57" s="1"/>
    </row>
    <row r="58" spans="1:29" x14ac:dyDescent="0.2">
      <c r="A58" s="329" t="s">
        <v>118</v>
      </c>
      <c r="B58" s="315"/>
      <c r="C58" s="315"/>
      <c r="D58" s="315"/>
      <c r="E58" s="315"/>
      <c r="F58" s="315"/>
      <c r="G58" s="315"/>
      <c r="H58" s="315"/>
      <c r="I58" s="315"/>
      <c r="J58" s="325"/>
      <c r="K58" s="325"/>
      <c r="L58" s="325"/>
      <c r="M58" s="332"/>
      <c r="N58" s="315"/>
      <c r="O58" s="320"/>
      <c r="P58" s="320"/>
      <c r="Q58" s="315"/>
      <c r="R58" s="313"/>
      <c r="S58" s="1"/>
      <c r="T58" s="1"/>
      <c r="U58" s="1"/>
      <c r="V58" s="1"/>
      <c r="W58" s="1"/>
      <c r="X58" s="1"/>
      <c r="Y58" s="1"/>
      <c r="Z58" s="1"/>
      <c r="AA58" s="1"/>
      <c r="AB58" s="1"/>
      <c r="AC58" s="1"/>
    </row>
    <row r="59" spans="1:29" ht="15" x14ac:dyDescent="0.35">
      <c r="A59" s="307" t="s">
        <v>586</v>
      </c>
      <c r="B59" s="315">
        <v>0</v>
      </c>
      <c r="C59" s="315">
        <v>0</v>
      </c>
      <c r="D59" s="315">
        <f>GWStmtAct!B35</f>
        <v>1056736</v>
      </c>
      <c r="E59" s="315">
        <v>1006204</v>
      </c>
      <c r="F59" s="315">
        <f>+D59+B59</f>
        <v>1056736</v>
      </c>
      <c r="G59" s="315">
        <f>+E59+C59</f>
        <v>1006204</v>
      </c>
      <c r="H59" s="315"/>
      <c r="I59" s="315">
        <f t="shared" si="8"/>
        <v>0</v>
      </c>
      <c r="J59" s="325" t="str">
        <f>IF(OR(B59&lt;=0,C59&lt;=0),"na   ",IF((B59/C59)-1&gt;GASB34GovtFundsBS!$G$70,"NM  ",(B59/C59)-1))</f>
        <v xml:space="preserve">na   </v>
      </c>
      <c r="K59" s="315">
        <f>+D59-E59</f>
        <v>50532</v>
      </c>
      <c r="L59" s="325">
        <f>IF(OR(D59&lt;=0,E59&lt;=0),"na   ",IF((D59/E59)-1&gt;GASB34GovtFundsBS!$G$70,"NM  ",(D59/E59)-1))</f>
        <v>5.022043243715979E-2</v>
      </c>
      <c r="M59" s="327">
        <f>IF(OR(G59&lt;=0,F59&lt;=0),"na   ",IF((F59/G59)-1&gt;GASB34GovtFundsBS!$G$70,"NM  ",(F59/G59)-1))</f>
        <v>5.022043243715979E-2</v>
      </c>
      <c r="N59" s="315"/>
      <c r="O59" s="320"/>
      <c r="P59" s="320"/>
      <c r="Q59" s="316"/>
      <c r="R59" s="314"/>
      <c r="S59" s="1"/>
      <c r="T59" s="1"/>
      <c r="U59" s="1"/>
      <c r="V59" s="1"/>
      <c r="W59" s="1"/>
      <c r="X59" s="1"/>
      <c r="Y59" s="1"/>
      <c r="Z59" s="1"/>
      <c r="AA59" s="1"/>
      <c r="AB59" s="1"/>
      <c r="AC59" s="1"/>
    </row>
    <row r="60" spans="1:29" ht="15" x14ac:dyDescent="0.35">
      <c r="A60" s="307" t="s">
        <v>120</v>
      </c>
      <c r="B60" s="316">
        <v>0</v>
      </c>
      <c r="C60" s="316">
        <v>0</v>
      </c>
      <c r="D60" s="316">
        <f>GWStmtAct!B36</f>
        <v>157283</v>
      </c>
      <c r="E60" s="316">
        <v>141085</v>
      </c>
      <c r="F60" s="316">
        <f>+D60+B60</f>
        <v>157283</v>
      </c>
      <c r="G60" s="316">
        <f>+E60+C60</f>
        <v>141085</v>
      </c>
      <c r="H60" s="316"/>
      <c r="I60" s="315">
        <f t="shared" si="8"/>
        <v>0</v>
      </c>
      <c r="J60" s="325" t="str">
        <f>IF(OR(B60&lt;=0,C60&lt;=0),"na   ",IF((B60/C60)-1&gt;GASB34GovtFundsBS!$G$70,"NM  ",(B60/C60)-1))</f>
        <v xml:space="preserve">na   </v>
      </c>
      <c r="K60" s="315">
        <f>+D60-E60</f>
        <v>16198</v>
      </c>
      <c r="L60" s="325">
        <f>IF(OR(D60&lt;=0,E60&lt;=0),"na   ",IF((D60/E60)-1&gt;GASB34GovtFundsBS!$G$70,"NM  ",(D60/E60)-1))</f>
        <v>0.11481022078888614</v>
      </c>
      <c r="M60" s="327">
        <f>IF(OR(G60&lt;=0,F60&lt;=0),"na   ",IF((F60/G60)-1&gt;GASB34GovtFundsBS!$G$70,"NM  ",(F60/G60)-1))</f>
        <v>0.11481022078888614</v>
      </c>
      <c r="N60" s="316"/>
      <c r="O60" s="320"/>
      <c r="P60" s="330"/>
      <c r="Q60" s="330"/>
      <c r="R60" s="314"/>
      <c r="S60" s="1"/>
      <c r="T60" s="1"/>
      <c r="U60" s="1"/>
      <c r="V60" s="1"/>
      <c r="W60" s="1"/>
      <c r="X60" s="1"/>
      <c r="Y60" s="1"/>
      <c r="Z60" s="1"/>
      <c r="AA60" s="1"/>
      <c r="AB60" s="1"/>
      <c r="AC60" s="1"/>
    </row>
    <row r="61" spans="1:29" ht="15" x14ac:dyDescent="0.35">
      <c r="A61" s="329" t="s">
        <v>587</v>
      </c>
      <c r="B61" s="316">
        <f t="shared" ref="B61:G61" si="12">SUM(B52:B60)</f>
        <v>153391766</v>
      </c>
      <c r="C61" s="316">
        <f t="shared" si="12"/>
        <v>185648034</v>
      </c>
      <c r="D61" s="316">
        <f t="shared" si="12"/>
        <v>1214019</v>
      </c>
      <c r="E61" s="316">
        <f>SUM(E52:E60)</f>
        <v>1147289</v>
      </c>
      <c r="F61" s="316">
        <f t="shared" si="12"/>
        <v>154605785</v>
      </c>
      <c r="G61" s="316">
        <f t="shared" si="12"/>
        <v>186795323</v>
      </c>
      <c r="H61" s="316"/>
      <c r="I61" s="315">
        <f t="shared" si="8"/>
        <v>-32256268</v>
      </c>
      <c r="J61" s="325">
        <f>IF(OR(B61&lt;=0,C61&lt;=0),"na   ",IF((B61/C61)-1&gt;GASB34GovtFundsBS!$G$70,"NM  ",(B61/C61)-1))</f>
        <v>-0.1737495803483704</v>
      </c>
      <c r="K61" s="315">
        <f>+D61-E61</f>
        <v>66730</v>
      </c>
      <c r="L61" s="325">
        <f>IF(OR(D61&lt;=0,E61&lt;=0),"na   ",IF((D61/E61)-1&gt;GASB34GovtFundsBS!$G$70,"NM  ",(D61/E61)-1))</f>
        <v>5.8163200379329094E-2</v>
      </c>
      <c r="M61" s="327">
        <f>IF(OR(G61&lt;=0,F61&lt;=0),"na   ",IF((F61/G61)-1&gt;GASB34GovtFundsBS!$G$70,"NM  ",(F61/G61)-1))</f>
        <v>-0.17232518182481471</v>
      </c>
      <c r="N61" s="316"/>
      <c r="O61" s="320"/>
      <c r="P61" s="330"/>
      <c r="Q61" s="330"/>
      <c r="R61" s="313"/>
      <c r="S61" s="1"/>
      <c r="T61" s="1"/>
      <c r="U61" s="1"/>
      <c r="V61" s="1"/>
      <c r="W61" s="1"/>
      <c r="X61" s="1"/>
      <c r="Y61" s="1"/>
      <c r="Z61" s="1"/>
      <c r="AA61" s="1"/>
      <c r="AB61" s="1"/>
      <c r="AC61" s="1"/>
    </row>
    <row r="62" spans="1:29" ht="25.5" x14ac:dyDescent="0.35">
      <c r="A62" s="333" t="s">
        <v>588</v>
      </c>
      <c r="B62" s="315">
        <f>GWStmtAct!G51</f>
        <v>-369090</v>
      </c>
      <c r="C62" s="315">
        <v>0</v>
      </c>
      <c r="D62" s="315">
        <f>GWStmtAct!H51</f>
        <v>0</v>
      </c>
      <c r="E62" s="315">
        <v>0</v>
      </c>
      <c r="F62" s="315">
        <f t="shared" ref="F62:G64" si="13">+D62+B62</f>
        <v>-369090</v>
      </c>
      <c r="G62" s="315">
        <f t="shared" si="13"/>
        <v>0</v>
      </c>
      <c r="H62" s="315"/>
      <c r="I62" s="315"/>
      <c r="J62" s="315"/>
      <c r="K62" s="315"/>
      <c r="L62" s="315"/>
      <c r="M62" s="315"/>
      <c r="N62" s="315"/>
      <c r="O62" s="320"/>
      <c r="P62" s="330"/>
      <c r="Q62" s="330"/>
      <c r="R62" s="314"/>
      <c r="S62" s="1"/>
      <c r="T62" s="1"/>
      <c r="U62" s="1"/>
      <c r="V62" s="1"/>
      <c r="W62" s="1"/>
      <c r="X62" s="1"/>
      <c r="Y62" s="1"/>
      <c r="Z62" s="1"/>
      <c r="AA62" s="1"/>
      <c r="AB62" s="1"/>
      <c r="AC62" s="1"/>
    </row>
    <row r="63" spans="1:29" ht="15" x14ac:dyDescent="0.35">
      <c r="A63" s="320" t="s">
        <v>589</v>
      </c>
      <c r="B63" s="316">
        <f>GWStmtAct!G52</f>
        <v>-14000</v>
      </c>
      <c r="C63" s="316">
        <v>-14000</v>
      </c>
      <c r="D63" s="316">
        <f>GWStmtAct!H52</f>
        <v>14000</v>
      </c>
      <c r="E63" s="316">
        <v>14000</v>
      </c>
      <c r="F63" s="316">
        <f t="shared" si="13"/>
        <v>0</v>
      </c>
      <c r="G63" s="316">
        <f t="shared" si="13"/>
        <v>0</v>
      </c>
      <c r="H63" s="316"/>
      <c r="I63" s="316"/>
      <c r="J63" s="316"/>
      <c r="K63" s="316"/>
      <c r="L63" s="316"/>
      <c r="M63" s="316"/>
      <c r="N63" s="316"/>
      <c r="O63" s="320"/>
      <c r="P63" s="465" t="s">
        <v>614</v>
      </c>
      <c r="Q63" s="465"/>
      <c r="R63" s="313"/>
      <c r="S63" s="1"/>
      <c r="T63" s="1"/>
      <c r="U63" s="1"/>
      <c r="V63" s="1"/>
      <c r="W63" s="1"/>
      <c r="X63" s="1"/>
      <c r="Y63" s="1"/>
      <c r="Z63" s="1"/>
      <c r="AA63" s="1"/>
      <c r="AB63" s="1"/>
      <c r="AC63" s="1"/>
    </row>
    <row r="64" spans="1:29" ht="18" customHeight="1" x14ac:dyDescent="0.2">
      <c r="A64" s="338" t="s">
        <v>590</v>
      </c>
      <c r="B64" s="339">
        <f>+B48-B61+B62+B63</f>
        <v>8035206</v>
      </c>
      <c r="C64" s="339">
        <f>+C48-C61+C62+C63</f>
        <v>2458320</v>
      </c>
      <c r="D64" s="339">
        <f>+D48-D61+D62+D63</f>
        <v>52283</v>
      </c>
      <c r="E64" s="339">
        <f>+E48-E61+E62+E63</f>
        <v>93967</v>
      </c>
      <c r="F64" s="339">
        <f t="shared" si="13"/>
        <v>8087489</v>
      </c>
      <c r="G64" s="339">
        <f t="shared" si="13"/>
        <v>2552287</v>
      </c>
      <c r="H64" s="339"/>
      <c r="I64" s="340">
        <f>+B64-C64</f>
        <v>5576886</v>
      </c>
      <c r="J64" s="327">
        <f>IF(OR(B64&lt;=0,C64&lt;=0),"na   ",IF((B64/C64)-1&gt;GASB34GovtFundsBS!$G$70,"NM  ",(B64/C64)-1))</f>
        <v>2.2685761007517331</v>
      </c>
      <c r="K64" s="109">
        <f>+D64-E64</f>
        <v>-41684</v>
      </c>
      <c r="L64" s="325">
        <f>IF(OR(D64&lt;=0,E64&lt;=0),"na   ",IF((D64/E64)-1&gt;GASB34GovtFundsBS!$G$70,"NM  ",(D64/E64)-1))</f>
        <v>-0.44360254131769661</v>
      </c>
      <c r="M64" s="327">
        <f>IF(OR(G64&lt;=0,F64&lt;=0),"na   ",IF((F64/G64)-1&gt;GASB34GovtFundsBS!$G$70,"NM  ",(F64/G64)-1))</f>
        <v>2.1687224046512013</v>
      </c>
      <c r="N64" s="315"/>
      <c r="O64" s="320"/>
      <c r="P64" s="320" t="s">
        <v>612</v>
      </c>
      <c r="Q64" s="323">
        <f>F52</f>
        <v>127484035</v>
      </c>
      <c r="R64" s="313"/>
      <c r="S64" s="1"/>
      <c r="T64" s="1"/>
      <c r="U64" s="1"/>
      <c r="V64" s="1"/>
      <c r="W64" s="1"/>
      <c r="X64" s="1"/>
      <c r="Y64" s="1"/>
      <c r="Z64" s="1"/>
      <c r="AA64" s="1"/>
      <c r="AB64" s="1"/>
      <c r="AC64" s="1"/>
    </row>
    <row r="65" spans="1:29" ht="15" x14ac:dyDescent="0.35">
      <c r="A65" s="7" t="s">
        <v>286</v>
      </c>
      <c r="B65" s="315">
        <f>GWStmtAct!G55</f>
        <v>6006132</v>
      </c>
      <c r="C65" s="315">
        <f>C67-C64</f>
        <v>3547812</v>
      </c>
      <c r="D65" s="315">
        <f>GWStmtAct!H55</f>
        <v>125569</v>
      </c>
      <c r="E65" s="315">
        <f>E67-E64</f>
        <v>31602</v>
      </c>
      <c r="F65" s="315">
        <f>+D65+B65</f>
        <v>6131701</v>
      </c>
      <c r="G65" s="315">
        <f>G67-G64</f>
        <v>3579414</v>
      </c>
      <c r="H65" s="315"/>
      <c r="I65" s="315"/>
      <c r="J65" s="315"/>
      <c r="K65" s="315"/>
      <c r="L65" s="315"/>
      <c r="M65" s="315"/>
      <c r="N65" s="315"/>
      <c r="O65" s="320"/>
      <c r="P65" s="320" t="s">
        <v>613</v>
      </c>
      <c r="Q65" s="323">
        <f>F53</f>
        <v>24682937</v>
      </c>
      <c r="R65" s="314"/>
      <c r="S65" s="1"/>
      <c r="T65" s="1"/>
      <c r="U65" s="1"/>
      <c r="V65" s="1"/>
      <c r="W65" s="1"/>
      <c r="X65" s="1"/>
      <c r="Y65" s="1"/>
      <c r="Z65" s="1"/>
      <c r="AA65" s="1"/>
      <c r="AB65" s="1"/>
      <c r="AC65" s="1"/>
    </row>
    <row r="66" spans="1:29" ht="15" x14ac:dyDescent="0.35">
      <c r="A66" s="7" t="s">
        <v>591</v>
      </c>
      <c r="B66" s="316">
        <v>0</v>
      </c>
      <c r="C66" s="316">
        <v>0</v>
      </c>
      <c r="D66" s="316">
        <v>0</v>
      </c>
      <c r="E66" s="316">
        <v>0</v>
      </c>
      <c r="F66" s="316">
        <f>B66+D66</f>
        <v>0</v>
      </c>
      <c r="G66" s="316">
        <v>0</v>
      </c>
      <c r="H66" s="316"/>
      <c r="I66" s="316"/>
      <c r="J66" s="316"/>
      <c r="K66" s="316"/>
      <c r="L66" s="316"/>
      <c r="M66" s="316"/>
      <c r="N66" s="316"/>
      <c r="O66" s="320"/>
      <c r="P66" s="320" t="s">
        <v>616</v>
      </c>
      <c r="Q66" s="323">
        <f>SUM(F54:F57)+SUM(F59:F60)</f>
        <v>2438813</v>
      </c>
      <c r="R66" s="321"/>
      <c r="S66" s="1"/>
      <c r="T66" s="1"/>
      <c r="U66" s="1"/>
      <c r="V66" s="1"/>
      <c r="W66" s="1"/>
      <c r="X66" s="1"/>
      <c r="Y66" s="1"/>
      <c r="Z66" s="1"/>
      <c r="AA66" s="1"/>
      <c r="AB66" s="1"/>
      <c r="AC66" s="1"/>
    </row>
    <row r="67" spans="1:29" ht="15" x14ac:dyDescent="0.35">
      <c r="A67" s="320" t="s">
        <v>134</v>
      </c>
      <c r="B67" s="334">
        <f>B64+B65+B66</f>
        <v>14041338</v>
      </c>
      <c r="C67" s="334">
        <f>B65</f>
        <v>6006132</v>
      </c>
      <c r="D67" s="335">
        <f>D64+D65+D66</f>
        <v>177852</v>
      </c>
      <c r="E67" s="334">
        <f>D65</f>
        <v>125569</v>
      </c>
      <c r="F67" s="334">
        <f>B67+D67</f>
        <v>14219190</v>
      </c>
      <c r="G67" s="334">
        <f>F65</f>
        <v>6131701</v>
      </c>
      <c r="H67" s="334"/>
      <c r="I67" s="334"/>
      <c r="J67" s="334"/>
      <c r="K67" s="334"/>
      <c r="L67" s="334"/>
      <c r="M67" s="334"/>
      <c r="N67" s="334"/>
      <c r="O67" s="320"/>
      <c r="P67" s="320"/>
      <c r="Q67" s="320"/>
      <c r="R67" s="1"/>
      <c r="S67" s="1"/>
      <c r="T67" s="1"/>
      <c r="U67" s="1"/>
      <c r="V67" s="1"/>
      <c r="W67" s="1"/>
      <c r="X67" s="1"/>
      <c r="Y67" s="1"/>
      <c r="Z67" s="1"/>
      <c r="AA67" s="1"/>
      <c r="AB67" s="1"/>
      <c r="AC67" s="1"/>
    </row>
    <row r="68" spans="1:29" x14ac:dyDescent="0.2">
      <c r="A68" s="320"/>
      <c r="B68" s="320"/>
      <c r="C68" s="320"/>
      <c r="D68" s="109"/>
      <c r="E68" s="320"/>
      <c r="F68" s="320"/>
      <c r="G68" s="320"/>
      <c r="H68" s="320"/>
      <c r="I68" s="320"/>
      <c r="J68" s="320"/>
      <c r="K68" s="350"/>
      <c r="L68" s="350"/>
      <c r="M68" s="320"/>
      <c r="N68" s="320"/>
      <c r="O68" s="320"/>
      <c r="P68" s="320"/>
      <c r="Q68" s="320"/>
      <c r="R68" s="1"/>
      <c r="S68" s="1"/>
      <c r="T68" s="1"/>
      <c r="U68" s="1"/>
      <c r="V68" s="1"/>
      <c r="W68" s="1"/>
      <c r="X68" s="1"/>
      <c r="Y68" s="1"/>
      <c r="Z68" s="1"/>
      <c r="AA68" s="1"/>
      <c r="AB68" s="1"/>
      <c r="AC68" s="1"/>
    </row>
    <row r="69" spans="1:29" x14ac:dyDescent="0.2">
      <c r="A69" s="320"/>
      <c r="B69" s="320"/>
      <c r="C69" s="320"/>
      <c r="D69" s="320"/>
      <c r="E69" s="320"/>
      <c r="F69" s="320"/>
      <c r="G69" s="320"/>
      <c r="H69" s="320"/>
      <c r="I69" s="320"/>
      <c r="J69" s="320"/>
      <c r="K69" s="350"/>
      <c r="L69" s="350"/>
      <c r="M69" s="320"/>
      <c r="N69" s="320"/>
      <c r="O69" s="320"/>
      <c r="P69" s="320"/>
      <c r="Q69" s="320"/>
      <c r="R69" s="1"/>
      <c r="S69" s="1"/>
      <c r="T69" s="1"/>
      <c r="U69" s="1"/>
      <c r="V69" s="1"/>
      <c r="W69" s="1"/>
      <c r="X69" s="1"/>
      <c r="Y69" s="1"/>
      <c r="Z69" s="1"/>
      <c r="AA69" s="1"/>
      <c r="AB69" s="1"/>
      <c r="AC69" s="1"/>
    </row>
    <row r="70" spans="1:29" ht="25.5" x14ac:dyDescent="0.2">
      <c r="A70" s="7" t="s">
        <v>605</v>
      </c>
      <c r="B70" s="322" t="str">
        <f>IF(B65-GWStmtAct!G55=0,"Yes",(B65-GWStmtAct!G55))</f>
        <v>Yes</v>
      </c>
      <c r="C70" s="320"/>
      <c r="D70" s="322" t="str">
        <f>IF(D65-GWStmtAct!H55=0,"Yes",(D65-GWStmtAct!H55))</f>
        <v>Yes</v>
      </c>
      <c r="E70" s="320"/>
      <c r="F70" s="322" t="str">
        <f>IF(F65-GWStmtAct!I55=0,"Yes",(F65-GWStmtAct!I55))</f>
        <v>Yes</v>
      </c>
      <c r="G70" s="320"/>
      <c r="H70" s="320"/>
      <c r="I70" s="320"/>
      <c r="J70" s="320"/>
      <c r="K70" s="350"/>
      <c r="L70" s="350"/>
      <c r="M70" s="320"/>
      <c r="N70" s="320"/>
      <c r="O70" s="320"/>
      <c r="P70" s="320"/>
      <c r="Q70" s="320"/>
      <c r="R70" s="1"/>
      <c r="S70" s="1"/>
      <c r="T70" s="1"/>
      <c r="U70" s="1"/>
      <c r="V70" s="1"/>
      <c r="W70" s="1"/>
      <c r="X70" s="1"/>
      <c r="Y70" s="1"/>
      <c r="Z70" s="1"/>
      <c r="AA70" s="1"/>
      <c r="AB70" s="1"/>
      <c r="AC70" s="1"/>
    </row>
    <row r="71" spans="1:29" s="306" customFormat="1" ht="25.5" x14ac:dyDescent="0.2">
      <c r="A71" s="7" t="s">
        <v>606</v>
      </c>
      <c r="B71" s="330"/>
      <c r="C71" s="322" t="str">
        <f>IF(C64+C65+C66-C67=0,"Yes",C64+C65+C66-C67)</f>
        <v>Yes</v>
      </c>
      <c r="D71" s="330"/>
      <c r="E71" s="322" t="str">
        <f>IF(E64+E65+E66-E67=0,"Yes",E64+E65+E66-E67)</f>
        <v>Yes</v>
      </c>
      <c r="F71" s="330"/>
      <c r="G71" s="322" t="str">
        <f>IF(G64+G65+G66-G67=0,"Yes",G64+G65+G66-G67)</f>
        <v>Yes</v>
      </c>
      <c r="H71" s="322"/>
      <c r="I71" s="322"/>
      <c r="J71" s="322"/>
      <c r="K71" s="322"/>
      <c r="L71" s="322"/>
      <c r="M71" s="322"/>
      <c r="N71" s="322"/>
      <c r="O71" s="320"/>
      <c r="P71" s="320"/>
      <c r="Q71" s="320"/>
      <c r="R71" s="1"/>
      <c r="S71" s="1"/>
      <c r="T71" s="1"/>
      <c r="U71" s="1"/>
      <c r="V71" s="1"/>
      <c r="W71" s="1"/>
      <c r="X71" s="1"/>
      <c r="Y71" s="1"/>
      <c r="Z71" s="1"/>
      <c r="AA71" s="1"/>
      <c r="AB71" s="1"/>
      <c r="AC71" s="1"/>
    </row>
    <row r="72" spans="1:29" s="306" customFormat="1" ht="25.5" x14ac:dyDescent="0.2">
      <c r="A72" s="7" t="s">
        <v>607</v>
      </c>
      <c r="B72" s="322"/>
      <c r="C72" s="322" t="str">
        <f>IF(B65-C67=0,"Yes",B65-C67)</f>
        <v>Yes</v>
      </c>
      <c r="D72" s="322"/>
      <c r="E72" s="322" t="str">
        <f>IF(D65-E67=0,"Yes",D65-E67)</f>
        <v>Yes</v>
      </c>
      <c r="F72" s="322"/>
      <c r="G72" s="322" t="str">
        <f>IF(F65-G67=0,"Yes",F65-G67)</f>
        <v>Yes</v>
      </c>
      <c r="H72" s="322"/>
      <c r="I72" s="322"/>
      <c r="J72" s="322"/>
      <c r="K72" s="322"/>
      <c r="L72" s="322"/>
      <c r="M72" s="322"/>
      <c r="N72" s="322"/>
      <c r="O72" s="320"/>
      <c r="P72" s="320"/>
      <c r="Q72" s="320"/>
      <c r="R72" s="1"/>
      <c r="S72" s="1"/>
      <c r="T72" s="1"/>
      <c r="U72" s="1"/>
      <c r="V72" s="1"/>
      <c r="W72" s="1"/>
      <c r="X72" s="1"/>
      <c r="Y72" s="1"/>
      <c r="Z72" s="1"/>
      <c r="AA72" s="1"/>
      <c r="AB72" s="1"/>
      <c r="AC72" s="1"/>
    </row>
    <row r="73" spans="1:29" ht="25.5" x14ac:dyDescent="0.2">
      <c r="A73" s="7" t="s">
        <v>602</v>
      </c>
      <c r="B73" s="336" t="str">
        <f>IF(B64-GWStmtAct!G54=0,"Yes",B64-GWStmtAct!G54)</f>
        <v>Yes</v>
      </c>
      <c r="C73" s="322"/>
      <c r="D73" s="336" t="str">
        <f>IF(D64-GWStmtAct!H54=0,"Yes",D64-GWStmtAct!H54)</f>
        <v>Yes</v>
      </c>
      <c r="E73" s="320"/>
      <c r="F73" s="336" t="str">
        <f>IF(F64-GWStmtAct!I54=0,"Yes",F64-GWStmtAct!I54)</f>
        <v>Yes</v>
      </c>
      <c r="G73" s="320"/>
      <c r="H73" s="320"/>
      <c r="I73" s="320"/>
      <c r="J73" s="320"/>
      <c r="K73" s="350"/>
      <c r="L73" s="350"/>
      <c r="M73" s="320"/>
      <c r="N73" s="320"/>
      <c r="O73" s="320"/>
      <c r="P73" s="320"/>
      <c r="Q73" s="320"/>
      <c r="R73" s="1"/>
      <c r="S73" s="1"/>
      <c r="T73" s="1"/>
      <c r="U73" s="1"/>
      <c r="V73" s="1"/>
      <c r="W73" s="1"/>
      <c r="X73" s="1"/>
      <c r="Y73" s="1"/>
      <c r="Z73" s="1"/>
      <c r="AA73" s="1"/>
      <c r="AB73" s="1"/>
      <c r="AC73" s="1"/>
    </row>
    <row r="74" spans="1:29" x14ac:dyDescent="0.2">
      <c r="A74" s="320" t="s">
        <v>631</v>
      </c>
      <c r="B74" s="356" t="str">
        <f t="shared" ref="B74:G74" si="14">IF(B48-B61+B62+B63-B64=0,"Yes",B48-B61+B62+B63-B64)</f>
        <v>Yes</v>
      </c>
      <c r="C74" s="356" t="str">
        <f t="shared" si="14"/>
        <v>Yes</v>
      </c>
      <c r="D74" s="356" t="str">
        <f t="shared" si="14"/>
        <v>Yes</v>
      </c>
      <c r="E74" s="356" t="str">
        <f t="shared" si="14"/>
        <v>Yes</v>
      </c>
      <c r="F74" s="356" t="str">
        <f t="shared" si="14"/>
        <v>Yes</v>
      </c>
      <c r="G74" s="356" t="str">
        <f t="shared" si="14"/>
        <v>Yes</v>
      </c>
      <c r="H74" s="320"/>
      <c r="I74" s="320"/>
      <c r="J74" s="320"/>
      <c r="K74" s="350"/>
      <c r="L74" s="350"/>
      <c r="M74" s="320"/>
      <c r="N74" s="320"/>
      <c r="O74" s="320"/>
      <c r="P74" s="320"/>
      <c r="Q74" s="320"/>
      <c r="R74" s="1"/>
      <c r="S74" s="1"/>
      <c r="T74" s="1"/>
      <c r="U74" s="1"/>
      <c r="V74" s="1"/>
      <c r="W74" s="1"/>
      <c r="X74" s="1"/>
      <c r="Y74" s="1"/>
      <c r="Z74" s="1"/>
      <c r="AA74" s="1"/>
      <c r="AB74" s="1"/>
      <c r="AC74" s="1"/>
    </row>
    <row r="75" spans="1:29" x14ac:dyDescent="0.2">
      <c r="A75" s="320"/>
      <c r="B75" s="320"/>
      <c r="C75" s="320"/>
      <c r="D75" s="320"/>
      <c r="E75" s="320"/>
      <c r="F75" s="320"/>
      <c r="G75" s="320"/>
      <c r="H75" s="320"/>
      <c r="I75" s="320"/>
      <c r="J75" s="320"/>
      <c r="K75" s="350"/>
      <c r="L75" s="350"/>
      <c r="M75" s="320"/>
      <c r="N75" s="320"/>
      <c r="O75" s="320"/>
      <c r="P75" s="320"/>
      <c r="Q75" s="320"/>
      <c r="R75" s="1"/>
      <c r="S75" s="1"/>
      <c r="T75" s="1"/>
      <c r="U75" s="1"/>
      <c r="V75" s="1"/>
      <c r="W75" s="1"/>
      <c r="X75" s="1"/>
      <c r="Y75" s="1"/>
      <c r="Z75" s="1"/>
      <c r="AA75" s="1"/>
      <c r="AB75" s="1"/>
      <c r="AC75" s="1"/>
    </row>
    <row r="76" spans="1:29" x14ac:dyDescent="0.2">
      <c r="A76" s="466" t="s">
        <v>592</v>
      </c>
      <c r="B76" s="466"/>
      <c r="C76" s="466"/>
      <c r="D76" s="466"/>
      <c r="E76" s="466"/>
      <c r="F76" s="466"/>
      <c r="G76" s="467"/>
      <c r="H76" s="320"/>
      <c r="I76" s="320"/>
      <c r="J76" s="320"/>
      <c r="K76" s="350"/>
      <c r="L76" s="350"/>
      <c r="M76" s="320"/>
      <c r="N76" s="320"/>
      <c r="O76" s="320"/>
      <c r="P76" s="320"/>
      <c r="Q76" s="320"/>
      <c r="R76" s="1"/>
      <c r="S76" s="1"/>
      <c r="T76" s="1"/>
      <c r="U76" s="1"/>
      <c r="V76" s="1"/>
      <c r="W76" s="1"/>
      <c r="X76" s="1"/>
      <c r="Y76" s="1"/>
      <c r="Z76" s="1"/>
      <c r="AA76" s="1"/>
      <c r="AB76" s="1"/>
      <c r="AC76" s="1"/>
    </row>
    <row r="77" spans="1:29" x14ac:dyDescent="0.2">
      <c r="A77" s="466" t="s">
        <v>593</v>
      </c>
      <c r="B77" s="466"/>
      <c r="C77" s="466"/>
      <c r="D77" s="466"/>
      <c r="E77" s="466"/>
      <c r="F77" s="466"/>
      <c r="G77" s="467"/>
      <c r="H77" s="320"/>
      <c r="I77" s="320"/>
      <c r="J77" s="320"/>
      <c r="K77" s="350"/>
      <c r="L77" s="350"/>
      <c r="M77" s="320"/>
      <c r="N77" s="320"/>
      <c r="O77" s="320"/>
      <c r="P77" s="320"/>
      <c r="Q77" s="320"/>
      <c r="R77" s="1"/>
      <c r="S77" s="1"/>
      <c r="T77" s="1"/>
      <c r="U77" s="1"/>
      <c r="V77" s="1"/>
      <c r="W77" s="1"/>
      <c r="X77" s="1"/>
      <c r="Y77" s="1"/>
      <c r="Z77" s="1"/>
      <c r="AA77" s="1"/>
      <c r="AB77" s="1"/>
      <c r="AC77" s="1"/>
    </row>
    <row r="78" spans="1:29" x14ac:dyDescent="0.2">
      <c r="A78" s="463" t="s">
        <v>624</v>
      </c>
      <c r="B78" s="463"/>
      <c r="C78" s="463"/>
      <c r="D78" s="463"/>
      <c r="E78" s="463"/>
      <c r="F78" s="463"/>
      <c r="G78" s="463"/>
      <c r="H78" s="320"/>
      <c r="I78" s="320"/>
      <c r="J78" s="320"/>
      <c r="K78" s="350"/>
      <c r="L78" s="350"/>
      <c r="M78" s="320"/>
      <c r="N78" s="320"/>
      <c r="O78" s="320"/>
      <c r="P78" s="320"/>
      <c r="Q78" s="320"/>
      <c r="R78" s="1"/>
      <c r="S78" s="1"/>
      <c r="T78" s="1"/>
      <c r="U78" s="1"/>
      <c r="V78" s="1"/>
      <c r="W78" s="1"/>
      <c r="X78" s="1"/>
      <c r="Y78" s="1"/>
      <c r="Z78" s="1"/>
      <c r="AA78" s="1"/>
      <c r="AB78" s="1"/>
      <c r="AC78" s="1"/>
    </row>
    <row r="79" spans="1:29" ht="15" x14ac:dyDescent="0.35">
      <c r="A79" s="320"/>
      <c r="B79" s="464" t="s">
        <v>59</v>
      </c>
      <c r="C79" s="464"/>
      <c r="D79" s="464" t="s">
        <v>60</v>
      </c>
      <c r="E79" s="464"/>
      <c r="F79" s="464" t="s">
        <v>575</v>
      </c>
      <c r="G79" s="464"/>
      <c r="H79" s="308"/>
      <c r="I79" s="463" t="s">
        <v>59</v>
      </c>
      <c r="J79" s="463"/>
      <c r="K79" s="463" t="s">
        <v>60</v>
      </c>
      <c r="L79" s="463"/>
      <c r="M79" s="311" t="s">
        <v>17</v>
      </c>
      <c r="N79" s="308"/>
      <c r="O79" s="320"/>
      <c r="P79" s="320"/>
      <c r="Q79" s="320"/>
      <c r="R79" s="1"/>
      <c r="S79" s="1"/>
      <c r="T79" s="1"/>
      <c r="U79" s="1"/>
      <c r="V79" s="1"/>
      <c r="W79" s="1"/>
      <c r="X79" s="1"/>
      <c r="Y79" s="1"/>
      <c r="Z79" s="1"/>
      <c r="AA79" s="1"/>
      <c r="AB79" s="1"/>
      <c r="AC79" s="1"/>
    </row>
    <row r="80" spans="1:29" ht="15" x14ac:dyDescent="0.35">
      <c r="A80" s="320"/>
      <c r="B80" s="328">
        <f t="shared" ref="B80:G80" si="15">B5</f>
        <v>44377</v>
      </c>
      <c r="C80" s="328">
        <f t="shared" si="15"/>
        <v>44012</v>
      </c>
      <c r="D80" s="328">
        <f t="shared" si="15"/>
        <v>44377</v>
      </c>
      <c r="E80" s="328">
        <f t="shared" si="15"/>
        <v>44012</v>
      </c>
      <c r="F80" s="328">
        <f t="shared" si="15"/>
        <v>44377</v>
      </c>
      <c r="G80" s="328">
        <f t="shared" si="15"/>
        <v>44012</v>
      </c>
      <c r="H80" s="328"/>
      <c r="I80" s="310" t="s">
        <v>621</v>
      </c>
      <c r="J80" s="310" t="s">
        <v>620</v>
      </c>
      <c r="K80" s="349" t="s">
        <v>621</v>
      </c>
      <c r="L80" s="349" t="s">
        <v>620</v>
      </c>
      <c r="M80" s="310" t="s">
        <v>620</v>
      </c>
      <c r="N80" s="328"/>
      <c r="O80" s="320"/>
      <c r="P80" s="320"/>
      <c r="Q80" s="320"/>
      <c r="R80" s="1"/>
      <c r="S80" s="1"/>
      <c r="T80" s="1"/>
      <c r="U80" s="1"/>
      <c r="V80" s="1"/>
      <c r="W80" s="1"/>
      <c r="X80" s="1"/>
      <c r="Y80" s="1"/>
      <c r="Z80" s="1"/>
      <c r="AA80" s="1"/>
      <c r="AB80" s="1"/>
      <c r="AC80" s="1"/>
    </row>
    <row r="81" spans="1:29" x14ac:dyDescent="0.2">
      <c r="A81" s="337" t="s">
        <v>594</v>
      </c>
      <c r="B81" s="109">
        <v>2946000</v>
      </c>
      <c r="C81" s="109">
        <v>2589000</v>
      </c>
      <c r="D81" s="109">
        <v>0</v>
      </c>
      <c r="E81" s="109">
        <v>0</v>
      </c>
      <c r="F81" s="109">
        <f t="shared" ref="F81:F87" si="16">+D81+B81</f>
        <v>2946000</v>
      </c>
      <c r="G81" s="109">
        <f t="shared" ref="G81:G87" si="17">+E81+C81</f>
        <v>2589000</v>
      </c>
      <c r="H81" s="109"/>
      <c r="I81" s="109">
        <f t="shared" ref="I81:I88" si="18">+B81-C81</f>
        <v>357000</v>
      </c>
      <c r="J81" s="325">
        <f>IF(OR(B81&lt;=0,C81&lt;=0),"na   ",IF((B81/C81)-1&gt;GASB34GovtFundsBS!$G$70,"NM  ",(B81/C81)-1))</f>
        <v>0.13789107763615305</v>
      </c>
      <c r="K81" s="109">
        <f>+D81-E81</f>
        <v>0</v>
      </c>
      <c r="L81" s="325" t="str">
        <f>IF(OR(D81&lt;=0,E81&lt;=0),"na   ",IF((D81/E81)-1&gt;GASB34GovtFundsBS!$G$70,"NM  ",(D81/E81)-1))</f>
        <v xml:space="preserve">na   </v>
      </c>
      <c r="M81" s="327">
        <f>IF(OR(G81&lt;=0,F81&lt;=0),"na   ",IF((F81/G81)-1&gt;GASB34GovtFundsBS!$G$70,"NM  ",(F81/G81)-1))</f>
        <v>0.13789107763615305</v>
      </c>
      <c r="N81" s="109"/>
      <c r="O81" s="320"/>
      <c r="P81" s="320"/>
      <c r="Q81" s="320"/>
      <c r="R81" s="1"/>
      <c r="S81" s="1"/>
      <c r="T81" s="1"/>
      <c r="U81" s="1"/>
      <c r="V81" s="1"/>
      <c r="W81" s="1"/>
      <c r="X81" s="1"/>
      <c r="Y81" s="1"/>
      <c r="Z81" s="1"/>
      <c r="AA81" s="1"/>
      <c r="AB81" s="1"/>
      <c r="AC81" s="1"/>
    </row>
    <row r="82" spans="1:29" x14ac:dyDescent="0.2">
      <c r="A82" s="337" t="s">
        <v>595</v>
      </c>
      <c r="B82" s="315">
        <v>911000</v>
      </c>
      <c r="C82" s="315">
        <v>69600</v>
      </c>
      <c r="D82" s="315">
        <v>0</v>
      </c>
      <c r="E82" s="315">
        <v>0</v>
      </c>
      <c r="F82" s="315">
        <f t="shared" si="16"/>
        <v>911000</v>
      </c>
      <c r="G82" s="315">
        <f t="shared" si="17"/>
        <v>69600</v>
      </c>
      <c r="H82" s="315"/>
      <c r="I82" s="315">
        <f t="shared" si="18"/>
        <v>841400</v>
      </c>
      <c r="J82" s="325" t="str">
        <f>IF(OR(B82&lt;=0,C82&lt;=0),"na   ",IF((B82/C82)-1&gt;GASB34GovtFundsBS!$G$70,"NM  ",(B82/C82)-1))</f>
        <v xml:space="preserve">NM  </v>
      </c>
      <c r="K82" s="315">
        <f t="shared" ref="K82:K87" si="19">+D82-E82</f>
        <v>0</v>
      </c>
      <c r="L82" s="325" t="str">
        <f>IF(OR(D82&lt;=0,E82&lt;=0),"na   ",IF((D82/E82)-1&gt;GASB34GovtFundsBS!$G$70,"NM  ",(D82/E82)-1))</f>
        <v xml:space="preserve">na   </v>
      </c>
      <c r="M82" s="327" t="str">
        <f>IF(OR(G82&lt;=0,F82&lt;=0),"na   ",IF((F82/G82)-1&gt;GASB34GovtFundsBS!$G$70,"NM  ",(F82/G82)-1))</f>
        <v xml:space="preserve">NM  </v>
      </c>
      <c r="N82" s="315"/>
      <c r="O82" s="320"/>
      <c r="P82" s="320"/>
      <c r="Q82" s="320"/>
      <c r="R82" s="1"/>
      <c r="S82" s="1"/>
      <c r="T82" s="1"/>
      <c r="U82" s="1"/>
      <c r="V82" s="1"/>
      <c r="W82" s="1"/>
      <c r="X82" s="1"/>
      <c r="Y82" s="1"/>
      <c r="Z82" s="1"/>
      <c r="AA82" s="1"/>
      <c r="AB82" s="1"/>
      <c r="AC82" s="1"/>
    </row>
    <row r="83" spans="1:29" x14ac:dyDescent="0.2">
      <c r="A83" s="337" t="s">
        <v>596</v>
      </c>
      <c r="B83" s="315">
        <v>10541055</v>
      </c>
      <c r="C83" s="315">
        <v>3928700</v>
      </c>
      <c r="D83" s="315">
        <v>0</v>
      </c>
      <c r="E83" s="315">
        <v>0</v>
      </c>
      <c r="F83" s="315">
        <f>+D83+B83</f>
        <v>10541055</v>
      </c>
      <c r="G83" s="315">
        <f t="shared" si="17"/>
        <v>3928700</v>
      </c>
      <c r="H83" s="315"/>
      <c r="I83" s="315">
        <f t="shared" si="18"/>
        <v>6612355</v>
      </c>
      <c r="J83" s="325">
        <f>IF(OR(B83&lt;=0,C83&lt;=0),"na   ",IF((B83/C83)-1&gt;GASB34GovtFundsBS!$G$70,"NM  ",(B83/C83)-1))</f>
        <v>1.6830898261511442</v>
      </c>
      <c r="K83" s="315">
        <f t="shared" si="19"/>
        <v>0</v>
      </c>
      <c r="L83" s="325" t="str">
        <f>IF(OR(D83&lt;=0,E83&lt;=0),"na   ",IF((D83/E83)-1&gt;GASB34GovtFundsBS!$G$70,"NM  ",(D83/E83)-1))</f>
        <v xml:space="preserve">na   </v>
      </c>
      <c r="M83" s="327">
        <f>IF(OR(G83&lt;=0,F83&lt;=0),"na   ",IF((F83/G83)-1&gt;GASB34GovtFundsBS!$G$70,"NM  ",(F83/G83)-1))</f>
        <v>1.6830898261511442</v>
      </c>
      <c r="N83" s="315"/>
      <c r="O83" s="320"/>
      <c r="P83" s="320"/>
      <c r="Q83" s="320"/>
      <c r="R83" s="1"/>
      <c r="S83" s="1"/>
      <c r="T83" s="1"/>
      <c r="U83" s="1"/>
      <c r="V83" s="1"/>
      <c r="W83" s="1"/>
      <c r="X83" s="1"/>
      <c r="Y83" s="1"/>
      <c r="Z83" s="1"/>
      <c r="AA83" s="1"/>
      <c r="AB83" s="1"/>
      <c r="AC83" s="1"/>
    </row>
    <row r="84" spans="1:29" x14ac:dyDescent="0.2">
      <c r="A84" s="337" t="s">
        <v>184</v>
      </c>
      <c r="B84" s="315">
        <v>424608</v>
      </c>
      <c r="C84" s="315">
        <v>267408</v>
      </c>
      <c r="D84" s="315">
        <v>42825</v>
      </c>
      <c r="E84" s="315">
        <v>40425</v>
      </c>
      <c r="F84" s="315">
        <f t="shared" si="16"/>
        <v>467433</v>
      </c>
      <c r="G84" s="315">
        <f t="shared" si="17"/>
        <v>307833</v>
      </c>
      <c r="H84" s="315"/>
      <c r="I84" s="315">
        <f t="shared" si="18"/>
        <v>157200</v>
      </c>
      <c r="J84" s="325">
        <f>IF(OR(B84&lt;=0,C84&lt;=0),"na   ",IF((B84/C84)-1&gt;GASB34GovtFundsBS!$G$70,"NM  ",(B84/C84)-1))</f>
        <v>0.58786573326153291</v>
      </c>
      <c r="K84" s="315">
        <f t="shared" si="19"/>
        <v>2400</v>
      </c>
      <c r="L84" s="325">
        <f>IF(OR(D84&lt;=0,E84&lt;=0),"na   ",IF((D84/E84)-1&gt;GASB34GovtFundsBS!$G$70,"NM  ",(D84/E84)-1))</f>
        <v>5.9369202226345008E-2</v>
      </c>
      <c r="M84" s="327">
        <f>IF(OR(G84&lt;=0,F84&lt;=0),"na   ",IF((F84/G84)-1&gt;GASB34GovtFundsBS!$G$70,"NM  ",(F84/G84)-1))</f>
        <v>0.51846293282396627</v>
      </c>
      <c r="N84" s="315"/>
      <c r="O84" s="320"/>
      <c r="P84" s="320"/>
      <c r="Q84" s="320"/>
      <c r="R84" s="1"/>
      <c r="S84" s="1"/>
      <c r="T84" s="1"/>
      <c r="U84" s="1"/>
      <c r="V84" s="1"/>
      <c r="W84" s="1"/>
      <c r="X84" s="1"/>
      <c r="Y84" s="1"/>
      <c r="Z84" s="1"/>
      <c r="AA84" s="1"/>
      <c r="AB84" s="1"/>
      <c r="AC84" s="1"/>
    </row>
    <row r="85" spans="1:29" x14ac:dyDescent="0.2">
      <c r="A85" s="337" t="s">
        <v>597</v>
      </c>
      <c r="B85" s="315">
        <v>289937</v>
      </c>
      <c r="C85" s="315">
        <v>250000</v>
      </c>
      <c r="D85" s="315">
        <v>0</v>
      </c>
      <c r="E85" s="315">
        <v>0</v>
      </c>
      <c r="F85" s="315">
        <f t="shared" si="16"/>
        <v>289937</v>
      </c>
      <c r="G85" s="315">
        <f t="shared" si="17"/>
        <v>250000</v>
      </c>
      <c r="H85" s="315"/>
      <c r="I85" s="315">
        <f t="shared" si="18"/>
        <v>39937</v>
      </c>
      <c r="J85" s="325">
        <f>IF(OR(B85&lt;=0,C85&lt;=0),"na   ",IF((B85/C85)-1&gt;GASB34GovtFundsBS!$G$70,"NM  ",(B85/C85)-1))</f>
        <v>0.159748</v>
      </c>
      <c r="K85" s="315">
        <f t="shared" si="19"/>
        <v>0</v>
      </c>
      <c r="L85" s="325" t="str">
        <f>IF(OR(D85&lt;=0,E85&lt;=0),"na   ",IF((D85/E85)-1&gt;GASB34GovtFundsBS!$G$70,"NM  ",(D85/E85)-1))</f>
        <v xml:space="preserve">na   </v>
      </c>
      <c r="M85" s="327">
        <f>IF(OR(G85&lt;=0,F85&lt;=0),"na   ",IF((F85/G85)-1&gt;GASB34GovtFundsBS!$G$70,"NM  ",(F85/G85)-1))</f>
        <v>0.159748</v>
      </c>
      <c r="N85" s="315"/>
      <c r="O85" s="320"/>
      <c r="P85" s="320"/>
      <c r="Q85" s="320"/>
      <c r="R85" s="1"/>
      <c r="S85" s="1"/>
      <c r="T85" s="1"/>
      <c r="U85" s="1"/>
      <c r="V85" s="1"/>
      <c r="W85" s="1"/>
      <c r="X85" s="1"/>
      <c r="Y85" s="1"/>
      <c r="Z85" s="1"/>
      <c r="AA85" s="1"/>
      <c r="AB85" s="1"/>
      <c r="AC85" s="1"/>
    </row>
    <row r="86" spans="1:29" x14ac:dyDescent="0.2">
      <c r="A86" s="337" t="s">
        <v>598</v>
      </c>
      <c r="B86" s="315">
        <v>104769</v>
      </c>
      <c r="C86" s="315">
        <v>106273</v>
      </c>
      <c r="D86" s="315">
        <v>0</v>
      </c>
      <c r="E86" s="315">
        <v>0</v>
      </c>
      <c r="F86" s="315">
        <f t="shared" si="16"/>
        <v>104769</v>
      </c>
      <c r="G86" s="315">
        <f t="shared" si="17"/>
        <v>106273</v>
      </c>
      <c r="H86" s="315"/>
      <c r="I86" s="315">
        <f t="shared" si="18"/>
        <v>-1504</v>
      </c>
      <c r="J86" s="325">
        <f>IF(OR(B86&lt;=0,C86&lt;=0),"na   ",IF((B86/C86)-1&gt;GASB34GovtFundsBS!$G$70,"NM  ",(B86/C86)-1))</f>
        <v>-1.4152230575969482E-2</v>
      </c>
      <c r="K86" s="315">
        <f t="shared" si="19"/>
        <v>0</v>
      </c>
      <c r="L86" s="325" t="str">
        <f>IF(OR(D86&lt;=0,E86&lt;=0),"na   ",IF((D86/E86)-1&gt;GASB34GovtFundsBS!$G$70,"NM  ",(D86/E86)-1))</f>
        <v xml:space="preserve">na   </v>
      </c>
      <c r="M86" s="327">
        <f>IF(OR(G86&lt;=0,F86&lt;=0),"na   ",IF((F86/G86)-1&gt;GASB34GovtFundsBS!$G$70,"NM  ",(F86/G86)-1))</f>
        <v>-1.4152230575969482E-2</v>
      </c>
      <c r="N86" s="315"/>
      <c r="O86" s="320"/>
      <c r="P86" s="320"/>
      <c r="Q86" s="320"/>
      <c r="R86" s="1"/>
      <c r="S86" s="1"/>
      <c r="T86" s="1"/>
      <c r="U86" s="1"/>
      <c r="V86" s="1"/>
      <c r="W86" s="1"/>
      <c r="X86" s="1"/>
      <c r="Y86" s="1"/>
      <c r="Z86" s="1"/>
      <c r="AA86" s="1"/>
      <c r="AB86" s="1"/>
      <c r="AC86" s="1"/>
    </row>
    <row r="87" spans="1:29" ht="15" x14ac:dyDescent="0.35">
      <c r="A87" s="337" t="s">
        <v>599</v>
      </c>
      <c r="B87" s="317">
        <v>44716</v>
      </c>
      <c r="C87" s="317">
        <v>29712</v>
      </c>
      <c r="D87" s="317">
        <v>6345</v>
      </c>
      <c r="E87" s="317">
        <v>6280</v>
      </c>
      <c r="F87" s="317">
        <f t="shared" si="16"/>
        <v>51061</v>
      </c>
      <c r="G87" s="317">
        <f t="shared" si="17"/>
        <v>35992</v>
      </c>
      <c r="H87" s="317"/>
      <c r="I87" s="315">
        <f t="shared" si="18"/>
        <v>15004</v>
      </c>
      <c r="J87" s="325">
        <f>IF(OR(B87&lt;=0,C87&lt;=0),"na   ",IF((B87/C87)-1&gt;GASB34GovtFundsBS!$G$70,"NM  ",(B87/C87)-1))</f>
        <v>0.50498115239633812</v>
      </c>
      <c r="K87" s="315">
        <f t="shared" si="19"/>
        <v>65</v>
      </c>
      <c r="L87" s="325">
        <f>IF(OR(D87&lt;=0,E87&lt;=0),"na   ",IF((D87/E87)-1&gt;GASB34GovtFundsBS!$G$70,"NM  ",(D87/E87)-1))</f>
        <v>1.0350318471337605E-2</v>
      </c>
      <c r="M87" s="327">
        <f>IF(OR(G87&lt;=0,F87&lt;=0),"na   ",IF((F87/G87)-1&gt;GASB34GovtFundsBS!$G$70,"NM  ",(F87/G87)-1))</f>
        <v>0.41867637252722822</v>
      </c>
      <c r="N87" s="317"/>
      <c r="O87" s="320"/>
      <c r="P87" s="320"/>
      <c r="Q87" s="320"/>
      <c r="R87" s="1"/>
      <c r="S87" s="1"/>
      <c r="T87" s="1"/>
      <c r="U87" s="1"/>
      <c r="V87" s="1"/>
      <c r="W87" s="1"/>
      <c r="X87" s="1"/>
      <c r="Y87" s="1"/>
      <c r="Z87" s="1"/>
      <c r="AA87" s="1"/>
      <c r="AB87" s="1"/>
      <c r="AC87" s="1"/>
    </row>
    <row r="88" spans="1:29" ht="15" x14ac:dyDescent="0.35">
      <c r="A88" s="320" t="s">
        <v>17</v>
      </c>
      <c r="B88" s="216">
        <f t="shared" ref="B88:G88" si="20">SUM(B81:B87)</f>
        <v>15262085</v>
      </c>
      <c r="C88" s="216">
        <f t="shared" si="20"/>
        <v>7240693</v>
      </c>
      <c r="D88" s="216">
        <f t="shared" si="20"/>
        <v>49170</v>
      </c>
      <c r="E88" s="216">
        <f t="shared" si="20"/>
        <v>46705</v>
      </c>
      <c r="F88" s="216">
        <f t="shared" si="20"/>
        <v>15311255</v>
      </c>
      <c r="G88" s="216">
        <f t="shared" si="20"/>
        <v>7287398</v>
      </c>
      <c r="H88" s="216"/>
      <c r="I88" s="109">
        <f t="shared" si="18"/>
        <v>8021392</v>
      </c>
      <c r="J88" s="325">
        <f>IF(OR(B88&lt;=0,C88&lt;=0),"na   ",IF((B88/C88)-1&gt;GASB34GovtFundsBS!$G$70,"NM  ",(B88/C88)-1))</f>
        <v>1.1078210331524896</v>
      </c>
      <c r="K88" s="109">
        <f>+D88-E88</f>
        <v>2465</v>
      </c>
      <c r="L88" s="325">
        <f>IF(OR(D88&lt;=0,E88&lt;=0),"na   ",IF((D88/E88)-1&gt;GASB34GovtFundsBS!$G$70,"NM  ",(D88/E88)-1))</f>
        <v>5.2778075152553283E-2</v>
      </c>
      <c r="M88" s="327">
        <f>IF(OR(G88&lt;=0,F88&lt;=0),"na   ",IF((F88/G88)-1&gt;GASB34GovtFundsBS!$G$70,"NM  ",(F88/G88)-1))</f>
        <v>1.1010592532478669</v>
      </c>
      <c r="N88" s="216"/>
      <c r="O88" s="320"/>
      <c r="P88" s="320"/>
      <c r="Q88" s="320"/>
      <c r="R88" s="1"/>
      <c r="S88" s="1"/>
      <c r="T88" s="1"/>
      <c r="U88" s="1"/>
      <c r="V88" s="1"/>
      <c r="W88" s="1"/>
      <c r="X88" s="1"/>
      <c r="Y88" s="1"/>
      <c r="Z88" s="1"/>
      <c r="AA88" s="1"/>
      <c r="AB88" s="1"/>
      <c r="AC88" s="1"/>
    </row>
    <row r="89" spans="1:29" x14ac:dyDescent="0.2">
      <c r="A89" s="320"/>
      <c r="B89" s="320"/>
      <c r="C89" s="320"/>
      <c r="D89" s="320"/>
      <c r="E89" s="320"/>
      <c r="F89" s="320"/>
      <c r="G89" s="320"/>
      <c r="H89" s="320"/>
      <c r="I89" s="320"/>
      <c r="J89" s="320"/>
      <c r="K89" s="350"/>
      <c r="L89" s="350"/>
      <c r="M89" s="320"/>
      <c r="N89" s="320"/>
      <c r="O89" s="320"/>
      <c r="P89" s="320"/>
      <c r="Q89" s="320"/>
      <c r="R89" s="1"/>
      <c r="S89" s="1"/>
      <c r="T89" s="1"/>
      <c r="U89" s="1"/>
      <c r="V89" s="1"/>
      <c r="W89" s="1"/>
      <c r="X89" s="1"/>
      <c r="Y89" s="1"/>
      <c r="Z89" s="1"/>
      <c r="AA89" s="1"/>
      <c r="AB89" s="1"/>
      <c r="AC89" s="1"/>
    </row>
    <row r="90" spans="1:29" x14ac:dyDescent="0.2">
      <c r="A90" s="320"/>
      <c r="B90" s="320"/>
      <c r="C90" s="320"/>
      <c r="D90" s="320"/>
      <c r="E90" s="320"/>
      <c r="F90" s="320"/>
      <c r="G90" s="320"/>
      <c r="H90" s="320"/>
      <c r="I90" s="320"/>
      <c r="J90" s="320"/>
      <c r="K90" s="350"/>
      <c r="L90" s="350"/>
      <c r="M90" s="320"/>
      <c r="N90" s="320"/>
      <c r="O90" s="320"/>
      <c r="P90" s="320"/>
      <c r="Q90" s="320"/>
      <c r="R90" s="1"/>
      <c r="S90" s="1"/>
      <c r="T90" s="1"/>
      <c r="U90" s="1"/>
      <c r="V90" s="1"/>
      <c r="W90" s="1"/>
      <c r="X90" s="1"/>
      <c r="Y90" s="1"/>
      <c r="Z90" s="1"/>
      <c r="AA90" s="1"/>
      <c r="AB90" s="1"/>
      <c r="AC90" s="1"/>
    </row>
    <row r="91" spans="1:29" x14ac:dyDescent="0.2">
      <c r="A91" s="320"/>
      <c r="B91" s="320"/>
      <c r="C91" s="320"/>
      <c r="D91" s="320"/>
      <c r="E91" s="320"/>
      <c r="F91" s="320"/>
      <c r="G91" s="320"/>
      <c r="H91" s="320"/>
      <c r="I91" s="320"/>
      <c r="J91" s="320"/>
      <c r="K91" s="350"/>
      <c r="L91" s="350"/>
      <c r="M91" s="320"/>
      <c r="N91" s="320"/>
      <c r="O91" s="320"/>
      <c r="P91" s="320"/>
      <c r="Q91" s="320"/>
      <c r="R91" s="1"/>
      <c r="S91" s="1"/>
      <c r="T91" s="1"/>
      <c r="U91" s="1"/>
      <c r="V91" s="1"/>
      <c r="W91" s="1"/>
      <c r="X91" s="1"/>
      <c r="Y91" s="1"/>
      <c r="Z91" s="1"/>
      <c r="AA91" s="1"/>
      <c r="AB91" s="1"/>
      <c r="AC91" s="1"/>
    </row>
    <row r="92" spans="1:29" x14ac:dyDescent="0.2">
      <c r="A92" s="320" t="s">
        <v>603</v>
      </c>
      <c r="B92" s="311" t="str">
        <f>IF(B88-GWNetPos!B19=0,"Yes",B88-GWNetPos!B19)</f>
        <v>Yes</v>
      </c>
      <c r="C92" s="320"/>
      <c r="D92" s="311" t="str">
        <f>IF(D88-GWNetPos!C19=0,"Yes",D88-GWNetPos!C19)</f>
        <v>Yes</v>
      </c>
      <c r="E92" s="320"/>
      <c r="F92" s="311" t="str">
        <f>IF(F88-GWNetPos!D19=0,"Yes",F88-GWNetPos!D19)</f>
        <v>Yes</v>
      </c>
      <c r="G92" s="320"/>
      <c r="H92" s="320"/>
      <c r="I92" s="320"/>
      <c r="J92" s="320"/>
      <c r="K92" s="350"/>
      <c r="L92" s="350"/>
      <c r="M92" s="320"/>
      <c r="N92" s="320"/>
      <c r="O92" s="320"/>
      <c r="P92" s="320"/>
      <c r="Q92" s="320"/>
      <c r="R92" s="1"/>
      <c r="S92" s="1"/>
      <c r="T92" s="1"/>
      <c r="U92" s="1"/>
      <c r="V92" s="1"/>
      <c r="W92" s="1"/>
      <c r="X92" s="1"/>
      <c r="Y92" s="1"/>
      <c r="Z92" s="1"/>
      <c r="AA92" s="1"/>
      <c r="AB92" s="1"/>
      <c r="AC92" s="1"/>
    </row>
    <row r="93" spans="1:29" x14ac:dyDescent="0.2">
      <c r="A93" s="320" t="s">
        <v>604</v>
      </c>
      <c r="B93" s="311" t="str">
        <f t="shared" ref="B93:G93" si="21">IF(B88-B9=0,"Yes",B88-B9)</f>
        <v>Yes</v>
      </c>
      <c r="C93" s="311" t="str">
        <f t="shared" si="21"/>
        <v>Yes</v>
      </c>
      <c r="D93" s="311" t="str">
        <f t="shared" si="21"/>
        <v>Yes</v>
      </c>
      <c r="E93" s="311" t="str">
        <f t="shared" si="21"/>
        <v>Yes</v>
      </c>
      <c r="F93" s="311" t="str">
        <f t="shared" si="21"/>
        <v>Yes</v>
      </c>
      <c r="G93" s="311" t="str">
        <f t="shared" si="21"/>
        <v>Yes</v>
      </c>
      <c r="H93" s="311"/>
      <c r="I93" s="311"/>
      <c r="J93" s="311"/>
      <c r="K93" s="346"/>
      <c r="L93" s="346"/>
      <c r="M93" s="311"/>
      <c r="N93" s="311"/>
      <c r="O93" s="320"/>
      <c r="P93" s="320"/>
      <c r="Q93" s="320"/>
      <c r="R93" s="1"/>
      <c r="S93" s="1"/>
      <c r="T93" s="1"/>
      <c r="U93" s="1"/>
      <c r="V93" s="1"/>
      <c r="W93" s="1"/>
      <c r="X93" s="1"/>
      <c r="Y93" s="1"/>
      <c r="Z93" s="1"/>
      <c r="AA93" s="1"/>
      <c r="AB93" s="1"/>
      <c r="AC93" s="1"/>
    </row>
    <row r="94" spans="1:29" x14ac:dyDescent="0.2">
      <c r="A94" s="320"/>
      <c r="B94" s="320"/>
      <c r="C94" s="320"/>
      <c r="D94" s="320"/>
      <c r="E94" s="320"/>
      <c r="F94" s="320"/>
      <c r="G94" s="320"/>
      <c r="H94" s="320"/>
      <c r="I94" s="320"/>
      <c r="J94" s="320"/>
      <c r="K94" s="350"/>
      <c r="L94" s="350"/>
      <c r="M94" s="320"/>
      <c r="N94" s="320"/>
      <c r="O94" s="320"/>
      <c r="P94" s="320"/>
      <c r="Q94" s="320"/>
      <c r="R94" s="1"/>
      <c r="S94" s="1"/>
      <c r="T94" s="1"/>
      <c r="U94" s="1"/>
      <c r="V94" s="1"/>
      <c r="W94" s="1"/>
      <c r="X94" s="1"/>
      <c r="Y94" s="1"/>
      <c r="Z94" s="1"/>
      <c r="AA94" s="1"/>
      <c r="AB94" s="1"/>
      <c r="AC94" s="1"/>
    </row>
    <row r="95" spans="1:29" x14ac:dyDescent="0.2">
      <c r="A95" s="320"/>
      <c r="B95" s="320"/>
      <c r="C95" s="320"/>
      <c r="D95" s="320"/>
      <c r="E95" s="320"/>
      <c r="F95" s="320"/>
      <c r="G95" s="320"/>
      <c r="H95" s="320"/>
      <c r="I95" s="320"/>
      <c r="J95" s="320"/>
      <c r="K95" s="350"/>
      <c r="L95" s="350"/>
      <c r="M95" s="320"/>
      <c r="N95" s="320"/>
      <c r="O95" s="320"/>
      <c r="P95" s="320"/>
      <c r="Q95" s="320"/>
      <c r="R95" s="1"/>
      <c r="S95" s="1"/>
      <c r="T95" s="1"/>
      <c r="U95" s="1"/>
      <c r="V95" s="1"/>
      <c r="W95" s="1"/>
      <c r="X95" s="1"/>
      <c r="Y95" s="1"/>
      <c r="Z95" s="1"/>
      <c r="AA95" s="1"/>
      <c r="AB95" s="1"/>
      <c r="AC95" s="1"/>
    </row>
    <row r="96" spans="1:29" x14ac:dyDescent="0.2">
      <c r="A96" s="320"/>
      <c r="B96" s="320"/>
      <c r="C96" s="320"/>
      <c r="D96" s="320"/>
      <c r="E96" s="320"/>
      <c r="F96" s="320"/>
      <c r="G96" s="320"/>
      <c r="H96" s="320"/>
      <c r="I96" s="320"/>
      <c r="J96" s="320"/>
      <c r="K96" s="350"/>
      <c r="L96" s="350"/>
      <c r="M96" s="320"/>
      <c r="N96" s="320"/>
      <c r="O96" s="320"/>
      <c r="P96" s="320"/>
      <c r="Q96" s="320"/>
      <c r="R96" s="1"/>
      <c r="S96" s="1"/>
      <c r="T96" s="1"/>
      <c r="U96" s="1"/>
      <c r="V96" s="1"/>
      <c r="W96" s="1"/>
      <c r="X96" s="1"/>
      <c r="Y96" s="1"/>
      <c r="Z96" s="1"/>
      <c r="AA96" s="1"/>
      <c r="AB96" s="1"/>
      <c r="AC96" s="1"/>
    </row>
    <row r="97" spans="1:29" x14ac:dyDescent="0.2">
      <c r="A97" s="320"/>
      <c r="B97" s="320"/>
      <c r="C97" s="320"/>
      <c r="D97" s="320"/>
      <c r="E97" s="320"/>
      <c r="F97" s="320"/>
      <c r="G97" s="320"/>
      <c r="H97" s="320"/>
      <c r="I97" s="320"/>
      <c r="J97" s="320"/>
      <c r="K97" s="350"/>
      <c r="L97" s="350"/>
      <c r="M97" s="320"/>
      <c r="N97" s="320"/>
      <c r="O97" s="320"/>
      <c r="P97" s="320"/>
      <c r="Q97" s="320"/>
      <c r="R97" s="1"/>
      <c r="S97" s="1"/>
      <c r="T97" s="1"/>
      <c r="U97" s="1"/>
      <c r="V97" s="1"/>
      <c r="W97" s="1"/>
      <c r="X97" s="1"/>
      <c r="Y97" s="1"/>
      <c r="Z97" s="1"/>
      <c r="AA97" s="1"/>
      <c r="AB97" s="1"/>
      <c r="AC97" s="1"/>
    </row>
    <row r="98" spans="1:29" x14ac:dyDescent="0.2">
      <c r="A98" s="320"/>
      <c r="B98" s="320"/>
      <c r="C98" s="320"/>
      <c r="D98" s="320"/>
      <c r="E98" s="320"/>
      <c r="F98" s="320"/>
      <c r="G98" s="320"/>
      <c r="H98" s="7"/>
      <c r="I98" s="320"/>
      <c r="J98" s="320"/>
      <c r="K98" s="350"/>
      <c r="L98" s="350"/>
      <c r="M98" s="320"/>
      <c r="N98" s="320"/>
      <c r="O98" s="320"/>
      <c r="P98" s="320"/>
      <c r="Q98" s="320"/>
      <c r="R98" s="1"/>
      <c r="S98" s="1"/>
      <c r="T98" s="1"/>
      <c r="U98" s="1"/>
      <c r="V98" s="1"/>
      <c r="W98" s="1"/>
      <c r="X98" s="1"/>
      <c r="Y98" s="1"/>
      <c r="Z98" s="1"/>
      <c r="AA98" s="1"/>
      <c r="AB98" s="1"/>
      <c r="AC98" s="1"/>
    </row>
    <row r="99" spans="1:29" x14ac:dyDescent="0.2">
      <c r="A99" s="466" t="s">
        <v>610</v>
      </c>
      <c r="B99" s="466"/>
      <c r="C99" s="466"/>
      <c r="D99" s="466"/>
      <c r="E99" s="466"/>
      <c r="F99" s="466"/>
      <c r="G99" s="467"/>
      <c r="H99" s="320"/>
      <c r="I99" s="320"/>
      <c r="J99" s="320"/>
      <c r="K99" s="350"/>
      <c r="L99" s="350"/>
      <c r="M99" s="320"/>
      <c r="N99" s="320"/>
      <c r="O99" s="320"/>
      <c r="P99" s="320"/>
      <c r="Q99" s="320"/>
      <c r="R99" s="1"/>
      <c r="S99" s="1"/>
      <c r="T99" s="1"/>
      <c r="U99" s="1"/>
      <c r="V99" s="1"/>
      <c r="W99" s="1"/>
      <c r="X99" s="1"/>
      <c r="Y99" s="1"/>
      <c r="Z99" s="1"/>
      <c r="AA99" s="1"/>
      <c r="AB99" s="1"/>
      <c r="AC99" s="1"/>
    </row>
    <row r="100" spans="1:29" x14ac:dyDescent="0.2">
      <c r="A100" s="466" t="s">
        <v>611</v>
      </c>
      <c r="B100" s="466"/>
      <c r="C100" s="466"/>
      <c r="D100" s="466"/>
      <c r="E100" s="466"/>
      <c r="F100" s="466"/>
      <c r="G100" s="467"/>
      <c r="H100" s="320"/>
      <c r="I100" s="320"/>
      <c r="J100" s="320"/>
      <c r="K100" s="350"/>
      <c r="L100" s="350"/>
      <c r="M100" s="320"/>
      <c r="N100" s="320"/>
      <c r="O100" s="320"/>
      <c r="P100" s="320"/>
      <c r="Q100" s="320"/>
      <c r="R100" s="1"/>
      <c r="S100" s="1"/>
      <c r="T100" s="1"/>
      <c r="U100" s="1"/>
      <c r="V100" s="1"/>
      <c r="W100" s="1"/>
      <c r="X100" s="1"/>
      <c r="Y100" s="1"/>
      <c r="Z100" s="1"/>
      <c r="AA100" s="1"/>
      <c r="AB100" s="1"/>
      <c r="AC100" s="1"/>
    </row>
    <row r="101" spans="1:29" x14ac:dyDescent="0.2">
      <c r="A101" s="463" t="s">
        <v>624</v>
      </c>
      <c r="B101" s="463"/>
      <c r="C101" s="463"/>
      <c r="D101" s="463"/>
      <c r="E101" s="463"/>
      <c r="F101" s="463"/>
      <c r="G101" s="463"/>
      <c r="H101" s="320"/>
      <c r="I101" s="320"/>
      <c r="J101" s="320"/>
      <c r="K101" s="350"/>
      <c r="L101" s="350"/>
      <c r="M101" s="320"/>
      <c r="N101" s="320"/>
      <c r="O101" s="320"/>
      <c r="P101" s="320"/>
      <c r="Q101" s="320"/>
      <c r="R101" s="1"/>
      <c r="S101" s="1"/>
      <c r="T101" s="1"/>
      <c r="U101" s="1"/>
      <c r="V101" s="1"/>
      <c r="W101" s="1"/>
      <c r="X101" s="1"/>
      <c r="Y101" s="1"/>
      <c r="Z101" s="1"/>
      <c r="AA101" s="1"/>
      <c r="AB101" s="1"/>
      <c r="AC101" s="1"/>
    </row>
    <row r="102" spans="1:29" ht="15" x14ac:dyDescent="0.35">
      <c r="A102" s="320"/>
      <c r="B102" s="464" t="s">
        <v>59</v>
      </c>
      <c r="C102" s="464"/>
      <c r="D102" s="464" t="s">
        <v>60</v>
      </c>
      <c r="E102" s="464"/>
      <c r="F102" s="464" t="s">
        <v>575</v>
      </c>
      <c r="G102" s="464"/>
      <c r="H102" s="308"/>
      <c r="I102" s="463" t="s">
        <v>59</v>
      </c>
      <c r="J102" s="463"/>
      <c r="K102" s="463" t="s">
        <v>60</v>
      </c>
      <c r="L102" s="463"/>
      <c r="M102" s="311" t="s">
        <v>17</v>
      </c>
      <c r="N102" s="308"/>
      <c r="O102" s="320"/>
      <c r="P102" s="320"/>
      <c r="Q102" s="320"/>
      <c r="R102" s="1"/>
      <c r="S102" s="1"/>
      <c r="T102" s="1"/>
      <c r="U102" s="1"/>
      <c r="V102" s="1"/>
      <c r="W102" s="1"/>
      <c r="X102" s="1"/>
      <c r="Y102" s="1"/>
      <c r="Z102" s="1"/>
      <c r="AA102" s="1"/>
      <c r="AB102" s="1"/>
      <c r="AC102" s="1"/>
    </row>
    <row r="103" spans="1:29" ht="15" x14ac:dyDescent="0.35">
      <c r="A103" s="320"/>
      <c r="B103" s="328">
        <f t="shared" ref="B103:G103" si="22">B5</f>
        <v>44377</v>
      </c>
      <c r="C103" s="328">
        <f t="shared" si="22"/>
        <v>44012</v>
      </c>
      <c r="D103" s="328">
        <f t="shared" si="22"/>
        <v>44377</v>
      </c>
      <c r="E103" s="328">
        <f t="shared" si="22"/>
        <v>44012</v>
      </c>
      <c r="F103" s="328">
        <f t="shared" si="22"/>
        <v>44377</v>
      </c>
      <c r="G103" s="328">
        <f t="shared" si="22"/>
        <v>44012</v>
      </c>
      <c r="H103" s="328"/>
      <c r="I103" s="310" t="s">
        <v>621</v>
      </c>
      <c r="J103" s="310" t="s">
        <v>620</v>
      </c>
      <c r="K103" s="349" t="s">
        <v>621</v>
      </c>
      <c r="L103" s="349" t="s">
        <v>620</v>
      </c>
      <c r="M103" s="310" t="s">
        <v>620</v>
      </c>
      <c r="N103" s="328"/>
      <c r="O103" s="320"/>
      <c r="P103" s="320"/>
      <c r="Q103" s="320"/>
      <c r="R103" s="1"/>
      <c r="S103" s="1"/>
      <c r="T103" s="1"/>
      <c r="U103" s="1"/>
      <c r="V103" s="1"/>
      <c r="W103" s="1"/>
      <c r="X103" s="1"/>
      <c r="Y103" s="1"/>
      <c r="Z103" s="1"/>
      <c r="AA103" s="1"/>
      <c r="AB103" s="1"/>
      <c r="AC103" s="1"/>
    </row>
    <row r="104" spans="1:29" ht="12.75" customHeight="1" x14ac:dyDescent="0.2">
      <c r="A104" s="341" t="s">
        <v>608</v>
      </c>
      <c r="B104" s="109">
        <v>45141</v>
      </c>
      <c r="C104" s="109">
        <v>38116</v>
      </c>
      <c r="D104" s="109">
        <v>0</v>
      </c>
      <c r="E104" s="109">
        <v>0</v>
      </c>
      <c r="F104" s="109">
        <f>+D104+B104</f>
        <v>45141</v>
      </c>
      <c r="G104" s="109">
        <f>+E104+C104</f>
        <v>38116</v>
      </c>
      <c r="H104" s="109"/>
      <c r="I104" s="109">
        <f>+B104-C104</f>
        <v>7025</v>
      </c>
      <c r="J104" s="325">
        <f>IF(OR(B104&lt;=0,C104&lt;=0),"na   ",IF((B104/C104)-1&gt;GASB34GovtFundsBS!$G$70,"NM  ",(B104/C104)-1))</f>
        <v>0.18430580333718116</v>
      </c>
      <c r="K104" s="109">
        <f>+D104-E104</f>
        <v>0</v>
      </c>
      <c r="L104" s="325" t="str">
        <f>IF(OR(D104&lt;=0,E104&lt;=0),"na   ",IF((D104/E104)-1&gt;GASB34GovtFundsBS!$G$70,"NM  ",(D104/E104)-1))</f>
        <v xml:space="preserve">na   </v>
      </c>
      <c r="M104" s="327">
        <f>IF(OR(G104&lt;=0,F104&lt;=0),"na   ",IF((F104/G104)-1&gt;GASB34GovtFundsBS!$G$70,"NM  ",(F104/G104)-1))</f>
        <v>0.18430580333718116</v>
      </c>
      <c r="N104" s="109"/>
      <c r="O104" s="320"/>
      <c r="P104" s="320"/>
      <c r="Q104" s="320"/>
      <c r="R104" s="1"/>
      <c r="S104" s="1"/>
      <c r="T104" s="1"/>
      <c r="U104" s="1"/>
      <c r="V104" s="1"/>
      <c r="W104" s="1"/>
      <c r="X104" s="1"/>
      <c r="Y104" s="1"/>
      <c r="Z104" s="1"/>
      <c r="AA104" s="1"/>
      <c r="AB104" s="1"/>
      <c r="AC104" s="1"/>
    </row>
    <row r="105" spans="1:29" ht="12.75" customHeight="1" x14ac:dyDescent="0.35">
      <c r="A105" s="342" t="s">
        <v>609</v>
      </c>
      <c r="B105" s="317">
        <v>164000</v>
      </c>
      <c r="C105" s="317">
        <v>0</v>
      </c>
      <c r="D105" s="317">
        <v>0</v>
      </c>
      <c r="E105" s="317">
        <v>0</v>
      </c>
      <c r="F105" s="317">
        <f>+D105+B105</f>
        <v>164000</v>
      </c>
      <c r="G105" s="317">
        <f>+E105+C105</f>
        <v>0</v>
      </c>
      <c r="H105" s="317"/>
      <c r="I105" s="315">
        <f>+B105-C105</f>
        <v>164000</v>
      </c>
      <c r="J105" s="325" t="str">
        <f>IF(OR(B105&lt;=0,C105&lt;=0),"na   ",IF((B105/C105)-1&gt;GASB34GovtFundsBS!$G$70,"NM  ",(B105/C105)-1))</f>
        <v xml:space="preserve">na   </v>
      </c>
      <c r="K105" s="315">
        <f>+D105-E105</f>
        <v>0</v>
      </c>
      <c r="L105" s="325" t="str">
        <f>IF(OR(D105&lt;=0,E105&lt;=0),"na   ",IF((D105/E105)-1&gt;GASB34GovtFundsBS!$G$70,"NM  ",(D105/E105)-1))</f>
        <v xml:space="preserve">na   </v>
      </c>
      <c r="M105" s="327" t="str">
        <f>IF(OR(G105&lt;=0,F105&lt;=0),"na   ",IF((F105/G105)-1&gt;GASB34GovtFundsBS!$G$70,"NM  ",(F105/G105)-1))</f>
        <v xml:space="preserve">na   </v>
      </c>
      <c r="N105" s="317"/>
      <c r="O105" s="320"/>
      <c r="P105" s="320"/>
      <c r="Q105" s="320"/>
      <c r="R105" s="1"/>
      <c r="S105" s="1"/>
      <c r="T105" s="1"/>
      <c r="U105" s="1"/>
      <c r="V105" s="1"/>
      <c r="W105" s="1"/>
      <c r="X105" s="1"/>
      <c r="Y105" s="1"/>
      <c r="Z105" s="1"/>
      <c r="AA105" s="1"/>
      <c r="AB105" s="1"/>
      <c r="AC105" s="1"/>
    </row>
    <row r="106" spans="1:29" ht="15" x14ac:dyDescent="0.35">
      <c r="A106" s="320" t="s">
        <v>17</v>
      </c>
      <c r="B106" s="216">
        <f t="shared" ref="B106:G106" si="23">SUM(B104:B105)</f>
        <v>209141</v>
      </c>
      <c r="C106" s="216">
        <f t="shared" si="23"/>
        <v>38116</v>
      </c>
      <c r="D106" s="216">
        <f t="shared" si="23"/>
        <v>0</v>
      </c>
      <c r="E106" s="216">
        <f t="shared" si="23"/>
        <v>0</v>
      </c>
      <c r="F106" s="216">
        <f t="shared" si="23"/>
        <v>209141</v>
      </c>
      <c r="G106" s="216">
        <f t="shared" si="23"/>
        <v>38116</v>
      </c>
      <c r="H106" s="216"/>
      <c r="I106" s="109">
        <f>+B106-C106</f>
        <v>171025</v>
      </c>
      <c r="J106" s="325" t="str">
        <f>IF(OR(B106&lt;=0,C106&lt;=0),"na   ",IF((B106/C106)-1&gt;GASB34GovtFundsBS!$G$70,"NM  ",(B106/C106)-1))</f>
        <v xml:space="preserve">NM  </v>
      </c>
      <c r="K106" s="109">
        <f>+D106-E106</f>
        <v>0</v>
      </c>
      <c r="L106" s="325" t="str">
        <f>IF(OR(D106&lt;=0,E106&lt;=0),"na   ",IF((D106/E106)-1&gt;GASB34GovtFundsBS!$G$70,"NM  ",(D106/E106)-1))</f>
        <v xml:space="preserve">na   </v>
      </c>
      <c r="M106" s="327" t="str">
        <f>IF(OR(G106&lt;=0,F106&lt;=0),"na   ",IF((F106/G106)-1&gt;GASB34GovtFundsBS!$G$70,"NM  ",(F106/G106)-1))</f>
        <v xml:space="preserve">NM  </v>
      </c>
      <c r="N106" s="216"/>
      <c r="O106" s="320"/>
      <c r="P106" s="109"/>
      <c r="Q106" s="320"/>
      <c r="R106" s="1"/>
      <c r="S106" s="1"/>
      <c r="T106" s="1"/>
      <c r="U106" s="1"/>
      <c r="V106" s="1"/>
      <c r="W106" s="1"/>
      <c r="X106" s="1"/>
      <c r="Y106" s="1"/>
      <c r="Z106" s="1"/>
      <c r="AA106" s="1"/>
      <c r="AB106" s="1"/>
      <c r="AC106" s="1"/>
    </row>
    <row r="107" spans="1:29" x14ac:dyDescent="0.2">
      <c r="A107" s="320"/>
      <c r="B107" s="320"/>
      <c r="C107" s="320"/>
      <c r="D107" s="320"/>
      <c r="E107" s="320"/>
      <c r="F107" s="320"/>
      <c r="G107" s="320"/>
      <c r="H107" s="320"/>
      <c r="I107" s="320"/>
      <c r="J107" s="320"/>
      <c r="K107" s="350"/>
      <c r="L107" s="350"/>
      <c r="M107" s="320"/>
      <c r="N107" s="320"/>
      <c r="O107" s="320"/>
      <c r="P107" s="320"/>
      <c r="Q107" s="320"/>
      <c r="R107" s="1"/>
      <c r="S107" s="1"/>
      <c r="T107" s="1"/>
      <c r="U107" s="1"/>
      <c r="V107" s="1"/>
      <c r="W107" s="1"/>
      <c r="X107" s="1"/>
      <c r="Y107" s="1"/>
      <c r="Z107" s="1"/>
      <c r="AA107" s="1"/>
      <c r="AB107" s="1"/>
      <c r="AC107" s="1"/>
    </row>
    <row r="108" spans="1:29" x14ac:dyDescent="0.2">
      <c r="A108" s="320"/>
      <c r="B108" s="320"/>
      <c r="C108" s="320"/>
      <c r="D108" s="320"/>
      <c r="E108" s="320"/>
      <c r="F108" s="320"/>
      <c r="G108" s="320"/>
      <c r="H108" s="320"/>
      <c r="I108" s="320"/>
      <c r="J108" s="320"/>
      <c r="K108" s="350"/>
      <c r="L108" s="350"/>
      <c r="M108" s="320"/>
      <c r="N108" s="320"/>
      <c r="O108" s="320"/>
      <c r="P108" s="320"/>
      <c r="Q108" s="320"/>
      <c r="R108" s="1"/>
      <c r="S108" s="1"/>
      <c r="T108" s="1"/>
      <c r="U108" s="1"/>
      <c r="V108" s="1"/>
      <c r="W108" s="1"/>
      <c r="X108" s="1"/>
      <c r="Y108" s="1"/>
      <c r="Z108" s="1"/>
      <c r="AA108" s="1"/>
      <c r="AB108" s="1"/>
      <c r="AC108" s="1"/>
    </row>
    <row r="109" spans="1:29" x14ac:dyDescent="0.2">
      <c r="A109" s="320"/>
      <c r="B109" s="320"/>
      <c r="C109" s="320"/>
      <c r="D109" s="320"/>
      <c r="E109" s="320"/>
      <c r="F109" s="320"/>
      <c r="G109" s="320"/>
      <c r="H109" s="320"/>
      <c r="I109" s="320"/>
      <c r="J109" s="320"/>
      <c r="K109" s="350"/>
      <c r="L109" s="350"/>
      <c r="M109" s="320"/>
      <c r="N109" s="320"/>
      <c r="O109" s="320"/>
      <c r="P109" s="320"/>
      <c r="Q109" s="320"/>
      <c r="R109" s="1"/>
      <c r="S109" s="1"/>
      <c r="T109" s="1"/>
      <c r="U109" s="1"/>
      <c r="V109" s="1"/>
      <c r="W109" s="1"/>
      <c r="X109" s="1"/>
      <c r="Y109" s="1"/>
      <c r="Z109" s="1"/>
      <c r="AA109" s="1"/>
      <c r="AB109" s="1"/>
      <c r="AC109" s="1"/>
    </row>
    <row r="110" spans="1:29" x14ac:dyDescent="0.2">
      <c r="A110" s="320"/>
      <c r="B110" s="320"/>
      <c r="C110" s="320"/>
      <c r="D110" s="320"/>
      <c r="E110" s="320"/>
      <c r="F110" s="320"/>
      <c r="G110" s="320"/>
      <c r="H110" s="320"/>
      <c r="I110" s="320"/>
      <c r="J110" s="320"/>
      <c r="K110" s="350"/>
      <c r="L110" s="350"/>
      <c r="M110" s="320"/>
      <c r="N110" s="320"/>
      <c r="O110" s="320"/>
      <c r="P110" s="320"/>
      <c r="Q110" s="320"/>
      <c r="R110" s="1"/>
      <c r="S110" s="1"/>
      <c r="T110" s="1"/>
      <c r="U110" s="1"/>
      <c r="V110" s="1"/>
      <c r="W110" s="1"/>
      <c r="X110" s="1"/>
      <c r="Y110" s="1"/>
      <c r="Z110" s="1"/>
      <c r="AA110" s="1"/>
      <c r="AB110" s="1"/>
      <c r="AC110" s="1"/>
    </row>
    <row r="111" spans="1:29" x14ac:dyDescent="0.2">
      <c r="A111" s="1"/>
      <c r="B111" s="1"/>
      <c r="C111" s="1"/>
      <c r="D111" s="1"/>
      <c r="E111" s="1"/>
      <c r="F111" s="1"/>
      <c r="G111" s="1"/>
      <c r="H111" s="1"/>
      <c r="I111" s="1"/>
      <c r="J111" s="1"/>
      <c r="K111" s="350"/>
      <c r="L111" s="350"/>
      <c r="M111" s="1"/>
      <c r="N111" s="1"/>
      <c r="O111" s="1"/>
      <c r="P111" s="1"/>
      <c r="Q111" s="1"/>
      <c r="R111" s="1"/>
      <c r="S111" s="1"/>
      <c r="T111" s="1"/>
      <c r="U111" s="1"/>
      <c r="V111" s="1"/>
      <c r="W111" s="1"/>
      <c r="X111" s="1"/>
      <c r="Y111" s="1"/>
      <c r="Z111" s="1"/>
      <c r="AA111" s="1"/>
      <c r="AB111" s="1"/>
      <c r="AC111" s="1"/>
    </row>
    <row r="112" spans="1:29" ht="15" x14ac:dyDescent="0.35">
      <c r="A112" s="1" t="s">
        <v>628</v>
      </c>
      <c r="B112" s="343">
        <f>DATE(YEAR(GWNetPos!$A$4)-4,MONTH(GWNetPos!$A$4),DAY(GWNetPos!$A$4))</f>
        <v>42916</v>
      </c>
      <c r="C112" s="343">
        <f>DATE(YEAR(GWNetPos!$A$4)-3,MONTH(GWNetPos!$A$4),DAY(GWNetPos!$A$4))</f>
        <v>43281</v>
      </c>
      <c r="D112" s="343">
        <f>DATE(YEAR(GWNetPos!$A$4)-2,MONTH(GWNetPos!$A$4),DAY(GWNetPos!$A$4))</f>
        <v>43646</v>
      </c>
      <c r="E112" s="343">
        <f>DATE(YEAR(GWNetPos!$A$4)-1,MONTH(GWNetPos!$A$4),DAY(GWNetPos!$A$4))</f>
        <v>44012</v>
      </c>
      <c r="F112" s="343">
        <f>DATE(YEAR(GWNetPos!$A$4),MONTH(GWNetPos!$A$4),DAY(GWNetPos!$A$4))</f>
        <v>44377</v>
      </c>
      <c r="G112" s="1"/>
      <c r="H112" s="1"/>
      <c r="I112" s="1"/>
      <c r="J112" s="1"/>
      <c r="K112" s="350"/>
      <c r="L112" s="350"/>
      <c r="M112" s="1"/>
      <c r="N112" s="1"/>
      <c r="O112" s="1"/>
      <c r="P112" s="1"/>
      <c r="Q112" s="1"/>
      <c r="R112" s="1"/>
      <c r="S112" s="1"/>
      <c r="T112" s="1"/>
      <c r="U112" s="1"/>
      <c r="V112" s="1"/>
      <c r="W112" s="1"/>
      <c r="X112" s="1"/>
      <c r="Y112" s="1"/>
      <c r="Z112" s="1"/>
      <c r="AA112" s="1"/>
      <c r="AB112" s="1"/>
      <c r="AC112" s="1"/>
    </row>
    <row r="113" spans="1:29" x14ac:dyDescent="0.2">
      <c r="A113" s="1" t="s">
        <v>629</v>
      </c>
      <c r="B113" s="345">
        <v>3122</v>
      </c>
      <c r="C113" s="345">
        <v>3255</v>
      </c>
      <c r="D113" s="345">
        <v>3333</v>
      </c>
      <c r="E113" s="345">
        <f>3400-136</f>
        <v>3264</v>
      </c>
      <c r="F113" s="345">
        <v>3400</v>
      </c>
      <c r="G113" s="1"/>
      <c r="H113" s="1"/>
      <c r="I113" s="1"/>
      <c r="J113" s="1"/>
      <c r="K113" s="350"/>
      <c r="L113" s="350"/>
      <c r="M113" s="1"/>
      <c r="N113" s="1"/>
      <c r="O113" s="1"/>
      <c r="P113" s="1" t="str">
        <f>A113</f>
        <v>Enrollment</v>
      </c>
      <c r="Q113" s="1"/>
      <c r="R113" s="1"/>
      <c r="S113" s="1"/>
      <c r="T113" s="1"/>
      <c r="U113" s="1"/>
      <c r="V113" s="1"/>
      <c r="W113" s="1"/>
      <c r="X113" s="1"/>
      <c r="Y113" s="1"/>
      <c r="Z113" s="1"/>
      <c r="AA113" s="1"/>
      <c r="AB113" s="1"/>
      <c r="AC113" s="1"/>
    </row>
    <row r="114" spans="1:29" x14ac:dyDescent="0.2">
      <c r="A114" s="1" t="s">
        <v>620</v>
      </c>
      <c r="B114" s="1"/>
      <c r="C114" s="344">
        <f>(C113/B113)-1</f>
        <v>4.2600896860986559E-2</v>
      </c>
      <c r="D114" s="344">
        <f>(D113/C113)-1</f>
        <v>2.3963133640553025E-2</v>
      </c>
      <c r="E114" s="344">
        <f>(E113/D113)-1</f>
        <v>-2.0702070207020751E-2</v>
      </c>
      <c r="F114" s="344">
        <f>(F113/E113)-1</f>
        <v>4.1666666666666741E-2</v>
      </c>
      <c r="G114" s="1"/>
      <c r="H114" s="1"/>
      <c r="I114" s="1"/>
      <c r="J114" s="1"/>
      <c r="K114" s="350"/>
      <c r="L114" s="350"/>
      <c r="M114" s="1"/>
      <c r="N114" s="1"/>
      <c r="O114" s="1"/>
      <c r="P114" s="1"/>
      <c r="Q114" s="1"/>
      <c r="R114" s="1"/>
      <c r="S114" s="1"/>
      <c r="T114" s="1"/>
      <c r="U114" s="1"/>
      <c r="V114" s="1"/>
      <c r="W114" s="1"/>
      <c r="X114" s="1"/>
      <c r="Y114" s="1"/>
      <c r="Z114" s="1"/>
      <c r="AA114" s="1"/>
      <c r="AB114" s="1"/>
      <c r="AC114" s="1"/>
    </row>
    <row r="115" spans="1:29" x14ac:dyDescent="0.2">
      <c r="A115" s="1"/>
      <c r="B115" s="1"/>
      <c r="C115" s="1"/>
      <c r="D115" s="1"/>
      <c r="E115" s="1"/>
      <c r="F115" s="1"/>
      <c r="G115" s="1"/>
      <c r="H115" s="1"/>
      <c r="I115" s="1"/>
      <c r="J115" s="1"/>
      <c r="K115" s="350"/>
      <c r="L115" s="350"/>
      <c r="M115" s="1"/>
      <c r="N115" s="1"/>
      <c r="O115" s="1"/>
      <c r="P115" s="1"/>
      <c r="Q115" s="1"/>
      <c r="R115" s="1"/>
      <c r="S115" s="1"/>
      <c r="T115" s="1"/>
      <c r="U115" s="1"/>
      <c r="V115" s="1"/>
      <c r="W115" s="1"/>
      <c r="X115" s="1"/>
      <c r="Y115" s="1"/>
      <c r="Z115" s="1"/>
      <c r="AA115" s="1"/>
      <c r="AB115" s="1"/>
      <c r="AC115" s="1"/>
    </row>
    <row r="116" spans="1:29" x14ac:dyDescent="0.2">
      <c r="A116" s="1"/>
      <c r="B116" s="1"/>
      <c r="C116" s="1"/>
      <c r="D116" s="1"/>
      <c r="E116" s="1"/>
      <c r="F116" s="1"/>
      <c r="G116" s="1"/>
      <c r="H116" s="1"/>
      <c r="I116" s="1"/>
      <c r="J116" s="1"/>
      <c r="K116" s="350"/>
      <c r="L116" s="350"/>
      <c r="M116" s="1"/>
      <c r="N116" s="1"/>
      <c r="O116" s="1"/>
      <c r="P116" s="1"/>
      <c r="Q116" s="1"/>
      <c r="R116" s="1"/>
      <c r="S116" s="1"/>
      <c r="T116" s="1"/>
      <c r="U116" s="1"/>
      <c r="V116" s="1"/>
      <c r="W116" s="1"/>
      <c r="X116" s="1"/>
      <c r="Y116" s="1"/>
      <c r="Z116" s="1"/>
      <c r="AA116" s="1"/>
      <c r="AB116" s="1"/>
      <c r="AC116" s="1"/>
    </row>
    <row r="117" spans="1:29" x14ac:dyDescent="0.2">
      <c r="A117" s="1"/>
      <c r="B117" s="1"/>
      <c r="C117" s="1"/>
      <c r="D117" s="1"/>
      <c r="E117" s="1"/>
      <c r="F117" s="1"/>
      <c r="G117" s="1"/>
      <c r="H117" s="1"/>
      <c r="I117" s="1"/>
      <c r="J117" s="1"/>
      <c r="K117" s="350"/>
      <c r="L117" s="350"/>
      <c r="M117" s="1"/>
      <c r="N117" s="1"/>
      <c r="O117" s="1"/>
      <c r="P117" s="1"/>
      <c r="Q117" s="1"/>
      <c r="R117" s="1"/>
      <c r="S117" s="1"/>
      <c r="T117" s="1"/>
      <c r="U117" s="1"/>
      <c r="V117" s="1"/>
      <c r="W117" s="1"/>
      <c r="X117" s="1"/>
      <c r="Y117" s="1"/>
      <c r="Z117" s="1"/>
      <c r="AA117" s="1"/>
      <c r="AB117" s="1"/>
      <c r="AC117" s="1"/>
    </row>
    <row r="118" spans="1:29" x14ac:dyDescent="0.2">
      <c r="A118" s="1"/>
      <c r="B118" s="1"/>
      <c r="C118" s="1"/>
      <c r="D118" s="1"/>
      <c r="E118" s="1"/>
      <c r="F118" s="1"/>
      <c r="G118" s="1"/>
      <c r="H118" s="1"/>
      <c r="I118" s="1"/>
      <c r="J118" s="1"/>
      <c r="K118" s="350"/>
      <c r="L118" s="350"/>
      <c r="M118" s="1"/>
      <c r="N118" s="1"/>
      <c r="O118" s="1"/>
      <c r="P118" s="1"/>
      <c r="Q118" s="1"/>
      <c r="R118" s="1"/>
      <c r="S118" s="1"/>
      <c r="T118" s="1"/>
      <c r="U118" s="1"/>
      <c r="V118" s="1"/>
      <c r="W118" s="1"/>
      <c r="X118" s="1"/>
      <c r="Y118" s="1"/>
      <c r="Z118" s="1"/>
      <c r="AA118" s="1"/>
      <c r="AB118" s="1"/>
      <c r="AC118" s="1"/>
    </row>
    <row r="119" spans="1:29" x14ac:dyDescent="0.2">
      <c r="A119" s="1"/>
      <c r="B119" s="1"/>
      <c r="C119" s="1"/>
      <c r="D119" s="1"/>
      <c r="E119" s="1"/>
      <c r="F119" s="1"/>
      <c r="G119" s="1"/>
      <c r="H119" s="1"/>
      <c r="I119" s="1"/>
      <c r="J119" s="1"/>
      <c r="K119" s="350"/>
      <c r="L119" s="350"/>
      <c r="M119" s="1"/>
      <c r="N119" s="1"/>
      <c r="O119" s="1"/>
      <c r="P119" s="1"/>
      <c r="Q119" s="1"/>
      <c r="R119" s="1"/>
      <c r="S119" s="1"/>
      <c r="T119" s="1"/>
      <c r="U119" s="1"/>
      <c r="V119" s="1"/>
      <c r="W119" s="1"/>
      <c r="X119" s="1"/>
      <c r="Y119" s="1"/>
      <c r="Z119" s="1"/>
      <c r="AA119" s="1"/>
      <c r="AB119" s="1"/>
      <c r="AC119" s="1"/>
    </row>
    <row r="120" spans="1:29" x14ac:dyDescent="0.2">
      <c r="A120" s="1"/>
      <c r="B120" s="1"/>
      <c r="C120" s="1"/>
      <c r="D120" s="1"/>
      <c r="E120" s="1"/>
      <c r="F120" s="1"/>
      <c r="G120" s="1"/>
      <c r="H120" s="1"/>
      <c r="I120" s="1"/>
      <c r="J120" s="1"/>
      <c r="K120" s="350"/>
      <c r="L120" s="350"/>
      <c r="M120" s="1"/>
      <c r="N120" s="1"/>
      <c r="O120" s="1"/>
      <c r="P120" s="1"/>
      <c r="Q120" s="1"/>
      <c r="R120" s="1"/>
      <c r="S120" s="1"/>
      <c r="T120" s="1"/>
      <c r="U120" s="1"/>
      <c r="V120" s="1"/>
      <c r="W120" s="1"/>
      <c r="X120" s="1"/>
      <c r="Y120" s="1"/>
      <c r="Z120" s="1"/>
      <c r="AA120" s="1"/>
      <c r="AB120" s="1"/>
      <c r="AC120" s="1"/>
    </row>
    <row r="121" spans="1:29" x14ac:dyDescent="0.2">
      <c r="A121" s="1"/>
      <c r="B121" s="1"/>
      <c r="C121" s="1"/>
      <c r="D121" s="1"/>
      <c r="E121" s="1"/>
      <c r="F121" s="1"/>
      <c r="G121" s="1"/>
      <c r="H121" s="1"/>
      <c r="I121" s="1"/>
      <c r="J121" s="1"/>
      <c r="K121" s="350"/>
      <c r="L121" s="350"/>
      <c r="M121" s="1"/>
      <c r="N121" s="1"/>
      <c r="O121" s="1"/>
      <c r="P121" s="1"/>
      <c r="Q121" s="1"/>
      <c r="R121" s="1"/>
      <c r="S121" s="1"/>
      <c r="T121" s="1"/>
      <c r="U121" s="1"/>
      <c r="V121" s="1"/>
      <c r="W121" s="1"/>
      <c r="X121" s="1"/>
      <c r="Y121" s="1"/>
      <c r="Z121" s="1"/>
      <c r="AA121" s="1"/>
      <c r="AB121" s="1"/>
      <c r="AC121" s="1"/>
    </row>
    <row r="122" spans="1:29" x14ac:dyDescent="0.2">
      <c r="A122" s="1"/>
      <c r="B122" s="1"/>
      <c r="C122" s="1"/>
      <c r="D122" s="1"/>
      <c r="E122" s="1"/>
      <c r="F122" s="1"/>
      <c r="G122" s="1"/>
      <c r="H122" s="1"/>
      <c r="I122" s="1"/>
      <c r="J122" s="1"/>
      <c r="K122" s="350"/>
      <c r="L122" s="350"/>
      <c r="M122" s="1"/>
      <c r="N122" s="1"/>
      <c r="O122" s="1"/>
      <c r="P122" s="1"/>
      <c r="Q122" s="1"/>
      <c r="R122" s="1"/>
      <c r="S122" s="1"/>
      <c r="T122" s="1"/>
      <c r="U122" s="1"/>
      <c r="V122" s="1"/>
      <c r="W122" s="1"/>
      <c r="X122" s="1"/>
      <c r="Y122" s="1"/>
      <c r="Z122" s="1"/>
      <c r="AA122" s="1"/>
      <c r="AB122" s="1"/>
      <c r="AC122" s="1"/>
    </row>
    <row r="123" spans="1:29" x14ac:dyDescent="0.2">
      <c r="A123" s="1"/>
      <c r="B123" s="1"/>
      <c r="C123" s="1"/>
      <c r="D123" s="1"/>
      <c r="E123" s="1"/>
      <c r="F123" s="1"/>
      <c r="G123" s="1"/>
      <c r="H123" s="1"/>
      <c r="I123" s="1"/>
      <c r="J123" s="1"/>
      <c r="K123" s="350"/>
      <c r="L123" s="350"/>
      <c r="M123" s="1"/>
      <c r="N123" s="1"/>
      <c r="O123" s="1"/>
      <c r="P123" s="1"/>
      <c r="Q123" s="1"/>
      <c r="R123" s="1"/>
      <c r="S123" s="1"/>
      <c r="T123" s="1"/>
      <c r="U123" s="1"/>
      <c r="V123" s="1"/>
      <c r="W123" s="1"/>
      <c r="X123" s="1"/>
      <c r="Y123" s="1"/>
      <c r="Z123" s="1"/>
      <c r="AA123" s="1"/>
      <c r="AB123" s="1"/>
      <c r="AC123" s="1"/>
    </row>
    <row r="124" spans="1:29" x14ac:dyDescent="0.2">
      <c r="A124" s="1"/>
      <c r="B124" s="1"/>
      <c r="C124" s="1"/>
      <c r="D124" s="1"/>
      <c r="E124" s="1"/>
      <c r="F124" s="1"/>
      <c r="G124" s="1"/>
      <c r="H124" s="1"/>
      <c r="I124" s="1"/>
      <c r="J124" s="1"/>
      <c r="K124" s="350"/>
      <c r="L124" s="350"/>
      <c r="M124" s="1"/>
      <c r="N124" s="1"/>
      <c r="O124" s="1"/>
      <c r="P124" s="1"/>
      <c r="Q124" s="1"/>
      <c r="R124" s="1"/>
      <c r="S124" s="1"/>
      <c r="T124" s="1"/>
      <c r="U124" s="1"/>
      <c r="V124" s="1"/>
      <c r="W124" s="1"/>
      <c r="X124" s="1"/>
      <c r="Y124" s="1"/>
      <c r="Z124" s="1"/>
      <c r="AA124" s="1"/>
      <c r="AB124" s="1"/>
      <c r="AC124" s="1"/>
    </row>
    <row r="125" spans="1:29" x14ac:dyDescent="0.2">
      <c r="A125" s="1"/>
      <c r="B125" s="1"/>
      <c r="C125" s="1"/>
      <c r="D125" s="1"/>
      <c r="E125" s="1"/>
      <c r="F125" s="1"/>
      <c r="G125" s="1"/>
      <c r="H125" s="1"/>
      <c r="I125" s="1"/>
      <c r="J125" s="1"/>
      <c r="K125" s="350"/>
      <c r="L125" s="350"/>
      <c r="M125" s="1"/>
      <c r="N125" s="1"/>
      <c r="O125" s="1"/>
      <c r="P125" s="1"/>
      <c r="Q125" s="1"/>
      <c r="R125" s="1"/>
      <c r="S125" s="1"/>
      <c r="T125" s="1"/>
      <c r="U125" s="1"/>
      <c r="V125" s="1"/>
      <c r="W125" s="1"/>
      <c r="X125" s="1"/>
      <c r="Y125" s="1"/>
      <c r="Z125" s="1"/>
      <c r="AA125" s="1"/>
      <c r="AB125" s="1"/>
      <c r="AC125" s="1"/>
    </row>
    <row r="126" spans="1:29" x14ac:dyDescent="0.2">
      <c r="A126" s="1"/>
      <c r="B126" s="1"/>
      <c r="C126" s="1"/>
      <c r="D126" s="1"/>
      <c r="E126" s="1"/>
      <c r="F126" s="1"/>
      <c r="G126" s="1"/>
      <c r="H126" s="1"/>
      <c r="I126" s="1"/>
      <c r="J126" s="1"/>
      <c r="K126" s="350"/>
      <c r="L126" s="350"/>
      <c r="M126" s="1"/>
      <c r="N126" s="1"/>
      <c r="O126" s="1"/>
      <c r="P126" s="1"/>
      <c r="Q126" s="1"/>
      <c r="R126" s="1"/>
      <c r="S126" s="1"/>
      <c r="T126" s="1"/>
      <c r="U126" s="1"/>
      <c r="V126" s="1"/>
      <c r="W126" s="1"/>
      <c r="X126" s="1"/>
      <c r="Y126" s="1"/>
      <c r="Z126" s="1"/>
      <c r="AA126" s="1"/>
      <c r="AB126" s="1"/>
      <c r="AC126" s="1"/>
    </row>
    <row r="127" spans="1:29" x14ac:dyDescent="0.2">
      <c r="A127" s="1"/>
      <c r="B127" s="1"/>
      <c r="C127" s="1"/>
      <c r="D127" s="1"/>
      <c r="E127" s="1"/>
      <c r="F127" s="1"/>
      <c r="G127" s="1"/>
      <c r="H127" s="1"/>
      <c r="I127" s="1"/>
      <c r="J127" s="1"/>
      <c r="K127" s="350"/>
      <c r="L127" s="350"/>
      <c r="M127" s="1"/>
      <c r="N127" s="1"/>
      <c r="O127" s="1"/>
      <c r="P127" s="1"/>
      <c r="Q127" s="1"/>
      <c r="R127" s="1"/>
      <c r="S127" s="1"/>
      <c r="T127" s="1"/>
      <c r="U127" s="1"/>
      <c r="V127" s="1"/>
      <c r="W127" s="1"/>
      <c r="X127" s="1"/>
      <c r="Y127" s="1"/>
      <c r="Z127" s="1"/>
      <c r="AA127" s="1"/>
      <c r="AB127" s="1"/>
      <c r="AC127" s="1"/>
    </row>
    <row r="128" spans="1:29" x14ac:dyDescent="0.2">
      <c r="A128" s="1"/>
      <c r="B128" s="1"/>
      <c r="C128" s="1"/>
      <c r="D128" s="1"/>
      <c r="E128" s="1"/>
      <c r="F128" s="1"/>
      <c r="G128" s="1"/>
      <c r="H128" s="1"/>
      <c r="I128" s="1"/>
      <c r="J128" s="1"/>
      <c r="K128" s="350"/>
      <c r="L128" s="350"/>
      <c r="M128" s="1"/>
      <c r="N128" s="1"/>
      <c r="O128" s="1"/>
      <c r="P128" s="1"/>
      <c r="Q128" s="1"/>
      <c r="R128" s="1"/>
      <c r="S128" s="1"/>
      <c r="T128" s="1"/>
      <c r="U128" s="1"/>
      <c r="V128" s="1"/>
      <c r="W128" s="1"/>
      <c r="X128" s="1"/>
      <c r="Y128" s="1"/>
      <c r="Z128" s="1"/>
      <c r="AA128" s="1"/>
      <c r="AB128" s="1"/>
      <c r="AC128" s="1"/>
    </row>
    <row r="129" spans="1:29" x14ac:dyDescent="0.2">
      <c r="A129" s="1"/>
      <c r="B129" s="1"/>
      <c r="C129" s="1"/>
      <c r="D129" s="1"/>
      <c r="E129" s="1"/>
      <c r="F129" s="1"/>
      <c r="G129" s="1"/>
      <c r="H129" s="1"/>
      <c r="I129" s="1"/>
      <c r="J129" s="1"/>
      <c r="K129" s="350"/>
      <c r="L129" s="350"/>
      <c r="M129" s="1"/>
      <c r="N129" s="1"/>
      <c r="O129" s="1"/>
      <c r="P129" s="1"/>
      <c r="Q129" s="1"/>
      <c r="R129" s="1"/>
      <c r="S129" s="1"/>
      <c r="T129" s="1"/>
      <c r="U129" s="1"/>
      <c r="V129" s="1"/>
      <c r="W129" s="1"/>
      <c r="X129" s="1"/>
      <c r="Y129" s="1"/>
      <c r="Z129" s="1"/>
      <c r="AA129" s="1"/>
      <c r="AB129" s="1"/>
      <c r="AC129" s="1"/>
    </row>
    <row r="130" spans="1:29" x14ac:dyDescent="0.2">
      <c r="A130" s="1"/>
      <c r="B130" s="1"/>
      <c r="C130" s="1"/>
      <c r="D130" s="1"/>
      <c r="E130" s="1"/>
      <c r="F130" s="1"/>
      <c r="G130" s="1"/>
      <c r="H130" s="1"/>
      <c r="I130" s="1"/>
      <c r="J130" s="1"/>
      <c r="K130" s="350"/>
      <c r="L130" s="350"/>
      <c r="M130" s="1"/>
      <c r="N130" s="1"/>
      <c r="O130" s="1"/>
      <c r="P130" s="1"/>
      <c r="Q130" s="1"/>
      <c r="R130" s="1"/>
      <c r="S130" s="1"/>
      <c r="T130" s="1"/>
      <c r="U130" s="1"/>
      <c r="V130" s="1"/>
      <c r="W130" s="1"/>
      <c r="X130" s="1"/>
      <c r="Y130" s="1"/>
      <c r="Z130" s="1"/>
      <c r="AA130" s="1"/>
      <c r="AB130" s="1"/>
      <c r="AC130" s="1"/>
    </row>
    <row r="131" spans="1:29" x14ac:dyDescent="0.2">
      <c r="A131" s="1"/>
      <c r="B131" s="1"/>
      <c r="C131" s="1"/>
      <c r="D131" s="1"/>
      <c r="E131" s="1"/>
      <c r="F131" s="1"/>
      <c r="G131" s="1"/>
      <c r="H131" s="1"/>
      <c r="I131" s="1"/>
      <c r="J131" s="1"/>
      <c r="K131" s="350"/>
      <c r="L131" s="350"/>
      <c r="M131" s="1"/>
      <c r="N131" s="1"/>
      <c r="O131" s="1"/>
      <c r="P131" s="1"/>
      <c r="Q131" s="1"/>
      <c r="R131" s="1"/>
      <c r="S131" s="1"/>
      <c r="T131" s="1"/>
      <c r="U131" s="1"/>
      <c r="V131" s="1"/>
      <c r="W131" s="1"/>
      <c r="X131" s="1"/>
      <c r="Y131" s="1"/>
      <c r="Z131" s="1"/>
      <c r="AA131" s="1"/>
      <c r="AB131" s="1"/>
      <c r="AC131" s="1"/>
    </row>
    <row r="132" spans="1:29" x14ac:dyDescent="0.2">
      <c r="A132" s="1"/>
      <c r="B132" s="1"/>
      <c r="C132" s="1"/>
      <c r="D132" s="1"/>
      <c r="E132" s="1"/>
      <c r="F132" s="1"/>
      <c r="G132" s="1"/>
      <c r="H132" s="1"/>
      <c r="I132" s="1"/>
      <c r="J132" s="1"/>
      <c r="K132" s="350"/>
      <c r="L132" s="350"/>
      <c r="M132" s="1"/>
      <c r="N132" s="1"/>
      <c r="O132" s="1"/>
      <c r="P132" s="1"/>
      <c r="Q132" s="1"/>
      <c r="R132" s="1"/>
      <c r="S132" s="1"/>
      <c r="T132" s="1"/>
      <c r="U132" s="1"/>
      <c r="V132" s="1"/>
      <c r="W132" s="1"/>
      <c r="X132" s="1"/>
      <c r="Y132" s="1"/>
      <c r="Z132" s="1"/>
      <c r="AA132" s="1"/>
      <c r="AB132" s="1"/>
      <c r="AC132" s="1"/>
    </row>
    <row r="133" spans="1:29" x14ac:dyDescent="0.2">
      <c r="A133" s="1"/>
      <c r="B133" s="1"/>
      <c r="C133" s="1"/>
      <c r="D133" s="1"/>
      <c r="E133" s="1"/>
      <c r="F133" s="1"/>
      <c r="G133" s="1"/>
      <c r="H133" s="1"/>
      <c r="I133" s="1"/>
      <c r="J133" s="1"/>
      <c r="K133" s="350"/>
      <c r="L133" s="350"/>
      <c r="M133" s="1"/>
      <c r="N133" s="1"/>
      <c r="O133" s="1"/>
      <c r="P133" s="1"/>
      <c r="Q133" s="1"/>
      <c r="R133" s="1"/>
      <c r="S133" s="1"/>
      <c r="T133" s="1"/>
      <c r="U133" s="1"/>
      <c r="V133" s="1"/>
      <c r="W133" s="1"/>
      <c r="X133" s="1"/>
      <c r="Y133" s="1"/>
      <c r="Z133" s="1"/>
      <c r="AA133" s="1"/>
      <c r="AB133" s="1"/>
      <c r="AC133" s="1"/>
    </row>
    <row r="134" spans="1:29" x14ac:dyDescent="0.2">
      <c r="A134" s="1"/>
      <c r="B134" s="1"/>
      <c r="C134" s="1"/>
      <c r="D134" s="1"/>
      <c r="E134" s="1"/>
      <c r="F134" s="1"/>
      <c r="G134" s="1"/>
      <c r="H134" s="1"/>
      <c r="I134" s="1"/>
      <c r="J134" s="1"/>
      <c r="K134" s="350"/>
      <c r="L134" s="350"/>
      <c r="M134" s="1"/>
      <c r="N134" s="1"/>
      <c r="O134" s="1"/>
      <c r="P134" s="1"/>
      <c r="Q134" s="1"/>
      <c r="R134" s="1"/>
      <c r="S134" s="1"/>
      <c r="T134" s="1"/>
      <c r="U134" s="1"/>
      <c r="V134" s="1"/>
      <c r="W134" s="1"/>
      <c r="X134" s="1"/>
      <c r="Y134" s="1"/>
      <c r="Z134" s="1"/>
      <c r="AA134" s="1"/>
      <c r="AB134" s="1"/>
      <c r="AC134" s="1"/>
    </row>
    <row r="135" spans="1:29" x14ac:dyDescent="0.2">
      <c r="A135" s="1"/>
      <c r="B135" s="1"/>
      <c r="C135" s="1"/>
      <c r="D135" s="1"/>
      <c r="E135" s="1"/>
      <c r="F135" s="1"/>
      <c r="G135" s="1"/>
      <c r="H135" s="1"/>
      <c r="I135" s="1"/>
      <c r="J135" s="1"/>
      <c r="K135" s="350"/>
      <c r="L135" s="350"/>
      <c r="M135" s="1"/>
      <c r="N135" s="1"/>
      <c r="O135" s="1"/>
      <c r="P135" s="1"/>
      <c r="Q135" s="1"/>
      <c r="R135" s="1"/>
      <c r="S135" s="1"/>
      <c r="T135" s="1"/>
      <c r="U135" s="1"/>
      <c r="V135" s="1"/>
      <c r="W135" s="1"/>
      <c r="X135" s="1"/>
      <c r="Y135" s="1"/>
      <c r="Z135" s="1"/>
      <c r="AA135" s="1"/>
      <c r="AB135" s="1"/>
      <c r="AC135" s="1"/>
    </row>
    <row r="136" spans="1:29" x14ac:dyDescent="0.2">
      <c r="A136" s="1"/>
      <c r="B136" s="1"/>
      <c r="C136" s="1"/>
      <c r="D136" s="1"/>
      <c r="E136" s="1"/>
      <c r="F136" s="1"/>
      <c r="G136" s="1"/>
      <c r="H136" s="1"/>
      <c r="I136" s="1"/>
      <c r="J136" s="1"/>
      <c r="K136" s="350"/>
      <c r="L136" s="350"/>
      <c r="M136" s="1"/>
      <c r="N136" s="1"/>
      <c r="O136" s="1"/>
      <c r="P136" s="1"/>
      <c r="Q136" s="1"/>
      <c r="R136" s="1"/>
      <c r="S136" s="1"/>
      <c r="T136" s="1"/>
      <c r="U136" s="1"/>
      <c r="V136" s="1"/>
      <c r="W136" s="1"/>
      <c r="X136" s="1"/>
      <c r="Y136" s="1"/>
      <c r="Z136" s="1"/>
      <c r="AA136" s="1"/>
      <c r="AB136" s="1"/>
      <c r="AC136" s="1"/>
    </row>
    <row r="137" spans="1:29" x14ac:dyDescent="0.2">
      <c r="A137" s="1"/>
      <c r="B137" s="1"/>
      <c r="C137" s="1"/>
      <c r="D137" s="1"/>
      <c r="E137" s="1"/>
      <c r="F137" s="1"/>
      <c r="G137" s="1"/>
      <c r="H137" s="1"/>
      <c r="I137" s="1"/>
      <c r="J137" s="1"/>
      <c r="K137" s="350"/>
      <c r="L137" s="350"/>
      <c r="M137" s="1"/>
      <c r="N137" s="1"/>
      <c r="O137" s="1"/>
      <c r="P137" s="1"/>
      <c r="Q137" s="1"/>
      <c r="R137" s="1"/>
      <c r="S137" s="1"/>
      <c r="T137" s="1"/>
      <c r="U137" s="1"/>
      <c r="V137" s="1"/>
      <c r="W137" s="1"/>
      <c r="X137" s="1"/>
      <c r="Y137" s="1"/>
      <c r="Z137" s="1"/>
      <c r="AA137" s="1"/>
      <c r="AB137" s="1"/>
      <c r="AC137" s="1"/>
    </row>
    <row r="138" spans="1:29" x14ac:dyDescent="0.2">
      <c r="A138" s="1"/>
      <c r="B138" s="1"/>
      <c r="C138" s="1"/>
      <c r="D138" s="1"/>
      <c r="E138" s="1"/>
      <c r="F138" s="1"/>
      <c r="G138" s="1"/>
      <c r="H138" s="1"/>
      <c r="I138" s="1"/>
      <c r="J138" s="1"/>
      <c r="K138" s="350"/>
      <c r="L138" s="350"/>
      <c r="M138" s="1"/>
      <c r="N138" s="1"/>
      <c r="O138" s="1"/>
      <c r="P138" s="1"/>
      <c r="Q138" s="1"/>
      <c r="R138" s="1"/>
      <c r="S138" s="1"/>
      <c r="T138" s="1"/>
      <c r="U138" s="1"/>
      <c r="V138" s="1"/>
      <c r="W138" s="1"/>
      <c r="X138" s="1"/>
      <c r="Y138" s="1"/>
      <c r="Z138" s="1"/>
      <c r="AA138" s="1"/>
      <c r="AB138" s="1"/>
      <c r="AC138" s="1"/>
    </row>
    <row r="139" spans="1:29" x14ac:dyDescent="0.2">
      <c r="A139" s="1"/>
      <c r="B139" s="1"/>
      <c r="C139" s="1"/>
      <c r="D139" s="1"/>
      <c r="E139" s="1"/>
      <c r="F139" s="1"/>
      <c r="G139" s="1"/>
      <c r="H139" s="1"/>
      <c r="I139" s="1"/>
      <c r="J139" s="1"/>
      <c r="K139" s="350"/>
      <c r="L139" s="350"/>
      <c r="M139" s="1"/>
      <c r="N139" s="1"/>
      <c r="O139" s="1"/>
      <c r="P139" s="1"/>
      <c r="Q139" s="1"/>
      <c r="R139" s="1"/>
      <c r="S139" s="1"/>
      <c r="T139" s="1"/>
      <c r="U139" s="1"/>
      <c r="V139" s="1"/>
      <c r="W139" s="1"/>
      <c r="X139" s="1"/>
      <c r="Y139" s="1"/>
      <c r="Z139" s="1"/>
      <c r="AA139" s="1"/>
      <c r="AB139" s="1"/>
      <c r="AC139" s="1"/>
    </row>
    <row r="140" spans="1:29" x14ac:dyDescent="0.2">
      <c r="A140" s="1"/>
      <c r="B140" s="1"/>
      <c r="C140" s="1"/>
      <c r="D140" s="1"/>
      <c r="E140" s="1"/>
      <c r="F140" s="1"/>
      <c r="G140" s="1"/>
      <c r="H140" s="1"/>
      <c r="I140" s="1"/>
      <c r="J140" s="1"/>
      <c r="K140" s="350"/>
      <c r="L140" s="350"/>
      <c r="M140" s="1"/>
      <c r="N140" s="1"/>
      <c r="O140" s="1"/>
      <c r="P140" s="1"/>
      <c r="Q140" s="1"/>
      <c r="R140" s="1"/>
      <c r="S140" s="1"/>
      <c r="T140" s="1"/>
      <c r="U140" s="1"/>
      <c r="V140" s="1"/>
      <c r="W140" s="1"/>
      <c r="X140" s="1"/>
      <c r="Y140" s="1"/>
      <c r="Z140" s="1"/>
      <c r="AA140" s="1"/>
      <c r="AB140" s="1"/>
      <c r="AC140" s="1"/>
    </row>
    <row r="141" spans="1:29" x14ac:dyDescent="0.2">
      <c r="A141" s="1"/>
      <c r="B141" s="1"/>
      <c r="C141" s="1"/>
      <c r="D141" s="1"/>
      <c r="E141" s="1"/>
      <c r="F141" s="1"/>
      <c r="G141" s="1"/>
      <c r="H141" s="1"/>
      <c r="I141" s="1"/>
      <c r="J141" s="1"/>
      <c r="K141" s="350"/>
      <c r="L141" s="350"/>
      <c r="M141" s="1"/>
      <c r="N141" s="1"/>
      <c r="O141" s="1"/>
      <c r="P141" s="1"/>
      <c r="Q141" s="1"/>
      <c r="R141" s="1"/>
      <c r="S141" s="1"/>
      <c r="T141" s="1"/>
      <c r="U141" s="1"/>
      <c r="V141" s="1"/>
      <c r="W141" s="1"/>
      <c r="X141" s="1"/>
      <c r="Y141" s="1"/>
      <c r="Z141" s="1"/>
      <c r="AA141" s="1"/>
      <c r="AB141" s="1"/>
      <c r="AC141" s="1"/>
    </row>
    <row r="142" spans="1:29" x14ac:dyDescent="0.2">
      <c r="A142" s="1"/>
      <c r="B142" s="1"/>
      <c r="C142" s="1"/>
      <c r="D142" s="1"/>
      <c r="E142" s="1"/>
      <c r="F142" s="1"/>
      <c r="G142" s="1"/>
      <c r="H142" s="1"/>
      <c r="I142" s="1"/>
      <c r="J142" s="1"/>
      <c r="K142" s="350"/>
      <c r="L142" s="350"/>
      <c r="M142" s="1"/>
      <c r="N142" s="1"/>
      <c r="O142" s="1"/>
      <c r="P142" s="1"/>
      <c r="Q142" s="1"/>
      <c r="R142" s="1"/>
      <c r="S142" s="1"/>
      <c r="T142" s="1"/>
      <c r="U142" s="1"/>
      <c r="V142" s="1"/>
      <c r="W142" s="1"/>
      <c r="X142" s="1"/>
      <c r="Y142" s="1"/>
      <c r="Z142" s="1"/>
      <c r="AA142" s="1"/>
      <c r="AB142" s="1"/>
      <c r="AC142" s="1"/>
    </row>
    <row r="143" spans="1:29" x14ac:dyDescent="0.2">
      <c r="A143" s="1"/>
      <c r="B143" s="1"/>
      <c r="C143" s="1"/>
      <c r="D143" s="1"/>
      <c r="E143" s="1"/>
      <c r="F143" s="1"/>
      <c r="G143" s="1"/>
      <c r="H143" s="1"/>
      <c r="I143" s="1"/>
      <c r="J143" s="1"/>
      <c r="K143" s="350"/>
      <c r="L143" s="350"/>
      <c r="M143" s="1"/>
      <c r="N143" s="1"/>
      <c r="O143" s="1"/>
      <c r="P143" s="1"/>
      <c r="Q143" s="1"/>
      <c r="R143" s="1"/>
      <c r="S143" s="1"/>
      <c r="T143" s="1"/>
      <c r="U143" s="1"/>
      <c r="V143" s="1"/>
      <c r="W143" s="1"/>
      <c r="X143" s="1"/>
      <c r="Y143" s="1"/>
      <c r="Z143" s="1"/>
      <c r="AA143" s="1"/>
      <c r="AB143" s="1"/>
      <c r="AC143" s="1"/>
    </row>
    <row r="144" spans="1:29" x14ac:dyDescent="0.2">
      <c r="A144" s="1"/>
      <c r="B144" s="1"/>
      <c r="C144" s="1"/>
      <c r="D144" s="1"/>
      <c r="E144" s="1"/>
      <c r="F144" s="1"/>
      <c r="G144" s="1"/>
      <c r="H144" s="1"/>
      <c r="I144" s="1"/>
      <c r="J144" s="1"/>
      <c r="K144" s="350"/>
      <c r="L144" s="350"/>
      <c r="M144" s="1"/>
      <c r="N144" s="1"/>
      <c r="O144" s="1"/>
      <c r="P144" s="1"/>
      <c r="Q144" s="1"/>
      <c r="R144" s="1"/>
      <c r="S144" s="1"/>
      <c r="T144" s="1"/>
      <c r="U144" s="1"/>
      <c r="V144" s="1"/>
      <c r="W144" s="1"/>
      <c r="X144" s="1"/>
      <c r="Y144" s="1"/>
      <c r="Z144" s="1"/>
      <c r="AA144" s="1"/>
      <c r="AB144" s="1"/>
      <c r="AC144" s="1"/>
    </row>
    <row r="145" spans="1:29" x14ac:dyDescent="0.2">
      <c r="A145" s="1"/>
      <c r="B145" s="1"/>
      <c r="C145" s="1"/>
      <c r="D145" s="1"/>
      <c r="E145" s="1"/>
      <c r="F145" s="1"/>
      <c r="G145" s="1"/>
      <c r="H145" s="1"/>
      <c r="I145" s="1"/>
      <c r="J145" s="1"/>
      <c r="K145" s="350"/>
      <c r="L145" s="350"/>
      <c r="M145" s="1"/>
      <c r="N145" s="1"/>
      <c r="O145" s="1"/>
      <c r="P145" s="1"/>
      <c r="Q145" s="1"/>
      <c r="R145" s="1"/>
      <c r="S145" s="1"/>
      <c r="T145" s="1"/>
      <c r="U145" s="1"/>
      <c r="V145" s="1"/>
      <c r="W145" s="1"/>
      <c r="X145" s="1"/>
      <c r="Y145" s="1"/>
      <c r="Z145" s="1"/>
      <c r="AA145" s="1"/>
      <c r="AB145" s="1"/>
      <c r="AC145" s="1"/>
    </row>
    <row r="146" spans="1:29" x14ac:dyDescent="0.2">
      <c r="A146" s="1"/>
      <c r="B146" s="1"/>
      <c r="C146" s="1"/>
      <c r="D146" s="1"/>
      <c r="E146" s="1"/>
      <c r="F146" s="1"/>
      <c r="G146" s="1"/>
      <c r="H146" s="1"/>
      <c r="I146" s="1"/>
      <c r="J146" s="1"/>
      <c r="K146" s="350"/>
      <c r="L146" s="350"/>
      <c r="M146" s="1"/>
      <c r="N146" s="1"/>
      <c r="O146" s="1"/>
      <c r="P146" s="1"/>
      <c r="Q146" s="1"/>
      <c r="R146" s="1"/>
      <c r="S146" s="1"/>
      <c r="T146" s="1"/>
      <c r="U146" s="1"/>
      <c r="V146" s="1"/>
      <c r="W146" s="1"/>
      <c r="X146" s="1"/>
      <c r="Y146" s="1"/>
      <c r="Z146" s="1"/>
      <c r="AA146" s="1"/>
      <c r="AB146" s="1"/>
      <c r="AC146" s="1"/>
    </row>
    <row r="147" spans="1:29" x14ac:dyDescent="0.2">
      <c r="A147" s="1"/>
      <c r="B147" s="1"/>
      <c r="C147" s="1"/>
      <c r="D147" s="1"/>
      <c r="E147" s="1"/>
      <c r="F147" s="1"/>
      <c r="G147" s="1"/>
      <c r="H147" s="1"/>
      <c r="I147" s="1"/>
      <c r="J147" s="1"/>
      <c r="K147" s="350"/>
      <c r="L147" s="350"/>
      <c r="M147" s="1"/>
      <c r="N147" s="1"/>
      <c r="O147" s="1"/>
      <c r="P147" s="1"/>
      <c r="Q147" s="1"/>
      <c r="R147" s="1"/>
      <c r="S147" s="1"/>
      <c r="T147" s="1"/>
      <c r="U147" s="1"/>
      <c r="V147" s="1"/>
      <c r="W147" s="1"/>
      <c r="X147" s="1"/>
      <c r="Y147" s="1"/>
      <c r="Z147" s="1"/>
      <c r="AA147" s="1"/>
      <c r="AB147" s="1"/>
      <c r="AC147" s="1"/>
    </row>
    <row r="148" spans="1:29" x14ac:dyDescent="0.2">
      <c r="A148" s="1"/>
      <c r="B148" s="1"/>
      <c r="C148" s="1"/>
      <c r="D148" s="1"/>
      <c r="E148" s="1"/>
      <c r="F148" s="1"/>
      <c r="G148" s="1"/>
      <c r="H148" s="1"/>
      <c r="I148" s="1"/>
      <c r="J148" s="1"/>
      <c r="K148" s="350"/>
      <c r="L148" s="350"/>
      <c r="M148" s="1"/>
      <c r="N148" s="1"/>
      <c r="O148" s="1"/>
      <c r="P148" s="1"/>
      <c r="Q148" s="1"/>
      <c r="R148" s="1"/>
      <c r="S148" s="1"/>
      <c r="T148" s="1"/>
      <c r="U148" s="1"/>
      <c r="V148" s="1"/>
      <c r="W148" s="1"/>
      <c r="X148" s="1"/>
      <c r="Y148" s="1"/>
      <c r="Z148" s="1"/>
      <c r="AA148" s="1"/>
      <c r="AB148" s="1"/>
      <c r="AC148" s="1"/>
    </row>
    <row r="149" spans="1:29" x14ac:dyDescent="0.2">
      <c r="A149" s="1"/>
      <c r="B149" s="1"/>
      <c r="C149" s="1"/>
      <c r="D149" s="1"/>
      <c r="E149" s="1"/>
      <c r="F149" s="1"/>
      <c r="G149" s="1"/>
      <c r="H149" s="1"/>
      <c r="I149" s="1"/>
      <c r="J149" s="1"/>
      <c r="K149" s="350"/>
      <c r="L149" s="350"/>
      <c r="M149" s="1"/>
      <c r="N149" s="1"/>
      <c r="O149" s="1"/>
      <c r="P149" s="1"/>
      <c r="Q149" s="1"/>
      <c r="R149" s="1"/>
      <c r="S149" s="1"/>
      <c r="T149" s="1"/>
      <c r="U149" s="1"/>
      <c r="V149" s="1"/>
      <c r="W149" s="1"/>
      <c r="X149" s="1"/>
      <c r="Y149" s="1"/>
      <c r="Z149" s="1"/>
      <c r="AA149" s="1"/>
      <c r="AB149" s="1"/>
      <c r="AC149" s="1"/>
    </row>
    <row r="150" spans="1:29" x14ac:dyDescent="0.2">
      <c r="A150" s="1"/>
      <c r="B150" s="1"/>
      <c r="C150" s="1"/>
      <c r="D150" s="1"/>
      <c r="E150" s="1"/>
      <c r="F150" s="1"/>
      <c r="G150" s="1"/>
      <c r="H150" s="1"/>
      <c r="I150" s="1"/>
      <c r="J150" s="1"/>
      <c r="K150" s="350"/>
      <c r="L150" s="350"/>
      <c r="M150" s="1"/>
      <c r="N150" s="1"/>
      <c r="O150" s="1"/>
      <c r="P150" s="1"/>
      <c r="Q150" s="1"/>
      <c r="R150" s="1"/>
      <c r="S150" s="1"/>
      <c r="T150" s="1"/>
      <c r="U150" s="1"/>
      <c r="V150" s="1"/>
      <c r="W150" s="1"/>
      <c r="X150" s="1"/>
      <c r="Y150" s="1"/>
      <c r="Z150" s="1"/>
      <c r="AA150" s="1"/>
      <c r="AB150" s="1"/>
      <c r="AC150" s="1"/>
    </row>
    <row r="151" spans="1:29" x14ac:dyDescent="0.2">
      <c r="A151" s="1"/>
      <c r="B151" s="1"/>
      <c r="C151" s="1"/>
      <c r="D151" s="1"/>
      <c r="E151" s="1"/>
      <c r="F151" s="1"/>
      <c r="G151" s="1"/>
      <c r="H151" s="1"/>
      <c r="I151" s="1"/>
      <c r="J151" s="1"/>
      <c r="K151" s="350"/>
      <c r="L151" s="350"/>
      <c r="M151" s="1"/>
      <c r="N151" s="1"/>
      <c r="O151" s="1"/>
      <c r="P151" s="1"/>
      <c r="Q151" s="1"/>
      <c r="R151" s="1"/>
      <c r="S151" s="1"/>
      <c r="T151" s="1"/>
      <c r="U151" s="1"/>
      <c r="V151" s="1"/>
      <c r="W151" s="1"/>
      <c r="X151" s="1"/>
      <c r="Y151" s="1"/>
      <c r="Z151" s="1"/>
      <c r="AA151" s="1"/>
      <c r="AB151" s="1"/>
      <c r="AC151" s="1"/>
    </row>
    <row r="152" spans="1:29" x14ac:dyDescent="0.2">
      <c r="A152" s="1"/>
      <c r="B152" s="1"/>
      <c r="C152" s="1"/>
      <c r="D152" s="1"/>
      <c r="E152" s="1"/>
      <c r="F152" s="1"/>
      <c r="G152" s="1"/>
      <c r="H152" s="1"/>
      <c r="I152" s="1"/>
      <c r="J152" s="1"/>
      <c r="K152" s="350"/>
      <c r="L152" s="350"/>
      <c r="M152" s="1"/>
      <c r="N152" s="1"/>
      <c r="O152" s="1"/>
      <c r="P152" s="1"/>
      <c r="Q152" s="1"/>
      <c r="R152" s="1"/>
      <c r="S152" s="1"/>
      <c r="T152" s="1"/>
      <c r="U152" s="1"/>
      <c r="V152" s="1"/>
      <c r="W152" s="1"/>
      <c r="X152" s="1"/>
      <c r="Y152" s="1"/>
      <c r="Z152" s="1"/>
      <c r="AA152" s="1"/>
      <c r="AB152" s="1"/>
      <c r="AC152" s="1"/>
    </row>
    <row r="153" spans="1:29" x14ac:dyDescent="0.2">
      <c r="A153" s="1"/>
      <c r="B153" s="1"/>
      <c r="C153" s="1"/>
      <c r="D153" s="1"/>
      <c r="E153" s="1"/>
      <c r="F153" s="1"/>
      <c r="G153" s="1"/>
      <c r="H153" s="1"/>
      <c r="I153" s="1"/>
      <c r="J153" s="1"/>
      <c r="K153" s="350"/>
      <c r="L153" s="350"/>
      <c r="M153" s="1"/>
      <c r="N153" s="1"/>
      <c r="O153" s="1"/>
      <c r="P153" s="1"/>
      <c r="Q153" s="1"/>
      <c r="R153" s="1"/>
      <c r="S153" s="1"/>
      <c r="T153" s="1"/>
      <c r="U153" s="1"/>
      <c r="V153" s="1"/>
      <c r="W153" s="1"/>
      <c r="X153" s="1"/>
      <c r="Y153" s="1"/>
      <c r="Z153" s="1"/>
      <c r="AA153" s="1"/>
      <c r="AB153" s="1"/>
      <c r="AC153" s="1"/>
    </row>
    <row r="154" spans="1:29" x14ac:dyDescent="0.2">
      <c r="A154" s="1"/>
      <c r="B154" s="1"/>
      <c r="C154" s="1"/>
      <c r="D154" s="1"/>
      <c r="E154" s="1"/>
      <c r="F154" s="1"/>
      <c r="G154" s="1"/>
      <c r="H154" s="1"/>
      <c r="I154" s="1"/>
      <c r="J154" s="1"/>
      <c r="K154" s="350"/>
      <c r="L154" s="350"/>
      <c r="M154" s="1"/>
      <c r="N154" s="1"/>
      <c r="O154" s="1"/>
      <c r="P154" s="1"/>
      <c r="Q154" s="1"/>
      <c r="R154" s="1"/>
      <c r="S154" s="1"/>
      <c r="T154" s="1"/>
      <c r="U154" s="1"/>
      <c r="V154" s="1"/>
      <c r="W154" s="1"/>
      <c r="X154" s="1"/>
      <c r="Y154" s="1"/>
      <c r="Z154" s="1"/>
      <c r="AA154" s="1"/>
      <c r="AB154" s="1"/>
      <c r="AC154" s="1"/>
    </row>
    <row r="155" spans="1:29" x14ac:dyDescent="0.2">
      <c r="A155" s="1"/>
      <c r="B155" s="1"/>
      <c r="C155" s="1"/>
      <c r="D155" s="1"/>
      <c r="E155" s="1"/>
      <c r="F155" s="1"/>
      <c r="G155" s="1"/>
      <c r="H155" s="1"/>
      <c r="I155" s="1"/>
      <c r="J155" s="1"/>
      <c r="K155" s="350"/>
      <c r="L155" s="350"/>
      <c r="M155" s="1"/>
      <c r="N155" s="1"/>
      <c r="O155" s="1"/>
      <c r="P155" s="1"/>
      <c r="Q155" s="1"/>
      <c r="R155" s="1"/>
      <c r="S155" s="1"/>
      <c r="T155" s="1"/>
      <c r="U155" s="1"/>
      <c r="V155" s="1"/>
      <c r="W155" s="1"/>
      <c r="X155" s="1"/>
      <c r="Y155" s="1"/>
      <c r="Z155" s="1"/>
      <c r="AA155" s="1"/>
      <c r="AB155" s="1"/>
      <c r="AC155" s="1"/>
    </row>
    <row r="156" spans="1:29" x14ac:dyDescent="0.2">
      <c r="A156" s="1"/>
      <c r="B156" s="1"/>
      <c r="C156" s="1"/>
      <c r="D156" s="1"/>
      <c r="E156" s="1"/>
      <c r="F156" s="1"/>
      <c r="G156" s="1"/>
      <c r="H156" s="1"/>
      <c r="I156" s="1"/>
      <c r="J156" s="1"/>
      <c r="K156" s="350"/>
      <c r="L156" s="350"/>
      <c r="M156" s="1"/>
      <c r="N156" s="1"/>
      <c r="O156" s="1"/>
      <c r="P156" s="1"/>
      <c r="Q156" s="1"/>
      <c r="R156" s="1"/>
      <c r="S156" s="1"/>
      <c r="T156" s="1"/>
      <c r="U156" s="1"/>
      <c r="V156" s="1"/>
      <c r="W156" s="1"/>
      <c r="X156" s="1"/>
      <c r="Y156" s="1"/>
      <c r="Z156" s="1"/>
      <c r="AA156" s="1"/>
      <c r="AB156" s="1"/>
      <c r="AC156" s="1"/>
    </row>
    <row r="157" spans="1:29" x14ac:dyDescent="0.2">
      <c r="A157" s="1"/>
      <c r="B157" s="1"/>
      <c r="C157" s="1"/>
      <c r="D157" s="1"/>
      <c r="E157" s="1"/>
      <c r="F157" s="1"/>
      <c r="G157" s="1"/>
      <c r="H157" s="1"/>
      <c r="I157" s="1"/>
      <c r="J157" s="1"/>
      <c r="K157" s="350"/>
      <c r="L157" s="350"/>
      <c r="M157" s="1"/>
      <c r="N157" s="1"/>
      <c r="O157" s="1"/>
      <c r="P157" s="1"/>
      <c r="Q157" s="1"/>
      <c r="R157" s="1"/>
      <c r="S157" s="1"/>
      <c r="T157" s="1"/>
      <c r="U157" s="1"/>
      <c r="V157" s="1"/>
      <c r="W157" s="1"/>
      <c r="X157" s="1"/>
      <c r="Y157" s="1"/>
      <c r="Z157" s="1"/>
      <c r="AA157" s="1"/>
      <c r="AB157" s="1"/>
      <c r="AC157" s="1"/>
    </row>
    <row r="158" spans="1:29" x14ac:dyDescent="0.2">
      <c r="A158" s="1"/>
      <c r="B158" s="1"/>
      <c r="C158" s="1"/>
      <c r="D158" s="1"/>
      <c r="E158" s="1"/>
      <c r="F158" s="1"/>
      <c r="G158" s="1"/>
      <c r="H158" s="1"/>
      <c r="I158" s="1"/>
      <c r="J158" s="1"/>
      <c r="K158" s="350"/>
      <c r="L158" s="350"/>
      <c r="M158" s="1"/>
      <c r="N158" s="1"/>
      <c r="O158" s="1"/>
      <c r="P158" s="1"/>
      <c r="Q158" s="1"/>
      <c r="R158" s="1"/>
      <c r="S158" s="1"/>
      <c r="T158" s="1"/>
      <c r="U158" s="1"/>
      <c r="V158" s="1"/>
      <c r="W158" s="1"/>
      <c r="X158" s="1"/>
      <c r="Y158" s="1"/>
      <c r="Z158" s="1"/>
      <c r="AA158" s="1"/>
      <c r="AB158" s="1"/>
      <c r="AC158" s="1"/>
    </row>
    <row r="159" spans="1:29" x14ac:dyDescent="0.2">
      <c r="A159" s="1"/>
      <c r="B159" s="1"/>
      <c r="C159" s="1"/>
      <c r="D159" s="1"/>
      <c r="E159" s="1"/>
      <c r="F159" s="1"/>
      <c r="G159" s="1"/>
      <c r="H159" s="1"/>
      <c r="I159" s="1"/>
      <c r="J159" s="1"/>
      <c r="K159" s="350"/>
      <c r="L159" s="350"/>
      <c r="M159" s="1"/>
      <c r="N159" s="1"/>
      <c r="O159" s="1"/>
      <c r="P159" s="1"/>
      <c r="Q159" s="1"/>
      <c r="R159" s="1"/>
      <c r="S159" s="1"/>
      <c r="T159" s="1"/>
      <c r="U159" s="1"/>
      <c r="V159" s="1"/>
      <c r="W159" s="1"/>
      <c r="X159" s="1"/>
      <c r="Y159" s="1"/>
      <c r="Z159" s="1"/>
      <c r="AA159" s="1"/>
      <c r="AB159" s="1"/>
      <c r="AC159" s="1"/>
    </row>
    <row r="160" spans="1:29" x14ac:dyDescent="0.2">
      <c r="A160" s="1"/>
      <c r="B160" s="1"/>
      <c r="C160" s="1"/>
      <c r="D160" s="1"/>
      <c r="E160" s="1"/>
      <c r="F160" s="1"/>
      <c r="G160" s="1"/>
      <c r="H160" s="1"/>
      <c r="I160" s="1"/>
      <c r="J160" s="1"/>
      <c r="K160" s="350"/>
      <c r="L160" s="350"/>
      <c r="M160" s="1"/>
      <c r="N160" s="1"/>
      <c r="O160" s="1"/>
      <c r="P160" s="1"/>
      <c r="Q160" s="1"/>
      <c r="R160" s="1"/>
      <c r="S160" s="1"/>
      <c r="T160" s="1"/>
      <c r="U160" s="1"/>
      <c r="V160" s="1"/>
      <c r="W160" s="1"/>
      <c r="X160" s="1"/>
      <c r="Y160" s="1"/>
      <c r="Z160" s="1"/>
      <c r="AA160" s="1"/>
      <c r="AB160" s="1"/>
      <c r="AC160" s="1"/>
    </row>
    <row r="161" spans="1:29" x14ac:dyDescent="0.2">
      <c r="A161" s="1"/>
      <c r="B161" s="1"/>
      <c r="C161" s="1"/>
      <c r="D161" s="1"/>
      <c r="E161" s="1"/>
      <c r="F161" s="1"/>
      <c r="G161" s="1"/>
      <c r="H161" s="1"/>
      <c r="I161" s="1"/>
      <c r="J161" s="1"/>
      <c r="K161" s="350"/>
      <c r="L161" s="350"/>
      <c r="M161" s="1"/>
      <c r="N161" s="1"/>
      <c r="O161" s="1"/>
      <c r="P161" s="1"/>
      <c r="Q161" s="1"/>
      <c r="R161" s="1"/>
      <c r="S161" s="1"/>
      <c r="T161" s="1"/>
      <c r="U161" s="1"/>
      <c r="V161" s="1"/>
      <c r="W161" s="1"/>
      <c r="X161" s="1"/>
      <c r="Y161" s="1"/>
      <c r="Z161" s="1"/>
      <c r="AA161" s="1"/>
      <c r="AB161" s="1"/>
      <c r="AC161" s="1"/>
    </row>
    <row r="162" spans="1:29" x14ac:dyDescent="0.2">
      <c r="A162" s="1"/>
      <c r="B162" s="1"/>
      <c r="C162" s="1"/>
      <c r="D162" s="1"/>
      <c r="E162" s="1"/>
      <c r="F162" s="1"/>
      <c r="G162" s="1"/>
      <c r="H162" s="1"/>
      <c r="I162" s="1"/>
      <c r="J162" s="1"/>
      <c r="K162" s="350"/>
      <c r="L162" s="350"/>
      <c r="M162" s="1"/>
      <c r="N162" s="1"/>
      <c r="O162" s="1"/>
      <c r="P162" s="1"/>
      <c r="Q162" s="1"/>
      <c r="R162" s="1"/>
      <c r="S162" s="1"/>
      <c r="T162" s="1"/>
      <c r="U162" s="1"/>
      <c r="V162" s="1"/>
      <c r="W162" s="1"/>
      <c r="X162" s="1"/>
      <c r="Y162" s="1"/>
      <c r="Z162" s="1"/>
      <c r="AA162" s="1"/>
      <c r="AB162" s="1"/>
      <c r="AC162" s="1"/>
    </row>
    <row r="163" spans="1:29" x14ac:dyDescent="0.2">
      <c r="A163" s="1"/>
      <c r="B163" s="1"/>
      <c r="C163" s="1"/>
      <c r="D163" s="1"/>
      <c r="E163" s="1"/>
      <c r="F163" s="1"/>
      <c r="G163" s="1"/>
      <c r="H163" s="1"/>
      <c r="I163" s="1"/>
      <c r="J163" s="1"/>
      <c r="K163" s="350"/>
      <c r="L163" s="350"/>
      <c r="M163" s="1"/>
      <c r="N163" s="1"/>
      <c r="O163" s="1"/>
      <c r="P163" s="1"/>
      <c r="Q163" s="1"/>
      <c r="R163" s="1"/>
      <c r="S163" s="1"/>
      <c r="T163" s="1"/>
      <c r="U163" s="1"/>
      <c r="V163" s="1"/>
      <c r="W163" s="1"/>
      <c r="X163" s="1"/>
      <c r="Y163" s="1"/>
      <c r="Z163" s="1"/>
      <c r="AA163" s="1"/>
      <c r="AB163" s="1"/>
      <c r="AC163" s="1"/>
    </row>
    <row r="164" spans="1:29" x14ac:dyDescent="0.2">
      <c r="A164" s="1"/>
      <c r="B164" s="1"/>
      <c r="C164" s="1"/>
      <c r="D164" s="1"/>
      <c r="E164" s="1"/>
      <c r="F164" s="1"/>
      <c r="G164" s="1"/>
      <c r="H164" s="1"/>
      <c r="I164" s="1"/>
      <c r="J164" s="1"/>
      <c r="K164" s="350"/>
      <c r="L164" s="350"/>
      <c r="M164" s="1"/>
      <c r="N164" s="1"/>
      <c r="O164" s="1"/>
      <c r="P164" s="1"/>
      <c r="Q164" s="1"/>
      <c r="R164" s="1"/>
      <c r="S164" s="1"/>
      <c r="T164" s="1"/>
      <c r="U164" s="1"/>
      <c r="V164" s="1"/>
      <c r="W164" s="1"/>
      <c r="X164" s="1"/>
      <c r="Y164" s="1"/>
      <c r="Z164" s="1"/>
      <c r="AA164" s="1"/>
      <c r="AB164" s="1"/>
      <c r="AC164" s="1"/>
    </row>
    <row r="165" spans="1:29" x14ac:dyDescent="0.2">
      <c r="A165" s="1"/>
      <c r="B165" s="1"/>
      <c r="C165" s="1"/>
      <c r="D165" s="1"/>
      <c r="E165" s="1"/>
      <c r="F165" s="1"/>
      <c r="G165" s="1"/>
      <c r="H165" s="1"/>
      <c r="I165" s="1"/>
      <c r="J165" s="1"/>
      <c r="K165" s="350"/>
      <c r="L165" s="350"/>
      <c r="M165" s="1"/>
      <c r="N165" s="1"/>
      <c r="O165" s="1"/>
      <c r="P165" s="1"/>
      <c r="Q165" s="1"/>
      <c r="R165" s="1"/>
      <c r="S165" s="1"/>
      <c r="T165" s="1"/>
      <c r="U165" s="1"/>
      <c r="V165" s="1"/>
      <c r="W165" s="1"/>
      <c r="X165" s="1"/>
      <c r="Y165" s="1"/>
      <c r="Z165" s="1"/>
      <c r="AA165" s="1"/>
      <c r="AB165" s="1"/>
      <c r="AC165" s="1"/>
    </row>
    <row r="166" spans="1:29" x14ac:dyDescent="0.2">
      <c r="A166" s="1"/>
      <c r="B166" s="1"/>
      <c r="C166" s="1"/>
      <c r="D166" s="1"/>
      <c r="E166" s="1"/>
      <c r="F166" s="1"/>
      <c r="G166" s="1"/>
      <c r="H166" s="1"/>
      <c r="I166" s="1"/>
      <c r="J166" s="1"/>
      <c r="K166" s="350"/>
      <c r="L166" s="350"/>
      <c r="M166" s="1"/>
      <c r="N166" s="1"/>
      <c r="O166" s="1"/>
      <c r="P166" s="1"/>
      <c r="Q166" s="1"/>
      <c r="R166" s="1"/>
      <c r="S166" s="1"/>
      <c r="T166" s="1"/>
      <c r="U166" s="1"/>
      <c r="V166" s="1"/>
      <c r="W166" s="1"/>
      <c r="X166" s="1"/>
      <c r="Y166" s="1"/>
      <c r="Z166" s="1"/>
      <c r="AA166" s="1"/>
      <c r="AB166" s="1"/>
      <c r="AC166" s="1"/>
    </row>
    <row r="167" spans="1:29" x14ac:dyDescent="0.2">
      <c r="A167" s="1"/>
      <c r="B167" s="1"/>
      <c r="C167" s="1"/>
      <c r="D167" s="1"/>
      <c r="E167" s="1"/>
      <c r="F167" s="1"/>
      <c r="G167" s="1"/>
      <c r="H167" s="1"/>
      <c r="I167" s="1"/>
      <c r="J167" s="1"/>
      <c r="K167" s="350"/>
      <c r="L167" s="350"/>
      <c r="M167" s="1"/>
      <c r="N167" s="1"/>
      <c r="O167" s="1"/>
      <c r="P167" s="1"/>
      <c r="Q167" s="1"/>
      <c r="R167" s="1"/>
      <c r="S167" s="1"/>
      <c r="T167" s="1"/>
      <c r="U167" s="1"/>
      <c r="V167" s="1"/>
      <c r="W167" s="1"/>
      <c r="X167" s="1"/>
      <c r="Y167" s="1"/>
      <c r="Z167" s="1"/>
      <c r="AA167" s="1"/>
      <c r="AB167" s="1"/>
      <c r="AC167" s="1"/>
    </row>
    <row r="168" spans="1:29" x14ac:dyDescent="0.2">
      <c r="A168" s="1"/>
      <c r="B168" s="1"/>
      <c r="C168" s="1"/>
      <c r="D168" s="1"/>
      <c r="E168" s="1"/>
      <c r="F168" s="1"/>
      <c r="G168" s="1"/>
      <c r="H168" s="1"/>
      <c r="I168" s="1"/>
      <c r="J168" s="1"/>
      <c r="K168" s="350"/>
      <c r="L168" s="350"/>
      <c r="M168" s="1"/>
      <c r="N168" s="1"/>
      <c r="O168" s="1"/>
      <c r="P168" s="1"/>
      <c r="Q168" s="1"/>
      <c r="R168" s="1"/>
      <c r="S168" s="1"/>
      <c r="T168" s="1"/>
      <c r="U168" s="1"/>
      <c r="V168" s="1"/>
      <c r="W168" s="1"/>
      <c r="X168" s="1"/>
      <c r="Y168" s="1"/>
      <c r="Z168" s="1"/>
      <c r="AA168" s="1"/>
      <c r="AB168" s="1"/>
      <c r="AC168" s="1"/>
    </row>
    <row r="169" spans="1:29" x14ac:dyDescent="0.2">
      <c r="A169" s="1"/>
      <c r="B169" s="1"/>
      <c r="C169" s="1"/>
      <c r="D169" s="1"/>
      <c r="E169" s="1"/>
      <c r="F169" s="1"/>
      <c r="G169" s="1"/>
      <c r="H169" s="1"/>
      <c r="I169" s="1"/>
      <c r="J169" s="1"/>
      <c r="K169" s="350"/>
      <c r="L169" s="350"/>
      <c r="M169" s="1"/>
      <c r="N169" s="1"/>
      <c r="O169" s="1"/>
      <c r="P169" s="1"/>
      <c r="Q169" s="1"/>
      <c r="R169" s="1"/>
      <c r="S169" s="1"/>
      <c r="T169" s="1"/>
      <c r="U169" s="1"/>
      <c r="V169" s="1"/>
      <c r="W169" s="1"/>
      <c r="X169" s="1"/>
      <c r="Y169" s="1"/>
      <c r="Z169" s="1"/>
      <c r="AA169" s="1"/>
      <c r="AB169" s="1"/>
      <c r="AC169" s="1"/>
    </row>
    <row r="170" spans="1:29" x14ac:dyDescent="0.2">
      <c r="A170" s="1"/>
      <c r="B170" s="1"/>
      <c r="C170" s="1"/>
      <c r="D170" s="1"/>
      <c r="E170" s="1"/>
      <c r="F170" s="1"/>
      <c r="G170" s="1"/>
      <c r="H170" s="1"/>
      <c r="I170" s="1"/>
      <c r="J170" s="1"/>
      <c r="K170" s="350"/>
      <c r="L170" s="350"/>
      <c r="M170" s="1"/>
      <c r="N170" s="1"/>
      <c r="O170" s="1"/>
      <c r="P170" s="1"/>
      <c r="Q170" s="1"/>
      <c r="R170" s="1"/>
      <c r="S170" s="1"/>
      <c r="T170" s="1"/>
      <c r="U170" s="1"/>
      <c r="V170" s="1"/>
      <c r="W170" s="1"/>
      <c r="X170" s="1"/>
      <c r="Y170" s="1"/>
      <c r="Z170" s="1"/>
      <c r="AA170" s="1"/>
      <c r="AB170" s="1"/>
      <c r="AC170" s="1"/>
    </row>
    <row r="171" spans="1:29" x14ac:dyDescent="0.2">
      <c r="A171" s="1"/>
      <c r="B171" s="1"/>
      <c r="C171" s="1"/>
      <c r="D171" s="1"/>
      <c r="E171" s="1"/>
      <c r="F171" s="1"/>
      <c r="G171" s="1"/>
      <c r="H171" s="1"/>
      <c r="I171" s="1"/>
      <c r="J171" s="1"/>
      <c r="K171" s="350"/>
      <c r="L171" s="350"/>
      <c r="M171" s="1"/>
      <c r="N171" s="1"/>
      <c r="O171" s="1"/>
      <c r="P171" s="1"/>
      <c r="Q171" s="1"/>
      <c r="R171" s="1"/>
      <c r="S171" s="1"/>
      <c r="T171" s="1"/>
      <c r="U171" s="1"/>
      <c r="V171" s="1"/>
      <c r="W171" s="1"/>
      <c r="X171" s="1"/>
      <c r="Y171" s="1"/>
      <c r="Z171" s="1"/>
      <c r="AA171" s="1"/>
      <c r="AB171" s="1"/>
      <c r="AC171" s="1"/>
    </row>
    <row r="172" spans="1:29" x14ac:dyDescent="0.2">
      <c r="A172" s="1"/>
      <c r="B172" s="1"/>
      <c r="C172" s="1"/>
      <c r="D172" s="1"/>
      <c r="E172" s="1"/>
      <c r="F172" s="1"/>
      <c r="G172" s="1"/>
      <c r="H172" s="1"/>
      <c r="I172" s="1"/>
      <c r="J172" s="1"/>
      <c r="K172" s="350"/>
      <c r="L172" s="350"/>
      <c r="M172" s="1"/>
      <c r="N172" s="1"/>
      <c r="O172" s="1"/>
      <c r="P172" s="1"/>
      <c r="Q172" s="1"/>
      <c r="R172" s="1"/>
      <c r="S172" s="1"/>
      <c r="T172" s="1"/>
      <c r="U172" s="1"/>
      <c r="V172" s="1"/>
      <c r="W172" s="1"/>
      <c r="X172" s="1"/>
      <c r="Y172" s="1"/>
      <c r="Z172" s="1"/>
      <c r="AA172" s="1"/>
      <c r="AB172" s="1"/>
      <c r="AC172" s="1"/>
    </row>
    <row r="173" spans="1:29" x14ac:dyDescent="0.2">
      <c r="A173" s="1"/>
      <c r="B173" s="1"/>
      <c r="C173" s="1"/>
      <c r="D173" s="1"/>
      <c r="E173" s="1"/>
      <c r="F173" s="1"/>
      <c r="G173" s="1"/>
      <c r="H173" s="1"/>
      <c r="I173" s="1"/>
      <c r="J173" s="1"/>
      <c r="K173" s="350"/>
      <c r="L173" s="350"/>
      <c r="M173" s="1"/>
      <c r="N173" s="1"/>
      <c r="O173" s="1"/>
      <c r="P173" s="1"/>
      <c r="Q173" s="1"/>
      <c r="R173" s="1"/>
      <c r="S173" s="1"/>
      <c r="T173" s="1"/>
      <c r="U173" s="1"/>
      <c r="V173" s="1"/>
      <c r="W173" s="1"/>
      <c r="X173" s="1"/>
      <c r="Y173" s="1"/>
      <c r="Z173" s="1"/>
      <c r="AA173" s="1"/>
      <c r="AB173" s="1"/>
      <c r="AC173" s="1"/>
    </row>
    <row r="174" spans="1:29" x14ac:dyDescent="0.2">
      <c r="A174" s="1"/>
      <c r="B174" s="1"/>
      <c r="C174" s="1"/>
      <c r="D174" s="1"/>
      <c r="E174" s="1"/>
      <c r="F174" s="1"/>
      <c r="G174" s="1"/>
      <c r="H174" s="1"/>
      <c r="I174" s="1"/>
      <c r="J174" s="1"/>
      <c r="K174" s="350"/>
      <c r="L174" s="350"/>
      <c r="M174" s="1"/>
      <c r="N174" s="1"/>
      <c r="O174" s="1"/>
      <c r="P174" s="1"/>
      <c r="Q174" s="1"/>
      <c r="R174" s="1"/>
      <c r="S174" s="1"/>
      <c r="T174" s="1"/>
      <c r="U174" s="1"/>
      <c r="V174" s="1"/>
      <c r="W174" s="1"/>
      <c r="X174" s="1"/>
      <c r="Y174" s="1"/>
      <c r="Z174" s="1"/>
      <c r="AA174" s="1"/>
      <c r="AB174" s="1"/>
      <c r="AC174" s="1"/>
    </row>
    <row r="175" spans="1:29" x14ac:dyDescent="0.2">
      <c r="A175" s="1"/>
      <c r="B175" s="1"/>
      <c r="C175" s="1"/>
      <c r="D175" s="1"/>
      <c r="E175" s="1"/>
      <c r="F175" s="1"/>
      <c r="G175" s="1"/>
      <c r="H175" s="1"/>
      <c r="I175" s="1"/>
      <c r="J175" s="1"/>
      <c r="K175" s="350"/>
      <c r="L175" s="350"/>
      <c r="M175" s="1"/>
      <c r="N175" s="1"/>
      <c r="O175" s="1"/>
      <c r="P175" s="1"/>
      <c r="Q175" s="1"/>
      <c r="R175" s="1"/>
      <c r="S175" s="1"/>
      <c r="T175" s="1"/>
      <c r="U175" s="1"/>
      <c r="V175" s="1"/>
      <c r="W175" s="1"/>
      <c r="X175" s="1"/>
      <c r="Y175" s="1"/>
      <c r="Z175" s="1"/>
      <c r="AA175" s="1"/>
      <c r="AB175" s="1"/>
      <c r="AC175" s="1"/>
    </row>
    <row r="176" spans="1:29" x14ac:dyDescent="0.2">
      <c r="A176" s="1"/>
      <c r="B176" s="1"/>
      <c r="C176" s="1"/>
      <c r="D176" s="1"/>
      <c r="E176" s="1"/>
      <c r="F176" s="1"/>
      <c r="G176" s="1"/>
      <c r="H176" s="1"/>
      <c r="I176" s="1"/>
      <c r="J176" s="1"/>
      <c r="K176" s="350"/>
      <c r="L176" s="350"/>
      <c r="M176" s="1"/>
      <c r="N176" s="1"/>
      <c r="O176" s="1"/>
      <c r="P176" s="1"/>
      <c r="Q176" s="1"/>
      <c r="R176" s="1"/>
      <c r="S176" s="1"/>
      <c r="T176" s="1"/>
      <c r="U176" s="1"/>
      <c r="V176" s="1"/>
      <c r="W176" s="1"/>
      <c r="X176" s="1"/>
      <c r="Y176" s="1"/>
      <c r="Z176" s="1"/>
      <c r="AA176" s="1"/>
      <c r="AB176" s="1"/>
      <c r="AC176" s="1"/>
    </row>
    <row r="177" spans="1:29" x14ac:dyDescent="0.2">
      <c r="A177" s="1"/>
      <c r="B177" s="1"/>
      <c r="C177" s="1"/>
      <c r="D177" s="1"/>
      <c r="E177" s="1"/>
      <c r="F177" s="1"/>
      <c r="G177" s="1"/>
      <c r="H177" s="1"/>
      <c r="I177" s="1"/>
      <c r="J177" s="1"/>
      <c r="K177" s="350"/>
      <c r="L177" s="350"/>
      <c r="M177" s="1"/>
      <c r="N177" s="1"/>
      <c r="O177" s="1"/>
      <c r="P177" s="1"/>
      <c r="Q177" s="1"/>
      <c r="R177" s="1"/>
      <c r="S177" s="1"/>
      <c r="T177" s="1"/>
      <c r="U177" s="1"/>
      <c r="V177" s="1"/>
      <c r="W177" s="1"/>
      <c r="X177" s="1"/>
      <c r="Y177" s="1"/>
      <c r="Z177" s="1"/>
      <c r="AA177" s="1"/>
      <c r="AB177" s="1"/>
      <c r="AC177" s="1"/>
    </row>
    <row r="178" spans="1:29" x14ac:dyDescent="0.2">
      <c r="A178" s="1"/>
      <c r="B178" s="1"/>
      <c r="C178" s="1"/>
      <c r="D178" s="1"/>
      <c r="E178" s="1"/>
      <c r="F178" s="1"/>
      <c r="G178" s="1"/>
      <c r="H178" s="1"/>
      <c r="I178" s="1"/>
      <c r="J178" s="1"/>
      <c r="K178" s="350"/>
      <c r="L178" s="350"/>
      <c r="M178" s="1"/>
      <c r="N178" s="1"/>
      <c r="O178" s="1"/>
      <c r="P178" s="1"/>
      <c r="Q178" s="1"/>
      <c r="R178" s="1"/>
      <c r="S178" s="1"/>
      <c r="T178" s="1"/>
      <c r="U178" s="1"/>
      <c r="V178" s="1"/>
      <c r="W178" s="1"/>
      <c r="X178" s="1"/>
      <c r="Y178" s="1"/>
      <c r="Z178" s="1"/>
      <c r="AA178" s="1"/>
      <c r="AB178" s="1"/>
      <c r="AC178" s="1"/>
    </row>
    <row r="179" spans="1:29" x14ac:dyDescent="0.2">
      <c r="A179" s="1"/>
      <c r="B179" s="1"/>
      <c r="C179" s="1"/>
      <c r="D179" s="1"/>
      <c r="E179" s="1"/>
      <c r="F179" s="1"/>
      <c r="G179" s="1"/>
      <c r="H179" s="1"/>
      <c r="I179" s="1"/>
      <c r="J179" s="1"/>
      <c r="K179" s="350"/>
      <c r="L179" s="350"/>
      <c r="M179" s="1"/>
      <c r="N179" s="1"/>
      <c r="O179" s="1"/>
      <c r="P179" s="1"/>
      <c r="Q179" s="1"/>
      <c r="R179" s="1"/>
      <c r="S179" s="1"/>
      <c r="T179" s="1"/>
      <c r="U179" s="1"/>
      <c r="V179" s="1"/>
      <c r="W179" s="1"/>
      <c r="X179" s="1"/>
      <c r="Y179" s="1"/>
      <c r="Z179" s="1"/>
      <c r="AA179" s="1"/>
      <c r="AB179" s="1"/>
      <c r="AC179" s="1"/>
    </row>
    <row r="180" spans="1:29" x14ac:dyDescent="0.2">
      <c r="A180" s="1"/>
      <c r="B180" s="1"/>
      <c r="C180" s="1"/>
      <c r="D180" s="1"/>
      <c r="E180" s="1"/>
      <c r="F180" s="1"/>
      <c r="G180" s="1"/>
      <c r="H180" s="1"/>
      <c r="I180" s="1"/>
      <c r="J180" s="1"/>
      <c r="K180" s="350"/>
      <c r="L180" s="350"/>
      <c r="M180" s="1"/>
      <c r="N180" s="1"/>
      <c r="O180" s="1"/>
      <c r="P180" s="1"/>
      <c r="Q180" s="1"/>
      <c r="R180" s="1"/>
      <c r="S180" s="1"/>
      <c r="T180" s="1"/>
      <c r="U180" s="1"/>
      <c r="V180" s="1"/>
      <c r="W180" s="1"/>
      <c r="X180" s="1"/>
      <c r="Y180" s="1"/>
      <c r="Z180" s="1"/>
      <c r="AA180" s="1"/>
      <c r="AB180" s="1"/>
      <c r="AC180" s="1"/>
    </row>
    <row r="181" spans="1:29" x14ac:dyDescent="0.2">
      <c r="A181" s="1"/>
      <c r="B181" s="1"/>
      <c r="C181" s="1"/>
      <c r="D181" s="1"/>
      <c r="E181" s="1"/>
      <c r="F181" s="1"/>
      <c r="G181" s="1"/>
      <c r="H181" s="1"/>
      <c r="I181" s="1"/>
      <c r="J181" s="1"/>
      <c r="K181" s="350"/>
      <c r="L181" s="350"/>
      <c r="M181" s="1"/>
      <c r="N181" s="1"/>
      <c r="O181" s="1"/>
      <c r="P181" s="1"/>
      <c r="Q181" s="1"/>
      <c r="R181" s="1"/>
      <c r="S181" s="1"/>
      <c r="T181" s="1"/>
      <c r="U181" s="1"/>
      <c r="V181" s="1"/>
      <c r="W181" s="1"/>
      <c r="X181" s="1"/>
      <c r="Y181" s="1"/>
      <c r="Z181" s="1"/>
      <c r="AA181" s="1"/>
      <c r="AB181" s="1"/>
      <c r="AC181" s="1"/>
    </row>
    <row r="182" spans="1:29" x14ac:dyDescent="0.2">
      <c r="A182" s="1"/>
      <c r="B182" s="1"/>
      <c r="C182" s="1"/>
      <c r="D182" s="1"/>
      <c r="E182" s="1"/>
      <c r="F182" s="1"/>
      <c r="G182" s="1"/>
      <c r="H182" s="1"/>
      <c r="I182" s="1"/>
      <c r="J182" s="1"/>
      <c r="K182" s="350"/>
      <c r="L182" s="350"/>
      <c r="M182" s="1"/>
      <c r="N182" s="1"/>
      <c r="O182" s="1"/>
      <c r="P182" s="1"/>
      <c r="Q182" s="1"/>
      <c r="R182" s="1"/>
      <c r="S182" s="1"/>
      <c r="T182" s="1"/>
      <c r="U182" s="1"/>
      <c r="V182" s="1"/>
      <c r="W182" s="1"/>
      <c r="X182" s="1"/>
      <c r="Y182" s="1"/>
      <c r="Z182" s="1"/>
      <c r="AA182" s="1"/>
      <c r="AB182" s="1"/>
      <c r="AC182" s="1"/>
    </row>
    <row r="183" spans="1:29" x14ac:dyDescent="0.2">
      <c r="A183" s="1"/>
      <c r="B183" s="1"/>
      <c r="C183" s="1"/>
      <c r="D183" s="1"/>
      <c r="E183" s="1"/>
      <c r="F183" s="1"/>
      <c r="G183" s="1"/>
      <c r="H183" s="1"/>
      <c r="I183" s="1"/>
      <c r="J183" s="1"/>
      <c r="K183" s="350"/>
      <c r="L183" s="350"/>
      <c r="M183" s="1"/>
      <c r="N183" s="1"/>
      <c r="O183" s="1"/>
      <c r="P183" s="1"/>
      <c r="Q183" s="1"/>
      <c r="R183" s="1"/>
      <c r="S183" s="1"/>
      <c r="T183" s="1"/>
      <c r="U183" s="1"/>
      <c r="V183" s="1"/>
      <c r="W183" s="1"/>
      <c r="X183" s="1"/>
      <c r="Y183" s="1"/>
      <c r="Z183" s="1"/>
      <c r="AA183" s="1"/>
      <c r="AB183" s="1"/>
      <c r="AC183" s="1"/>
    </row>
    <row r="184" spans="1:29" x14ac:dyDescent="0.2">
      <c r="A184" s="1"/>
      <c r="B184" s="1"/>
      <c r="C184" s="1"/>
      <c r="D184" s="1"/>
      <c r="E184" s="1"/>
      <c r="F184" s="1"/>
      <c r="G184" s="1"/>
      <c r="H184" s="1"/>
      <c r="I184" s="1"/>
      <c r="J184" s="1"/>
      <c r="K184" s="350"/>
      <c r="L184" s="350"/>
      <c r="M184" s="1"/>
      <c r="N184" s="1"/>
      <c r="O184" s="1"/>
      <c r="P184" s="1"/>
      <c r="Q184" s="1"/>
      <c r="R184" s="1"/>
      <c r="S184" s="1"/>
      <c r="T184" s="1"/>
      <c r="U184" s="1"/>
      <c r="V184" s="1"/>
      <c r="W184" s="1"/>
      <c r="X184" s="1"/>
      <c r="Y184" s="1"/>
      <c r="Z184" s="1"/>
      <c r="AA184" s="1"/>
      <c r="AB184" s="1"/>
      <c r="AC184" s="1"/>
    </row>
    <row r="185" spans="1:29" x14ac:dyDescent="0.2">
      <c r="A185" s="1"/>
      <c r="B185" s="1"/>
      <c r="C185" s="1"/>
      <c r="D185" s="1"/>
      <c r="E185" s="1"/>
      <c r="F185" s="1"/>
      <c r="G185" s="1"/>
      <c r="H185" s="1"/>
      <c r="I185" s="1"/>
      <c r="J185" s="1"/>
      <c r="K185" s="350"/>
      <c r="L185" s="350"/>
      <c r="M185" s="1"/>
      <c r="N185" s="1"/>
      <c r="O185" s="1"/>
      <c r="P185" s="1"/>
      <c r="Q185" s="1"/>
      <c r="R185" s="1"/>
      <c r="S185" s="1"/>
      <c r="T185" s="1"/>
      <c r="U185" s="1"/>
      <c r="V185" s="1"/>
      <c r="W185" s="1"/>
      <c r="X185" s="1"/>
      <c r="Y185" s="1"/>
      <c r="Z185" s="1"/>
      <c r="AA185" s="1"/>
      <c r="AB185" s="1"/>
      <c r="AC185" s="1"/>
    </row>
    <row r="186" spans="1:29" x14ac:dyDescent="0.2">
      <c r="A186" s="1"/>
      <c r="B186" s="1"/>
      <c r="C186" s="1"/>
      <c r="D186" s="1"/>
      <c r="E186" s="1"/>
      <c r="F186" s="1"/>
      <c r="G186" s="1"/>
      <c r="H186" s="1"/>
      <c r="I186" s="1"/>
      <c r="J186" s="1"/>
      <c r="K186" s="350"/>
      <c r="L186" s="350"/>
      <c r="M186" s="1"/>
      <c r="N186" s="1"/>
      <c r="O186" s="1"/>
      <c r="P186" s="1"/>
      <c r="Q186" s="1"/>
      <c r="R186" s="1"/>
      <c r="S186" s="1"/>
      <c r="T186" s="1"/>
      <c r="U186" s="1"/>
      <c r="V186" s="1"/>
      <c r="W186" s="1"/>
      <c r="X186" s="1"/>
      <c r="Y186" s="1"/>
      <c r="Z186" s="1"/>
      <c r="AA186" s="1"/>
      <c r="AB186" s="1"/>
      <c r="AC186" s="1"/>
    </row>
    <row r="187" spans="1:29" x14ac:dyDescent="0.2">
      <c r="A187" s="1"/>
      <c r="B187" s="1"/>
      <c r="C187" s="1"/>
      <c r="D187" s="1"/>
      <c r="E187" s="1"/>
      <c r="F187" s="1"/>
      <c r="G187" s="1"/>
      <c r="H187" s="1"/>
      <c r="I187" s="1"/>
      <c r="J187" s="1"/>
      <c r="K187" s="350"/>
      <c r="L187" s="350"/>
      <c r="M187" s="1"/>
      <c r="N187" s="1"/>
      <c r="O187" s="1"/>
      <c r="P187" s="1"/>
      <c r="Q187" s="1"/>
      <c r="R187" s="1"/>
      <c r="S187" s="1"/>
      <c r="T187" s="1"/>
      <c r="U187" s="1"/>
      <c r="V187" s="1"/>
      <c r="W187" s="1"/>
      <c r="X187" s="1"/>
      <c r="Y187" s="1"/>
      <c r="Z187" s="1"/>
      <c r="AA187" s="1"/>
      <c r="AB187" s="1"/>
      <c r="AC187" s="1"/>
    </row>
    <row r="188" spans="1:29" x14ac:dyDescent="0.2">
      <c r="A188" s="1"/>
      <c r="B188" s="1"/>
      <c r="C188" s="1"/>
      <c r="D188" s="1"/>
      <c r="E188" s="1"/>
      <c r="F188" s="1"/>
      <c r="G188" s="1"/>
      <c r="H188" s="1"/>
      <c r="I188" s="1"/>
      <c r="J188" s="1"/>
      <c r="K188" s="350"/>
      <c r="L188" s="350"/>
      <c r="M188" s="1"/>
      <c r="N188" s="1"/>
      <c r="O188" s="1"/>
      <c r="P188" s="1"/>
      <c r="Q188" s="1"/>
      <c r="R188" s="1"/>
      <c r="S188" s="1"/>
      <c r="T188" s="1"/>
      <c r="U188" s="1"/>
      <c r="V188" s="1"/>
      <c r="W188" s="1"/>
      <c r="X188" s="1"/>
      <c r="Y188" s="1"/>
      <c r="Z188" s="1"/>
      <c r="AA188" s="1"/>
      <c r="AB188" s="1"/>
      <c r="AC188" s="1"/>
    </row>
    <row r="189" spans="1:29" x14ac:dyDescent="0.2">
      <c r="A189" s="1"/>
      <c r="B189" s="1"/>
      <c r="C189" s="1"/>
      <c r="D189" s="1"/>
      <c r="E189" s="1"/>
      <c r="F189" s="1"/>
      <c r="G189" s="1"/>
      <c r="H189" s="1"/>
      <c r="I189" s="1"/>
      <c r="J189" s="1"/>
      <c r="K189" s="350"/>
      <c r="L189" s="350"/>
      <c r="M189" s="1"/>
      <c r="N189" s="1"/>
      <c r="O189" s="1"/>
      <c r="P189" s="1"/>
      <c r="Q189" s="1"/>
      <c r="R189" s="1"/>
      <c r="S189" s="1"/>
      <c r="T189" s="1"/>
      <c r="U189" s="1"/>
      <c r="V189" s="1"/>
      <c r="W189" s="1"/>
      <c r="X189" s="1"/>
      <c r="Y189" s="1"/>
      <c r="Z189" s="1"/>
      <c r="AA189" s="1"/>
      <c r="AB189" s="1"/>
      <c r="AC189" s="1"/>
    </row>
    <row r="190" spans="1:29" x14ac:dyDescent="0.2">
      <c r="A190" s="1"/>
      <c r="B190" s="1"/>
      <c r="C190" s="1"/>
      <c r="D190" s="1"/>
      <c r="E190" s="1"/>
      <c r="F190" s="1"/>
      <c r="G190" s="1"/>
      <c r="H190" s="1"/>
      <c r="I190" s="1"/>
      <c r="J190" s="1"/>
      <c r="K190" s="350"/>
      <c r="L190" s="350"/>
      <c r="M190" s="1"/>
      <c r="N190" s="1"/>
      <c r="O190" s="1"/>
      <c r="P190" s="1"/>
      <c r="Q190" s="1"/>
      <c r="R190" s="1"/>
      <c r="S190" s="1"/>
      <c r="T190" s="1"/>
      <c r="U190" s="1"/>
      <c r="V190" s="1"/>
      <c r="W190" s="1"/>
      <c r="X190" s="1"/>
      <c r="Y190" s="1"/>
      <c r="Z190" s="1"/>
      <c r="AA190" s="1"/>
      <c r="AB190" s="1"/>
      <c r="AC190" s="1"/>
    </row>
    <row r="191" spans="1:29" x14ac:dyDescent="0.2">
      <c r="A191" s="1"/>
      <c r="B191" s="1"/>
      <c r="C191" s="1"/>
      <c r="D191" s="1"/>
      <c r="E191" s="1"/>
      <c r="F191" s="1"/>
      <c r="G191" s="1"/>
      <c r="H191" s="1"/>
      <c r="I191" s="1"/>
      <c r="J191" s="1"/>
      <c r="K191" s="350"/>
      <c r="L191" s="350"/>
      <c r="M191" s="1"/>
      <c r="N191" s="1"/>
      <c r="O191" s="1"/>
      <c r="P191" s="1"/>
      <c r="Q191" s="1"/>
      <c r="R191" s="1"/>
      <c r="S191" s="1"/>
      <c r="T191" s="1"/>
      <c r="U191" s="1"/>
      <c r="V191" s="1"/>
      <c r="W191" s="1"/>
      <c r="X191" s="1"/>
      <c r="Y191" s="1"/>
      <c r="Z191" s="1"/>
      <c r="AA191" s="1"/>
      <c r="AB191" s="1"/>
      <c r="AC191" s="1"/>
    </row>
    <row r="192" spans="1:29" x14ac:dyDescent="0.2">
      <c r="A192" s="1"/>
      <c r="B192" s="1"/>
      <c r="C192" s="1"/>
      <c r="D192" s="1"/>
      <c r="E192" s="1"/>
      <c r="F192" s="1"/>
      <c r="G192" s="1"/>
      <c r="H192" s="1"/>
      <c r="I192" s="1"/>
      <c r="J192" s="1"/>
      <c r="K192" s="350"/>
      <c r="L192" s="350"/>
      <c r="M192" s="1"/>
      <c r="N192" s="1"/>
      <c r="O192" s="1"/>
      <c r="P192" s="1"/>
      <c r="Q192" s="1"/>
      <c r="R192" s="1"/>
      <c r="S192" s="1"/>
      <c r="T192" s="1"/>
      <c r="U192" s="1"/>
      <c r="V192" s="1"/>
      <c r="W192" s="1"/>
      <c r="X192" s="1"/>
      <c r="Y192" s="1"/>
      <c r="Z192" s="1"/>
      <c r="AA192" s="1"/>
      <c r="AB192" s="1"/>
      <c r="AC192" s="1"/>
    </row>
    <row r="193" spans="1:29" x14ac:dyDescent="0.2">
      <c r="A193" s="1"/>
      <c r="B193" s="1"/>
      <c r="C193" s="1"/>
      <c r="D193" s="1"/>
      <c r="E193" s="1"/>
      <c r="F193" s="1"/>
      <c r="G193" s="1"/>
      <c r="H193" s="1"/>
      <c r="I193" s="1"/>
      <c r="J193" s="1"/>
      <c r="K193" s="350"/>
      <c r="L193" s="350"/>
      <c r="M193" s="1"/>
      <c r="N193" s="1"/>
      <c r="O193" s="1"/>
      <c r="P193" s="1"/>
      <c r="Q193" s="1"/>
      <c r="R193" s="1"/>
      <c r="S193" s="1"/>
      <c r="T193" s="1"/>
      <c r="U193" s="1"/>
      <c r="V193" s="1"/>
      <c r="W193" s="1"/>
      <c r="X193" s="1"/>
      <c r="Y193" s="1"/>
      <c r="Z193" s="1"/>
      <c r="AA193" s="1"/>
      <c r="AB193" s="1"/>
      <c r="AC193" s="1"/>
    </row>
    <row r="194" spans="1:29" x14ac:dyDescent="0.2">
      <c r="A194" s="1"/>
      <c r="B194" s="1"/>
      <c r="C194" s="1"/>
      <c r="D194" s="1"/>
      <c r="E194" s="1"/>
      <c r="F194" s="1"/>
      <c r="G194" s="1"/>
      <c r="H194" s="1"/>
      <c r="I194" s="1"/>
      <c r="J194" s="1"/>
      <c r="K194" s="350"/>
      <c r="L194" s="350"/>
      <c r="M194" s="1"/>
      <c r="N194" s="1"/>
      <c r="O194" s="1"/>
      <c r="P194" s="1"/>
      <c r="Q194" s="1"/>
      <c r="R194" s="1"/>
      <c r="S194" s="1"/>
      <c r="T194" s="1"/>
      <c r="U194" s="1"/>
      <c r="V194" s="1"/>
      <c r="W194" s="1"/>
      <c r="X194" s="1"/>
      <c r="Y194" s="1"/>
      <c r="Z194" s="1"/>
      <c r="AA194" s="1"/>
      <c r="AB194" s="1"/>
      <c r="AC194" s="1"/>
    </row>
    <row r="195" spans="1:29" x14ac:dyDescent="0.2">
      <c r="A195" s="1"/>
      <c r="B195" s="1"/>
      <c r="C195" s="1"/>
      <c r="D195" s="1"/>
      <c r="E195" s="1"/>
      <c r="F195" s="1"/>
      <c r="G195" s="1"/>
      <c r="H195" s="1"/>
      <c r="I195" s="1"/>
      <c r="J195" s="1"/>
      <c r="K195" s="350"/>
      <c r="L195" s="350"/>
      <c r="M195" s="1"/>
      <c r="N195" s="1"/>
      <c r="O195" s="1"/>
      <c r="P195" s="1"/>
      <c r="Q195" s="1"/>
      <c r="R195" s="1"/>
      <c r="S195" s="1"/>
      <c r="T195" s="1"/>
      <c r="U195" s="1"/>
      <c r="V195" s="1"/>
      <c r="W195" s="1"/>
      <c r="X195" s="1"/>
      <c r="Y195" s="1"/>
      <c r="Z195" s="1"/>
      <c r="AA195" s="1"/>
      <c r="AB195" s="1"/>
      <c r="AC195" s="1"/>
    </row>
    <row r="196" spans="1:29" x14ac:dyDescent="0.2">
      <c r="A196" s="1"/>
      <c r="B196" s="1"/>
      <c r="C196" s="1"/>
      <c r="D196" s="1"/>
      <c r="E196" s="1"/>
      <c r="F196" s="1"/>
      <c r="G196" s="1"/>
      <c r="H196" s="1"/>
      <c r="I196" s="1"/>
      <c r="J196" s="1"/>
      <c r="K196" s="350"/>
      <c r="L196" s="350"/>
      <c r="M196" s="1"/>
      <c r="N196" s="1"/>
      <c r="O196" s="1"/>
      <c r="P196" s="1"/>
      <c r="Q196" s="1"/>
      <c r="R196" s="1"/>
      <c r="S196" s="1"/>
      <c r="T196" s="1"/>
      <c r="U196" s="1"/>
      <c r="V196" s="1"/>
      <c r="W196" s="1"/>
      <c r="X196" s="1"/>
      <c r="Y196" s="1"/>
      <c r="Z196" s="1"/>
      <c r="AA196" s="1"/>
      <c r="AB196" s="1"/>
      <c r="AC196" s="1"/>
    </row>
    <row r="197" spans="1:29" x14ac:dyDescent="0.2">
      <c r="A197" s="1"/>
      <c r="B197" s="1"/>
      <c r="C197" s="1"/>
      <c r="D197" s="1"/>
      <c r="E197" s="1"/>
      <c r="F197" s="1"/>
      <c r="G197" s="1"/>
      <c r="H197" s="1"/>
      <c r="I197" s="1"/>
      <c r="J197" s="1"/>
      <c r="K197" s="350"/>
      <c r="L197" s="350"/>
      <c r="M197" s="1"/>
      <c r="N197" s="1"/>
      <c r="O197" s="1"/>
      <c r="P197" s="1"/>
      <c r="Q197" s="1"/>
      <c r="R197" s="1"/>
      <c r="S197" s="1"/>
      <c r="T197" s="1"/>
      <c r="U197" s="1"/>
      <c r="V197" s="1"/>
      <c r="W197" s="1"/>
      <c r="X197" s="1"/>
      <c r="Y197" s="1"/>
      <c r="Z197" s="1"/>
      <c r="AA197" s="1"/>
      <c r="AB197" s="1"/>
      <c r="AC197" s="1"/>
    </row>
    <row r="198" spans="1:29" x14ac:dyDescent="0.2">
      <c r="A198" s="1"/>
      <c r="B198" s="1"/>
      <c r="C198" s="1"/>
      <c r="D198" s="1"/>
      <c r="E198" s="1"/>
      <c r="F198" s="1"/>
      <c r="G198" s="1"/>
      <c r="H198" s="1"/>
      <c r="I198" s="1"/>
      <c r="J198" s="1"/>
      <c r="K198" s="350"/>
      <c r="L198" s="350"/>
      <c r="M198" s="1"/>
      <c r="N198" s="1"/>
      <c r="O198" s="1"/>
      <c r="P198" s="1"/>
      <c r="Q198" s="1"/>
      <c r="R198" s="1"/>
      <c r="S198" s="1"/>
      <c r="T198" s="1"/>
      <c r="U198" s="1"/>
      <c r="V198" s="1"/>
      <c r="W198" s="1"/>
      <c r="X198" s="1"/>
      <c r="Y198" s="1"/>
      <c r="Z198" s="1"/>
      <c r="AA198" s="1"/>
      <c r="AB198" s="1"/>
      <c r="AC198" s="1"/>
    </row>
    <row r="199" spans="1:29" x14ac:dyDescent="0.2">
      <c r="A199" s="1"/>
      <c r="B199" s="1"/>
      <c r="C199" s="1"/>
      <c r="D199" s="1"/>
      <c r="E199" s="1"/>
      <c r="F199" s="1"/>
      <c r="G199" s="1"/>
      <c r="H199" s="1"/>
      <c r="I199" s="1"/>
      <c r="J199" s="1"/>
      <c r="K199" s="350"/>
      <c r="L199" s="350"/>
      <c r="M199" s="1"/>
      <c r="N199" s="1"/>
      <c r="O199" s="1"/>
      <c r="P199" s="1"/>
      <c r="Q199" s="1"/>
      <c r="R199" s="1"/>
      <c r="S199" s="1"/>
      <c r="T199" s="1"/>
      <c r="U199" s="1"/>
      <c r="V199" s="1"/>
      <c r="W199" s="1"/>
      <c r="X199" s="1"/>
      <c r="Y199" s="1"/>
      <c r="Z199" s="1"/>
      <c r="AA199" s="1"/>
      <c r="AB199" s="1"/>
      <c r="AC199" s="1"/>
    </row>
    <row r="200" spans="1:29" x14ac:dyDescent="0.2">
      <c r="A200" s="1"/>
      <c r="B200" s="1"/>
      <c r="C200" s="1"/>
      <c r="D200" s="1"/>
      <c r="E200" s="1"/>
      <c r="F200" s="1"/>
      <c r="G200" s="1"/>
      <c r="H200" s="1"/>
      <c r="I200" s="1"/>
      <c r="J200" s="1"/>
      <c r="K200" s="350"/>
      <c r="L200" s="350"/>
      <c r="M200" s="1"/>
      <c r="N200" s="1"/>
      <c r="O200" s="1"/>
      <c r="P200" s="1"/>
      <c r="Q200" s="1"/>
      <c r="R200" s="1"/>
      <c r="S200" s="1"/>
      <c r="T200" s="1"/>
      <c r="U200" s="1"/>
      <c r="V200" s="1"/>
      <c r="W200" s="1"/>
      <c r="X200" s="1"/>
      <c r="Y200" s="1"/>
      <c r="Z200" s="1"/>
      <c r="AA200" s="1"/>
      <c r="AB200" s="1"/>
      <c r="AC200" s="1"/>
    </row>
    <row r="201" spans="1:29" x14ac:dyDescent="0.2">
      <c r="A201" s="1"/>
      <c r="B201" s="1"/>
      <c r="C201" s="1"/>
      <c r="D201" s="1"/>
      <c r="E201" s="1"/>
      <c r="F201" s="1"/>
      <c r="G201" s="1"/>
      <c r="H201" s="1"/>
      <c r="I201" s="1"/>
      <c r="J201" s="1"/>
      <c r="K201" s="350"/>
      <c r="L201" s="350"/>
      <c r="M201" s="1"/>
      <c r="N201" s="1"/>
      <c r="O201" s="1"/>
      <c r="P201" s="1"/>
      <c r="Q201" s="1"/>
      <c r="R201" s="1"/>
      <c r="S201" s="1"/>
      <c r="T201" s="1"/>
      <c r="U201" s="1"/>
      <c r="V201" s="1"/>
      <c r="W201" s="1"/>
      <c r="X201" s="1"/>
      <c r="Y201" s="1"/>
      <c r="Z201" s="1"/>
      <c r="AA201" s="1"/>
      <c r="AB201" s="1"/>
      <c r="AC201" s="1"/>
    </row>
    <row r="202" spans="1:29" x14ac:dyDescent="0.2">
      <c r="A202" s="1"/>
      <c r="B202" s="1"/>
      <c r="C202" s="1"/>
      <c r="D202" s="1"/>
      <c r="E202" s="1"/>
      <c r="F202" s="1"/>
      <c r="G202" s="1"/>
      <c r="H202" s="1"/>
      <c r="I202" s="1"/>
      <c r="J202" s="1"/>
      <c r="K202" s="350"/>
      <c r="L202" s="350"/>
      <c r="M202" s="1"/>
      <c r="N202" s="1"/>
      <c r="O202" s="1"/>
      <c r="P202" s="1"/>
      <c r="Q202" s="1"/>
      <c r="R202" s="1"/>
      <c r="S202" s="1"/>
      <c r="T202" s="1"/>
      <c r="U202" s="1"/>
      <c r="V202" s="1"/>
      <c r="W202" s="1"/>
      <c r="X202" s="1"/>
      <c r="Y202" s="1"/>
      <c r="Z202" s="1"/>
      <c r="AA202" s="1"/>
      <c r="AB202" s="1"/>
      <c r="AC202" s="1"/>
    </row>
    <row r="203" spans="1:29" x14ac:dyDescent="0.2">
      <c r="A203" s="1"/>
      <c r="B203" s="1"/>
      <c r="C203" s="1"/>
      <c r="D203" s="1"/>
      <c r="E203" s="1"/>
      <c r="F203" s="1"/>
      <c r="G203" s="1"/>
      <c r="H203" s="1"/>
      <c r="I203" s="1"/>
      <c r="J203" s="1"/>
      <c r="K203" s="350"/>
      <c r="L203" s="350"/>
      <c r="M203" s="1"/>
      <c r="N203" s="1"/>
      <c r="O203" s="1"/>
      <c r="P203" s="1"/>
      <c r="Q203" s="1"/>
      <c r="R203" s="1"/>
      <c r="S203" s="1"/>
      <c r="T203" s="1"/>
      <c r="U203" s="1"/>
      <c r="V203" s="1"/>
      <c r="W203" s="1"/>
      <c r="X203" s="1"/>
      <c r="Y203" s="1"/>
      <c r="Z203" s="1"/>
      <c r="AA203" s="1"/>
      <c r="AB203" s="1"/>
      <c r="AC203" s="1"/>
    </row>
    <row r="204" spans="1:29" x14ac:dyDescent="0.2">
      <c r="A204" s="1"/>
      <c r="B204" s="1"/>
      <c r="C204" s="1"/>
      <c r="D204" s="1"/>
      <c r="E204" s="1"/>
      <c r="F204" s="1"/>
      <c r="G204" s="1"/>
      <c r="H204" s="1"/>
      <c r="I204" s="1"/>
      <c r="J204" s="1"/>
      <c r="K204" s="350"/>
      <c r="L204" s="350"/>
      <c r="M204" s="1"/>
      <c r="N204" s="1"/>
      <c r="O204" s="1"/>
      <c r="P204" s="1"/>
      <c r="Q204" s="1"/>
      <c r="R204" s="1"/>
      <c r="S204" s="1"/>
      <c r="T204" s="1"/>
      <c r="U204" s="1"/>
      <c r="V204" s="1"/>
      <c r="W204" s="1"/>
      <c r="X204" s="1"/>
      <c r="Y204" s="1"/>
      <c r="Z204" s="1"/>
      <c r="AA204" s="1"/>
      <c r="AB204" s="1"/>
      <c r="AC204" s="1"/>
    </row>
    <row r="205" spans="1:29" x14ac:dyDescent="0.2">
      <c r="A205" s="1"/>
      <c r="B205" s="1"/>
      <c r="C205" s="1"/>
      <c r="D205" s="1"/>
      <c r="E205" s="1"/>
      <c r="F205" s="1"/>
      <c r="G205" s="1"/>
      <c r="H205" s="1"/>
      <c r="I205" s="1"/>
      <c r="J205" s="1"/>
      <c r="K205" s="350"/>
      <c r="L205" s="350"/>
      <c r="M205" s="1"/>
      <c r="N205" s="1"/>
      <c r="O205" s="1"/>
      <c r="P205" s="1"/>
      <c r="Q205" s="1"/>
      <c r="R205" s="1"/>
      <c r="S205" s="1"/>
      <c r="T205" s="1"/>
      <c r="U205" s="1"/>
      <c r="V205" s="1"/>
      <c r="W205" s="1"/>
      <c r="X205" s="1"/>
      <c r="Y205" s="1"/>
      <c r="Z205" s="1"/>
      <c r="AA205" s="1"/>
      <c r="AB205" s="1"/>
      <c r="AC205" s="1"/>
    </row>
    <row r="206" spans="1:29" x14ac:dyDescent="0.2">
      <c r="A206" s="1"/>
      <c r="B206" s="1"/>
      <c r="C206" s="1"/>
      <c r="D206" s="1"/>
      <c r="E206" s="1"/>
      <c r="F206" s="1"/>
      <c r="G206" s="1"/>
      <c r="H206" s="1"/>
      <c r="I206" s="1"/>
      <c r="J206" s="1"/>
      <c r="K206" s="350"/>
      <c r="L206" s="350"/>
      <c r="M206" s="1"/>
      <c r="N206" s="1"/>
      <c r="O206" s="1"/>
      <c r="P206" s="1"/>
      <c r="Q206" s="1"/>
      <c r="R206" s="1"/>
      <c r="S206" s="1"/>
      <c r="T206" s="1"/>
      <c r="U206" s="1"/>
      <c r="V206" s="1"/>
      <c r="W206" s="1"/>
      <c r="X206" s="1"/>
      <c r="Y206" s="1"/>
      <c r="Z206" s="1"/>
      <c r="AA206" s="1"/>
      <c r="AB206" s="1"/>
      <c r="AC206" s="1"/>
    </row>
    <row r="207" spans="1:29" x14ac:dyDescent="0.2">
      <c r="A207" s="1"/>
      <c r="B207" s="1"/>
      <c r="C207" s="1"/>
      <c r="D207" s="1"/>
      <c r="E207" s="1"/>
      <c r="F207" s="1"/>
      <c r="G207" s="1"/>
      <c r="H207" s="1"/>
      <c r="I207" s="1"/>
      <c r="J207" s="1"/>
      <c r="K207" s="350"/>
      <c r="L207" s="350"/>
      <c r="M207" s="1"/>
      <c r="N207" s="1"/>
      <c r="O207" s="1"/>
      <c r="P207" s="1"/>
      <c r="Q207" s="1"/>
      <c r="R207" s="1"/>
      <c r="S207" s="1"/>
      <c r="T207" s="1"/>
      <c r="U207" s="1"/>
      <c r="V207" s="1"/>
      <c r="W207" s="1"/>
      <c r="X207" s="1"/>
      <c r="Y207" s="1"/>
      <c r="Z207" s="1"/>
      <c r="AA207" s="1"/>
      <c r="AB207" s="1"/>
      <c r="AC207" s="1"/>
    </row>
    <row r="208" spans="1:29" x14ac:dyDescent="0.2">
      <c r="A208" s="1"/>
      <c r="B208" s="1"/>
      <c r="C208" s="1"/>
      <c r="D208" s="1"/>
      <c r="E208" s="1"/>
      <c r="F208" s="1"/>
      <c r="G208" s="1"/>
      <c r="H208" s="1"/>
      <c r="I208" s="1"/>
      <c r="J208" s="1"/>
      <c r="K208" s="350"/>
      <c r="L208" s="350"/>
      <c r="M208" s="1"/>
      <c r="N208" s="1"/>
      <c r="O208" s="1"/>
      <c r="P208" s="1"/>
      <c r="Q208" s="1"/>
      <c r="R208" s="1"/>
      <c r="S208" s="1"/>
      <c r="T208" s="1"/>
      <c r="U208" s="1"/>
      <c r="V208" s="1"/>
      <c r="W208" s="1"/>
      <c r="X208" s="1"/>
      <c r="Y208" s="1"/>
      <c r="Z208" s="1"/>
      <c r="AA208" s="1"/>
      <c r="AB208" s="1"/>
      <c r="AC208" s="1"/>
    </row>
    <row r="209" spans="1:29" x14ac:dyDescent="0.2">
      <c r="A209" s="1"/>
      <c r="B209" s="1"/>
      <c r="C209" s="1"/>
      <c r="D209" s="1"/>
      <c r="E209" s="1"/>
      <c r="F209" s="1"/>
      <c r="G209" s="1"/>
      <c r="H209" s="1"/>
      <c r="I209" s="1"/>
      <c r="J209" s="1"/>
      <c r="K209" s="350"/>
      <c r="L209" s="350"/>
      <c r="M209" s="1"/>
      <c r="N209" s="1"/>
      <c r="O209" s="1"/>
      <c r="P209" s="1"/>
      <c r="Q209" s="1"/>
      <c r="R209" s="1"/>
      <c r="S209" s="1"/>
      <c r="T209" s="1"/>
      <c r="U209" s="1"/>
      <c r="V209" s="1"/>
      <c r="W209" s="1"/>
      <c r="X209" s="1"/>
      <c r="Y209" s="1"/>
      <c r="Z209" s="1"/>
      <c r="AA209" s="1"/>
      <c r="AB209" s="1"/>
      <c r="AC209" s="1"/>
    </row>
    <row r="210" spans="1:29" x14ac:dyDescent="0.2">
      <c r="A210" s="1"/>
      <c r="B210" s="1"/>
      <c r="C210" s="1"/>
      <c r="D210" s="1"/>
      <c r="E210" s="1"/>
      <c r="F210" s="1"/>
      <c r="G210" s="1"/>
      <c r="H210" s="1"/>
      <c r="I210" s="1"/>
      <c r="J210" s="1"/>
      <c r="K210" s="350"/>
      <c r="L210" s="350"/>
      <c r="M210" s="1"/>
      <c r="N210" s="1"/>
      <c r="O210" s="1"/>
      <c r="P210" s="1"/>
      <c r="Q210" s="1"/>
      <c r="R210" s="1"/>
      <c r="S210" s="1"/>
      <c r="T210" s="1"/>
      <c r="U210" s="1"/>
      <c r="V210" s="1"/>
      <c r="W210" s="1"/>
      <c r="X210" s="1"/>
      <c r="Y210" s="1"/>
      <c r="Z210" s="1"/>
      <c r="AA210" s="1"/>
      <c r="AB210" s="1"/>
      <c r="AC210" s="1"/>
    </row>
    <row r="211" spans="1:29" x14ac:dyDescent="0.2">
      <c r="A211" s="1"/>
      <c r="B211" s="1"/>
      <c r="C211" s="1"/>
      <c r="D211" s="1"/>
      <c r="E211" s="1"/>
      <c r="F211" s="1"/>
      <c r="G211" s="1"/>
      <c r="H211" s="1"/>
      <c r="I211" s="1"/>
      <c r="J211" s="1"/>
      <c r="K211" s="350"/>
      <c r="L211" s="350"/>
      <c r="M211" s="1"/>
      <c r="N211" s="1"/>
      <c r="O211" s="1"/>
      <c r="P211" s="1"/>
      <c r="Q211" s="1"/>
      <c r="R211" s="1"/>
      <c r="S211" s="1"/>
      <c r="T211" s="1"/>
      <c r="U211" s="1"/>
      <c r="V211" s="1"/>
      <c r="W211" s="1"/>
      <c r="X211" s="1"/>
      <c r="Y211" s="1"/>
      <c r="Z211" s="1"/>
      <c r="AA211" s="1"/>
      <c r="AB211" s="1"/>
      <c r="AC211" s="1"/>
    </row>
    <row r="212" spans="1:29" x14ac:dyDescent="0.2">
      <c r="A212" s="1"/>
      <c r="B212" s="1"/>
      <c r="C212" s="1"/>
      <c r="D212" s="1"/>
      <c r="E212" s="1"/>
      <c r="F212" s="1"/>
      <c r="G212" s="1"/>
      <c r="H212" s="1"/>
      <c r="I212" s="1"/>
      <c r="J212" s="1"/>
      <c r="K212" s="350"/>
      <c r="L212" s="350"/>
      <c r="M212" s="1"/>
      <c r="N212" s="1"/>
      <c r="O212" s="1"/>
      <c r="P212" s="1"/>
      <c r="Q212" s="1"/>
      <c r="R212" s="1"/>
      <c r="S212" s="1"/>
      <c r="T212" s="1"/>
      <c r="U212" s="1"/>
      <c r="V212" s="1"/>
      <c r="W212" s="1"/>
      <c r="X212" s="1"/>
      <c r="Y212" s="1"/>
      <c r="Z212" s="1"/>
      <c r="AA212" s="1"/>
      <c r="AB212" s="1"/>
      <c r="AC212" s="1"/>
    </row>
    <row r="213" spans="1:29" x14ac:dyDescent="0.2">
      <c r="A213" s="1"/>
      <c r="B213" s="1"/>
      <c r="C213" s="1"/>
      <c r="D213" s="1"/>
      <c r="E213" s="1"/>
      <c r="F213" s="1"/>
      <c r="G213" s="1"/>
      <c r="H213" s="1"/>
      <c r="I213" s="1"/>
      <c r="J213" s="1"/>
      <c r="K213" s="350"/>
      <c r="L213" s="350"/>
      <c r="M213" s="1"/>
      <c r="N213" s="1"/>
      <c r="O213" s="1"/>
      <c r="P213" s="1"/>
      <c r="Q213" s="1"/>
      <c r="R213" s="1"/>
      <c r="S213" s="1"/>
      <c r="T213" s="1"/>
      <c r="U213" s="1"/>
      <c r="V213" s="1"/>
      <c r="W213" s="1"/>
      <c r="X213" s="1"/>
      <c r="Y213" s="1"/>
      <c r="Z213" s="1"/>
      <c r="AA213" s="1"/>
      <c r="AB213" s="1"/>
      <c r="AC213" s="1"/>
    </row>
    <row r="214" spans="1:29" x14ac:dyDescent="0.2">
      <c r="A214" s="1"/>
      <c r="B214" s="1"/>
      <c r="C214" s="1"/>
      <c r="D214" s="1"/>
      <c r="E214" s="1"/>
      <c r="F214" s="1"/>
      <c r="G214" s="1"/>
      <c r="H214" s="1"/>
      <c r="I214" s="1"/>
      <c r="J214" s="1"/>
      <c r="K214" s="350"/>
      <c r="L214" s="350"/>
      <c r="M214" s="1"/>
      <c r="N214" s="1"/>
      <c r="O214" s="1"/>
      <c r="P214" s="1"/>
      <c r="Q214" s="1"/>
      <c r="R214" s="1"/>
      <c r="S214" s="1"/>
      <c r="T214" s="1"/>
      <c r="U214" s="1"/>
      <c r="V214" s="1"/>
      <c r="W214" s="1"/>
      <c r="X214" s="1"/>
      <c r="Y214" s="1"/>
      <c r="Z214" s="1"/>
      <c r="AA214" s="1"/>
      <c r="AB214" s="1"/>
      <c r="AC214" s="1"/>
    </row>
    <row r="215" spans="1:29" x14ac:dyDescent="0.2">
      <c r="A215" s="1"/>
      <c r="B215" s="1"/>
      <c r="C215" s="1"/>
      <c r="D215" s="1"/>
      <c r="E215" s="1"/>
      <c r="F215" s="1"/>
      <c r="G215" s="1"/>
      <c r="H215" s="1"/>
      <c r="I215" s="1"/>
      <c r="J215" s="1"/>
      <c r="K215" s="350"/>
      <c r="L215" s="350"/>
      <c r="M215" s="1"/>
      <c r="N215" s="1"/>
      <c r="O215" s="1"/>
      <c r="P215" s="1"/>
      <c r="Q215" s="1"/>
      <c r="R215" s="1"/>
      <c r="S215" s="1"/>
      <c r="T215" s="1"/>
      <c r="U215" s="1"/>
      <c r="V215" s="1"/>
      <c r="W215" s="1"/>
      <c r="X215" s="1"/>
      <c r="Y215" s="1"/>
      <c r="Z215" s="1"/>
      <c r="AA215" s="1"/>
      <c r="AB215" s="1"/>
      <c r="AC215" s="1"/>
    </row>
    <row r="216" spans="1:29" x14ac:dyDescent="0.2">
      <c r="A216" s="1"/>
      <c r="B216" s="1"/>
      <c r="C216" s="1"/>
      <c r="D216" s="1"/>
      <c r="E216" s="1"/>
      <c r="F216" s="1"/>
      <c r="G216" s="1"/>
      <c r="H216" s="1"/>
      <c r="I216" s="1"/>
      <c r="J216" s="1"/>
      <c r="K216" s="350"/>
      <c r="L216" s="350"/>
      <c r="M216" s="1"/>
      <c r="N216" s="1"/>
      <c r="O216" s="1"/>
      <c r="P216" s="1"/>
      <c r="Q216" s="1"/>
      <c r="R216" s="1"/>
      <c r="S216" s="1"/>
      <c r="T216" s="1"/>
      <c r="U216" s="1"/>
      <c r="V216" s="1"/>
      <c r="W216" s="1"/>
      <c r="X216" s="1"/>
      <c r="Y216" s="1"/>
      <c r="Z216" s="1"/>
      <c r="AA216" s="1"/>
      <c r="AB216" s="1"/>
      <c r="AC216" s="1"/>
    </row>
    <row r="217" spans="1:29" x14ac:dyDescent="0.2">
      <c r="A217" s="1"/>
      <c r="B217" s="1"/>
      <c r="C217" s="1"/>
      <c r="D217" s="1"/>
      <c r="E217" s="1"/>
      <c r="F217" s="1"/>
      <c r="G217" s="1"/>
      <c r="H217" s="1"/>
      <c r="I217" s="1"/>
      <c r="J217" s="1"/>
      <c r="K217" s="350"/>
      <c r="L217" s="350"/>
      <c r="M217" s="1"/>
      <c r="N217" s="1"/>
      <c r="O217" s="1"/>
      <c r="P217" s="1"/>
      <c r="Q217" s="1"/>
      <c r="R217" s="1"/>
      <c r="S217" s="1"/>
      <c r="T217" s="1"/>
      <c r="U217" s="1"/>
      <c r="V217" s="1"/>
      <c r="W217" s="1"/>
      <c r="X217" s="1"/>
      <c r="Y217" s="1"/>
      <c r="Z217" s="1"/>
      <c r="AA217" s="1"/>
      <c r="AB217" s="1"/>
      <c r="AC217" s="1"/>
    </row>
    <row r="218" spans="1:29" x14ac:dyDescent="0.2">
      <c r="A218" s="1"/>
      <c r="B218" s="1"/>
      <c r="C218" s="1"/>
      <c r="D218" s="1"/>
      <c r="E218" s="1"/>
      <c r="F218" s="1"/>
      <c r="G218" s="1"/>
      <c r="H218" s="1"/>
      <c r="I218" s="1"/>
      <c r="J218" s="1"/>
      <c r="K218" s="350"/>
      <c r="L218" s="350"/>
      <c r="M218" s="1"/>
      <c r="N218" s="1"/>
      <c r="O218" s="1"/>
      <c r="P218" s="1"/>
      <c r="Q218" s="1"/>
      <c r="R218" s="1"/>
      <c r="S218" s="1"/>
      <c r="T218" s="1"/>
      <c r="U218" s="1"/>
      <c r="V218" s="1"/>
      <c r="W218" s="1"/>
      <c r="X218" s="1"/>
      <c r="Y218" s="1"/>
      <c r="Z218" s="1"/>
      <c r="AA218" s="1"/>
      <c r="AB218" s="1"/>
      <c r="AC218" s="1"/>
    </row>
    <row r="219" spans="1:29" x14ac:dyDescent="0.2">
      <c r="A219" s="1"/>
      <c r="B219" s="1"/>
      <c r="C219" s="1"/>
      <c r="D219" s="1"/>
      <c r="E219" s="1"/>
      <c r="F219" s="1"/>
      <c r="G219" s="1"/>
      <c r="H219" s="1"/>
      <c r="I219" s="1"/>
      <c r="J219" s="1"/>
      <c r="K219" s="350"/>
      <c r="L219" s="350"/>
      <c r="M219" s="1"/>
      <c r="N219" s="1"/>
      <c r="O219" s="1"/>
      <c r="P219" s="1"/>
      <c r="Q219" s="1"/>
      <c r="R219" s="1"/>
      <c r="S219" s="1"/>
      <c r="T219" s="1"/>
      <c r="U219" s="1"/>
      <c r="V219" s="1"/>
      <c r="W219" s="1"/>
      <c r="X219" s="1"/>
      <c r="Y219" s="1"/>
      <c r="Z219" s="1"/>
      <c r="AA219" s="1"/>
      <c r="AB219" s="1"/>
      <c r="AC219" s="1"/>
    </row>
    <row r="220" spans="1:29" x14ac:dyDescent="0.2">
      <c r="A220" s="1"/>
      <c r="B220" s="1"/>
      <c r="C220" s="1"/>
      <c r="D220" s="1"/>
      <c r="E220" s="1"/>
      <c r="F220" s="1"/>
      <c r="G220" s="1"/>
      <c r="H220" s="1"/>
      <c r="I220" s="1"/>
      <c r="J220" s="1"/>
      <c r="K220" s="350"/>
      <c r="L220" s="350"/>
      <c r="M220" s="1"/>
      <c r="N220" s="1"/>
      <c r="O220" s="1"/>
      <c r="P220" s="1"/>
      <c r="Q220" s="1"/>
      <c r="R220" s="1"/>
      <c r="S220" s="1"/>
      <c r="T220" s="1"/>
      <c r="U220" s="1"/>
      <c r="V220" s="1"/>
      <c r="W220" s="1"/>
      <c r="X220" s="1"/>
      <c r="Y220" s="1"/>
      <c r="Z220" s="1"/>
      <c r="AA220" s="1"/>
      <c r="AB220" s="1"/>
      <c r="AC220" s="1"/>
    </row>
    <row r="221" spans="1:29" x14ac:dyDescent="0.2">
      <c r="A221" s="1"/>
      <c r="B221" s="1"/>
      <c r="C221" s="1"/>
      <c r="D221" s="1"/>
      <c r="E221" s="1"/>
      <c r="F221" s="1"/>
      <c r="G221" s="1"/>
      <c r="H221" s="1"/>
      <c r="I221" s="1"/>
      <c r="J221" s="1"/>
      <c r="K221" s="350"/>
      <c r="L221" s="350"/>
      <c r="M221" s="1"/>
      <c r="N221" s="1"/>
      <c r="O221" s="1"/>
      <c r="P221" s="1"/>
      <c r="Q221" s="1"/>
      <c r="R221" s="1"/>
      <c r="S221" s="1"/>
      <c r="T221" s="1"/>
      <c r="U221" s="1"/>
      <c r="V221" s="1"/>
      <c r="W221" s="1"/>
      <c r="X221" s="1"/>
      <c r="Y221" s="1"/>
      <c r="Z221" s="1"/>
      <c r="AA221" s="1"/>
      <c r="AB221" s="1"/>
      <c r="AC221" s="1"/>
    </row>
    <row r="222" spans="1:29" x14ac:dyDescent="0.2">
      <c r="A222" s="1"/>
      <c r="B222" s="1"/>
      <c r="C222" s="1"/>
      <c r="D222" s="1"/>
      <c r="E222" s="1"/>
      <c r="F222" s="1"/>
      <c r="G222" s="1"/>
      <c r="H222" s="1"/>
      <c r="I222" s="1"/>
      <c r="J222" s="1"/>
      <c r="K222" s="350"/>
      <c r="L222" s="350"/>
      <c r="M222" s="1"/>
      <c r="N222" s="1"/>
      <c r="O222" s="1"/>
      <c r="P222" s="1"/>
      <c r="Q222" s="1"/>
      <c r="R222" s="1"/>
      <c r="S222" s="1"/>
      <c r="T222" s="1"/>
      <c r="U222" s="1"/>
      <c r="V222" s="1"/>
      <c r="W222" s="1"/>
      <c r="X222" s="1"/>
      <c r="Y222" s="1"/>
      <c r="Z222" s="1"/>
      <c r="AA222" s="1"/>
      <c r="AB222" s="1"/>
      <c r="AC222" s="1"/>
    </row>
    <row r="223" spans="1:29" x14ac:dyDescent="0.2">
      <c r="A223" s="1"/>
      <c r="B223" s="1"/>
      <c r="C223" s="1"/>
      <c r="D223" s="1"/>
      <c r="E223" s="1"/>
      <c r="F223" s="1"/>
      <c r="G223" s="1"/>
      <c r="H223" s="1"/>
      <c r="I223" s="1"/>
      <c r="J223" s="1"/>
      <c r="K223" s="350"/>
      <c r="L223" s="350"/>
      <c r="M223" s="1"/>
      <c r="N223" s="1"/>
      <c r="O223" s="1"/>
      <c r="P223" s="1"/>
      <c r="Q223" s="1"/>
      <c r="R223" s="1"/>
      <c r="S223" s="1"/>
      <c r="T223" s="1"/>
      <c r="U223" s="1"/>
      <c r="V223" s="1"/>
      <c r="W223" s="1"/>
      <c r="X223" s="1"/>
      <c r="Y223" s="1"/>
      <c r="Z223" s="1"/>
      <c r="AA223" s="1"/>
      <c r="AB223" s="1"/>
      <c r="AC223" s="1"/>
    </row>
    <row r="224" spans="1:29" x14ac:dyDescent="0.2">
      <c r="A224" s="1"/>
      <c r="B224" s="1"/>
      <c r="C224" s="1"/>
      <c r="D224" s="1"/>
      <c r="E224" s="1"/>
      <c r="F224" s="1"/>
      <c r="G224" s="1"/>
      <c r="H224" s="1"/>
      <c r="I224" s="1"/>
      <c r="J224" s="1"/>
      <c r="K224" s="350"/>
      <c r="L224" s="350"/>
      <c r="M224" s="1"/>
      <c r="N224" s="1"/>
      <c r="O224" s="1"/>
      <c r="P224" s="1"/>
      <c r="Q224" s="1"/>
      <c r="R224" s="1"/>
      <c r="S224" s="1"/>
      <c r="T224" s="1"/>
      <c r="U224" s="1"/>
      <c r="V224" s="1"/>
      <c r="W224" s="1"/>
      <c r="X224" s="1"/>
      <c r="Y224" s="1"/>
      <c r="Z224" s="1"/>
      <c r="AA224" s="1"/>
      <c r="AB224" s="1"/>
      <c r="AC224" s="1"/>
    </row>
    <row r="225" spans="1:29" x14ac:dyDescent="0.2">
      <c r="A225" s="1"/>
      <c r="B225" s="1"/>
      <c r="C225" s="1"/>
      <c r="D225" s="1"/>
      <c r="E225" s="1"/>
      <c r="F225" s="1"/>
      <c r="G225" s="1"/>
      <c r="H225" s="1"/>
      <c r="I225" s="1"/>
      <c r="J225" s="1"/>
      <c r="K225" s="350"/>
      <c r="L225" s="350"/>
      <c r="M225" s="1"/>
      <c r="N225" s="1"/>
      <c r="O225" s="1"/>
      <c r="P225" s="1"/>
      <c r="Q225" s="1"/>
      <c r="R225" s="1"/>
      <c r="S225" s="1"/>
      <c r="T225" s="1"/>
      <c r="U225" s="1"/>
      <c r="V225" s="1"/>
      <c r="W225" s="1"/>
      <c r="X225" s="1"/>
      <c r="Y225" s="1"/>
      <c r="Z225" s="1"/>
      <c r="AA225" s="1"/>
      <c r="AB225" s="1"/>
      <c r="AC225" s="1"/>
    </row>
    <row r="226" spans="1:29" x14ac:dyDescent="0.2">
      <c r="A226" s="1"/>
      <c r="B226" s="1"/>
      <c r="C226" s="1"/>
      <c r="D226" s="1"/>
      <c r="E226" s="1"/>
      <c r="F226" s="1"/>
      <c r="G226" s="1"/>
      <c r="H226" s="1"/>
      <c r="I226" s="1"/>
      <c r="J226" s="1"/>
      <c r="K226" s="350"/>
      <c r="L226" s="350"/>
      <c r="M226" s="1"/>
      <c r="N226" s="1"/>
      <c r="O226" s="1"/>
      <c r="P226" s="1"/>
      <c r="Q226" s="1"/>
      <c r="R226" s="1"/>
      <c r="S226" s="1"/>
      <c r="T226" s="1"/>
      <c r="U226" s="1"/>
      <c r="V226" s="1"/>
      <c r="W226" s="1"/>
      <c r="X226" s="1"/>
      <c r="Y226" s="1"/>
      <c r="Z226" s="1"/>
      <c r="AA226" s="1"/>
      <c r="AB226" s="1"/>
      <c r="AC226" s="1"/>
    </row>
    <row r="227" spans="1:29" x14ac:dyDescent="0.2">
      <c r="A227" s="1"/>
      <c r="B227" s="1"/>
      <c r="C227" s="1"/>
      <c r="D227" s="1"/>
      <c r="E227" s="1"/>
      <c r="F227" s="1"/>
      <c r="G227" s="1"/>
      <c r="H227" s="1"/>
      <c r="I227" s="1"/>
      <c r="J227" s="1"/>
      <c r="K227" s="350"/>
      <c r="L227" s="350"/>
      <c r="M227" s="1"/>
      <c r="N227" s="1"/>
      <c r="O227" s="1"/>
      <c r="P227" s="1"/>
      <c r="Q227" s="1"/>
      <c r="R227" s="1"/>
      <c r="S227" s="1"/>
      <c r="T227" s="1"/>
      <c r="U227" s="1"/>
      <c r="V227" s="1"/>
      <c r="W227" s="1"/>
      <c r="X227" s="1"/>
      <c r="Y227" s="1"/>
      <c r="Z227" s="1"/>
      <c r="AA227" s="1"/>
      <c r="AB227" s="1"/>
      <c r="AC227" s="1"/>
    </row>
    <row r="228" spans="1:29" x14ac:dyDescent="0.2">
      <c r="A228" s="1"/>
      <c r="B228" s="1"/>
      <c r="C228" s="1"/>
      <c r="D228" s="1"/>
      <c r="E228" s="1"/>
      <c r="F228" s="1"/>
      <c r="G228" s="1"/>
      <c r="H228" s="1"/>
      <c r="I228" s="1"/>
      <c r="J228" s="1"/>
      <c r="K228" s="350"/>
      <c r="L228" s="350"/>
      <c r="M228" s="1"/>
      <c r="N228" s="1"/>
      <c r="O228" s="1"/>
      <c r="P228" s="1"/>
      <c r="Q228" s="1"/>
      <c r="R228" s="1"/>
      <c r="S228" s="1"/>
      <c r="T228" s="1"/>
      <c r="U228" s="1"/>
      <c r="V228" s="1"/>
      <c r="W228" s="1"/>
      <c r="X228" s="1"/>
      <c r="Y228" s="1"/>
      <c r="Z228" s="1"/>
      <c r="AA228" s="1"/>
      <c r="AB228" s="1"/>
      <c r="AC228" s="1"/>
    </row>
    <row r="229" spans="1:29" x14ac:dyDescent="0.2">
      <c r="A229" s="1"/>
      <c r="B229" s="1"/>
      <c r="C229" s="1"/>
      <c r="D229" s="1"/>
      <c r="E229" s="1"/>
      <c r="F229" s="1"/>
      <c r="G229" s="1"/>
      <c r="H229" s="1"/>
      <c r="I229" s="1"/>
      <c r="J229" s="1"/>
      <c r="K229" s="350"/>
      <c r="L229" s="350"/>
      <c r="M229" s="1"/>
      <c r="N229" s="1"/>
      <c r="O229" s="1"/>
      <c r="P229" s="1"/>
      <c r="Q229" s="1"/>
      <c r="R229" s="1"/>
      <c r="S229" s="1"/>
      <c r="T229" s="1"/>
      <c r="U229" s="1"/>
      <c r="V229" s="1"/>
      <c r="W229" s="1"/>
      <c r="X229" s="1"/>
      <c r="Y229" s="1"/>
      <c r="Z229" s="1"/>
      <c r="AA229" s="1"/>
      <c r="AB229" s="1"/>
      <c r="AC229" s="1"/>
    </row>
    <row r="230" spans="1:29" x14ac:dyDescent="0.2">
      <c r="A230" s="1"/>
      <c r="B230" s="1"/>
      <c r="C230" s="1"/>
      <c r="D230" s="1"/>
      <c r="E230" s="1"/>
      <c r="F230" s="1"/>
      <c r="G230" s="1"/>
      <c r="H230" s="1"/>
      <c r="I230" s="1"/>
      <c r="J230" s="1"/>
      <c r="K230" s="350"/>
      <c r="L230" s="350"/>
      <c r="M230" s="1"/>
      <c r="N230" s="1"/>
      <c r="O230" s="1"/>
      <c r="P230" s="1"/>
      <c r="Q230" s="1"/>
      <c r="R230" s="1"/>
      <c r="S230" s="1"/>
      <c r="T230" s="1"/>
      <c r="U230" s="1"/>
      <c r="V230" s="1"/>
      <c r="W230" s="1"/>
      <c r="X230" s="1"/>
      <c r="Y230" s="1"/>
      <c r="Z230" s="1"/>
      <c r="AA230" s="1"/>
      <c r="AB230" s="1"/>
      <c r="AC230" s="1"/>
    </row>
    <row r="231" spans="1:29" x14ac:dyDescent="0.2">
      <c r="A231" s="1"/>
      <c r="B231" s="1"/>
      <c r="C231" s="1"/>
      <c r="D231" s="1"/>
      <c r="E231" s="1"/>
      <c r="F231" s="1"/>
      <c r="G231" s="1"/>
      <c r="H231" s="1"/>
      <c r="I231" s="1"/>
      <c r="J231" s="1"/>
      <c r="K231" s="350"/>
      <c r="L231" s="350"/>
      <c r="M231" s="1"/>
      <c r="N231" s="1"/>
      <c r="O231" s="1"/>
      <c r="P231" s="1"/>
      <c r="Q231" s="1"/>
      <c r="R231" s="1"/>
      <c r="S231" s="1"/>
      <c r="T231" s="1"/>
      <c r="U231" s="1"/>
      <c r="V231" s="1"/>
      <c r="W231" s="1"/>
      <c r="X231" s="1"/>
      <c r="Y231" s="1"/>
      <c r="Z231" s="1"/>
      <c r="AA231" s="1"/>
      <c r="AB231" s="1"/>
      <c r="AC231" s="1"/>
    </row>
    <row r="232" spans="1:29" x14ac:dyDescent="0.2">
      <c r="A232" s="1"/>
      <c r="B232" s="1"/>
      <c r="C232" s="1"/>
      <c r="D232" s="1"/>
      <c r="E232" s="1"/>
      <c r="F232" s="1"/>
      <c r="G232" s="1"/>
      <c r="H232" s="1"/>
      <c r="I232" s="1"/>
      <c r="J232" s="1"/>
      <c r="K232" s="350"/>
      <c r="L232" s="350"/>
      <c r="M232" s="1"/>
      <c r="N232" s="1"/>
      <c r="O232" s="1"/>
      <c r="P232" s="1"/>
      <c r="Q232" s="1"/>
      <c r="R232" s="1"/>
      <c r="S232" s="1"/>
      <c r="T232" s="1"/>
      <c r="U232" s="1"/>
      <c r="V232" s="1"/>
      <c r="W232" s="1"/>
      <c r="X232" s="1"/>
      <c r="Y232" s="1"/>
      <c r="Z232" s="1"/>
      <c r="AA232" s="1"/>
      <c r="AB232" s="1"/>
      <c r="AC232" s="1"/>
    </row>
    <row r="233" spans="1:29" x14ac:dyDescent="0.2">
      <c r="A233" s="1"/>
      <c r="B233" s="1"/>
      <c r="C233" s="1"/>
      <c r="D233" s="1"/>
      <c r="E233" s="1"/>
      <c r="F233" s="1"/>
      <c r="G233" s="1"/>
      <c r="H233" s="1"/>
      <c r="I233" s="1"/>
      <c r="J233" s="1"/>
      <c r="K233" s="350"/>
      <c r="L233" s="350"/>
      <c r="M233" s="1"/>
      <c r="N233" s="1"/>
      <c r="O233" s="1"/>
      <c r="P233" s="1"/>
      <c r="Q233" s="1"/>
      <c r="R233" s="1"/>
      <c r="S233" s="1"/>
      <c r="T233" s="1"/>
      <c r="U233" s="1"/>
      <c r="V233" s="1"/>
      <c r="W233" s="1"/>
      <c r="X233" s="1"/>
      <c r="Y233" s="1"/>
      <c r="Z233" s="1"/>
      <c r="AA233" s="1"/>
      <c r="AB233" s="1"/>
      <c r="AC233" s="1"/>
    </row>
    <row r="234" spans="1:29" x14ac:dyDescent="0.2">
      <c r="A234" s="1"/>
      <c r="B234" s="1"/>
      <c r="C234" s="1"/>
      <c r="D234" s="1"/>
      <c r="E234" s="1"/>
      <c r="F234" s="1"/>
      <c r="G234" s="1"/>
      <c r="H234" s="1"/>
      <c r="I234" s="1"/>
      <c r="J234" s="1"/>
      <c r="K234" s="350"/>
      <c r="L234" s="350"/>
      <c r="M234" s="1"/>
      <c r="N234" s="1"/>
      <c r="O234" s="1"/>
      <c r="P234" s="1"/>
      <c r="Q234" s="1"/>
      <c r="R234" s="1"/>
      <c r="S234" s="1"/>
      <c r="T234" s="1"/>
      <c r="U234" s="1"/>
      <c r="V234" s="1"/>
      <c r="W234" s="1"/>
      <c r="X234" s="1"/>
      <c r="Y234" s="1"/>
      <c r="Z234" s="1"/>
      <c r="AA234" s="1"/>
      <c r="AB234" s="1"/>
      <c r="AC234" s="1"/>
    </row>
    <row r="235" spans="1:29" x14ac:dyDescent="0.2">
      <c r="A235" s="1"/>
      <c r="B235" s="1"/>
      <c r="C235" s="1"/>
      <c r="D235" s="1"/>
      <c r="E235" s="1"/>
      <c r="F235" s="1"/>
      <c r="G235" s="1"/>
      <c r="H235" s="1"/>
      <c r="I235" s="1"/>
      <c r="J235" s="1"/>
      <c r="K235" s="350"/>
      <c r="L235" s="350"/>
      <c r="M235" s="1"/>
      <c r="N235" s="1"/>
      <c r="O235" s="1"/>
      <c r="P235" s="1"/>
      <c r="Q235" s="1"/>
      <c r="R235" s="1"/>
      <c r="S235" s="1"/>
      <c r="T235" s="1"/>
      <c r="U235" s="1"/>
      <c r="V235" s="1"/>
      <c r="W235" s="1"/>
      <c r="X235" s="1"/>
      <c r="Y235" s="1"/>
      <c r="Z235" s="1"/>
      <c r="AA235" s="1"/>
      <c r="AB235" s="1"/>
      <c r="AC235" s="1"/>
    </row>
    <row r="236" spans="1:29" x14ac:dyDescent="0.2">
      <c r="A236" s="1"/>
      <c r="B236" s="1"/>
      <c r="C236" s="1"/>
      <c r="D236" s="1"/>
      <c r="E236" s="1"/>
      <c r="F236" s="1"/>
      <c r="G236" s="1"/>
      <c r="H236" s="1"/>
      <c r="I236" s="1"/>
      <c r="J236" s="1"/>
      <c r="K236" s="350"/>
      <c r="L236" s="350"/>
      <c r="M236" s="1"/>
      <c r="N236" s="1"/>
      <c r="O236" s="1"/>
      <c r="P236" s="1"/>
      <c r="Q236" s="1"/>
      <c r="R236" s="1"/>
      <c r="S236" s="1"/>
      <c r="T236" s="1"/>
      <c r="U236" s="1"/>
      <c r="V236" s="1"/>
      <c r="W236" s="1"/>
      <c r="X236" s="1"/>
      <c r="Y236" s="1"/>
      <c r="Z236" s="1"/>
      <c r="AA236" s="1"/>
      <c r="AB236" s="1"/>
      <c r="AC236" s="1"/>
    </row>
    <row r="237" spans="1:29" x14ac:dyDescent="0.2">
      <c r="A237" s="1"/>
      <c r="B237" s="1"/>
      <c r="C237" s="1"/>
      <c r="D237" s="1"/>
      <c r="E237" s="1"/>
      <c r="F237" s="1"/>
      <c r="G237" s="1"/>
      <c r="H237" s="1"/>
      <c r="I237" s="1"/>
      <c r="J237" s="1"/>
      <c r="K237" s="350"/>
      <c r="L237" s="350"/>
      <c r="M237" s="1"/>
      <c r="N237" s="1"/>
      <c r="O237" s="1"/>
      <c r="P237" s="1"/>
      <c r="Q237" s="1"/>
      <c r="R237" s="1"/>
      <c r="S237" s="1"/>
      <c r="T237" s="1"/>
      <c r="U237" s="1"/>
      <c r="V237" s="1"/>
      <c r="W237" s="1"/>
      <c r="X237" s="1"/>
      <c r="Y237" s="1"/>
      <c r="Z237" s="1"/>
      <c r="AA237" s="1"/>
      <c r="AB237" s="1"/>
      <c r="AC237" s="1"/>
    </row>
    <row r="238" spans="1:29" x14ac:dyDescent="0.2">
      <c r="A238" s="1"/>
      <c r="B238" s="1"/>
      <c r="C238" s="1"/>
      <c r="D238" s="1"/>
      <c r="E238" s="1"/>
      <c r="F238" s="1"/>
      <c r="G238" s="1"/>
      <c r="H238" s="1"/>
      <c r="I238" s="1"/>
      <c r="J238" s="1"/>
      <c r="K238" s="350"/>
      <c r="L238" s="350"/>
      <c r="M238" s="1"/>
      <c r="N238" s="1"/>
      <c r="O238" s="1"/>
      <c r="P238" s="1"/>
      <c r="Q238" s="1"/>
      <c r="R238" s="1"/>
      <c r="S238" s="1"/>
      <c r="T238" s="1"/>
      <c r="U238" s="1"/>
      <c r="V238" s="1"/>
      <c r="W238" s="1"/>
      <c r="X238" s="1"/>
      <c r="Y238" s="1"/>
      <c r="Z238" s="1"/>
      <c r="AA238" s="1"/>
      <c r="AB238" s="1"/>
      <c r="AC238" s="1"/>
    </row>
    <row r="239" spans="1:29" x14ac:dyDescent="0.2">
      <c r="A239" s="1"/>
      <c r="B239" s="1"/>
      <c r="C239" s="1"/>
      <c r="D239" s="1"/>
      <c r="E239" s="1"/>
      <c r="F239" s="1"/>
      <c r="G239" s="1"/>
      <c r="H239" s="1"/>
      <c r="I239" s="1"/>
      <c r="J239" s="1"/>
      <c r="K239" s="350"/>
      <c r="L239" s="350"/>
      <c r="M239" s="1"/>
      <c r="N239" s="1"/>
      <c r="O239" s="1"/>
      <c r="P239" s="1"/>
      <c r="Q239" s="1"/>
      <c r="R239" s="1"/>
      <c r="S239" s="1"/>
      <c r="T239" s="1"/>
      <c r="U239" s="1"/>
      <c r="V239" s="1"/>
      <c r="W239" s="1"/>
      <c r="X239" s="1"/>
      <c r="Y239" s="1"/>
      <c r="Z239" s="1"/>
      <c r="AA239" s="1"/>
      <c r="AB239" s="1"/>
      <c r="AC239" s="1"/>
    </row>
    <row r="240" spans="1:29" x14ac:dyDescent="0.2">
      <c r="A240" s="1"/>
      <c r="B240" s="1"/>
      <c r="C240" s="1"/>
      <c r="D240" s="1"/>
      <c r="E240" s="1"/>
      <c r="F240" s="1"/>
      <c r="G240" s="1"/>
      <c r="H240" s="1"/>
      <c r="I240" s="1"/>
      <c r="J240" s="1"/>
      <c r="K240" s="350"/>
      <c r="L240" s="350"/>
      <c r="M240" s="1"/>
      <c r="N240" s="1"/>
      <c r="O240" s="1"/>
      <c r="P240" s="1"/>
      <c r="Q240" s="1"/>
      <c r="R240" s="1"/>
      <c r="S240" s="1"/>
      <c r="T240" s="1"/>
      <c r="U240" s="1"/>
      <c r="V240" s="1"/>
      <c r="W240" s="1"/>
      <c r="X240" s="1"/>
      <c r="Y240" s="1"/>
      <c r="Z240" s="1"/>
      <c r="AA240" s="1"/>
      <c r="AB240" s="1"/>
      <c r="AC240" s="1"/>
    </row>
    <row r="241" spans="1:29" x14ac:dyDescent="0.2">
      <c r="A241" s="1"/>
      <c r="B241" s="1"/>
      <c r="C241" s="1"/>
      <c r="D241" s="1"/>
      <c r="E241" s="1"/>
      <c r="F241" s="1"/>
      <c r="G241" s="1"/>
      <c r="H241" s="1"/>
      <c r="I241" s="1"/>
      <c r="J241" s="1"/>
      <c r="K241" s="350"/>
      <c r="L241" s="350"/>
      <c r="M241" s="1"/>
      <c r="N241" s="1"/>
      <c r="O241" s="1"/>
      <c r="P241" s="1"/>
      <c r="Q241" s="1"/>
      <c r="R241" s="1"/>
      <c r="S241" s="1"/>
      <c r="T241" s="1"/>
      <c r="U241" s="1"/>
      <c r="V241" s="1"/>
      <c r="W241" s="1"/>
      <c r="X241" s="1"/>
      <c r="Y241" s="1"/>
      <c r="Z241" s="1"/>
      <c r="AA241" s="1"/>
      <c r="AB241" s="1"/>
      <c r="AC241" s="1"/>
    </row>
    <row r="242" spans="1:29" x14ac:dyDescent="0.2">
      <c r="A242" s="1"/>
      <c r="B242" s="1"/>
      <c r="C242" s="1"/>
      <c r="D242" s="1"/>
      <c r="E242" s="1"/>
      <c r="F242" s="1"/>
      <c r="G242" s="1"/>
      <c r="H242" s="1"/>
      <c r="I242" s="1"/>
      <c r="J242" s="1"/>
      <c r="K242" s="350"/>
      <c r="L242" s="350"/>
      <c r="M242" s="1"/>
      <c r="N242" s="1"/>
      <c r="O242" s="1"/>
      <c r="P242" s="1"/>
      <c r="Q242" s="1"/>
      <c r="R242" s="1"/>
      <c r="S242" s="1"/>
      <c r="T242" s="1"/>
      <c r="U242" s="1"/>
      <c r="V242" s="1"/>
      <c r="W242" s="1"/>
      <c r="X242" s="1"/>
      <c r="Y242" s="1"/>
      <c r="Z242" s="1"/>
      <c r="AA242" s="1"/>
      <c r="AB242" s="1"/>
      <c r="AC242" s="1"/>
    </row>
    <row r="243" spans="1:29" x14ac:dyDescent="0.2">
      <c r="A243" s="1"/>
      <c r="B243" s="1"/>
      <c r="C243" s="1"/>
      <c r="D243" s="1"/>
      <c r="E243" s="1"/>
      <c r="F243" s="1"/>
      <c r="G243" s="1"/>
      <c r="H243" s="1"/>
      <c r="I243" s="1"/>
      <c r="J243" s="1"/>
      <c r="K243" s="350"/>
      <c r="L243" s="350"/>
      <c r="M243" s="1"/>
      <c r="N243" s="1"/>
      <c r="O243" s="1"/>
      <c r="P243" s="1"/>
      <c r="Q243" s="1"/>
      <c r="R243" s="1"/>
      <c r="S243" s="1"/>
      <c r="T243" s="1"/>
      <c r="U243" s="1"/>
      <c r="V243" s="1"/>
      <c r="W243" s="1"/>
      <c r="X243" s="1"/>
      <c r="Y243" s="1"/>
      <c r="Z243" s="1"/>
      <c r="AA243" s="1"/>
      <c r="AB243" s="1"/>
      <c r="AC243" s="1"/>
    </row>
    <row r="244" spans="1:29" x14ac:dyDescent="0.2">
      <c r="A244" s="1"/>
      <c r="B244" s="1"/>
      <c r="C244" s="1"/>
      <c r="D244" s="1"/>
      <c r="E244" s="1"/>
      <c r="F244" s="1"/>
      <c r="G244" s="1"/>
      <c r="H244" s="1"/>
      <c r="I244" s="1"/>
      <c r="J244" s="1"/>
      <c r="K244" s="350"/>
      <c r="L244" s="350"/>
      <c r="M244" s="1"/>
      <c r="N244" s="1"/>
      <c r="O244" s="1"/>
      <c r="P244" s="1"/>
      <c r="Q244" s="1"/>
      <c r="R244" s="1"/>
      <c r="S244" s="1"/>
      <c r="T244" s="1"/>
      <c r="U244" s="1"/>
      <c r="V244" s="1"/>
      <c r="W244" s="1"/>
      <c r="X244" s="1"/>
      <c r="Y244" s="1"/>
      <c r="Z244" s="1"/>
      <c r="AA244" s="1"/>
      <c r="AB244" s="1"/>
      <c r="AC244" s="1"/>
    </row>
    <row r="245" spans="1:29" x14ac:dyDescent="0.2">
      <c r="A245" s="1"/>
      <c r="B245" s="1"/>
      <c r="C245" s="1"/>
      <c r="D245" s="1"/>
      <c r="E245" s="1"/>
      <c r="F245" s="1"/>
      <c r="G245" s="1"/>
      <c r="H245" s="1"/>
      <c r="I245" s="1"/>
      <c r="J245" s="1"/>
      <c r="K245" s="350"/>
      <c r="L245" s="350"/>
      <c r="M245" s="1"/>
      <c r="N245" s="1"/>
      <c r="O245" s="1"/>
      <c r="P245" s="1"/>
      <c r="Q245" s="1"/>
      <c r="R245" s="1"/>
      <c r="S245" s="1"/>
      <c r="T245" s="1"/>
      <c r="U245" s="1"/>
      <c r="V245" s="1"/>
      <c r="W245" s="1"/>
      <c r="X245" s="1"/>
      <c r="Y245" s="1"/>
      <c r="Z245" s="1"/>
      <c r="AA245" s="1"/>
      <c r="AB245" s="1"/>
      <c r="AC245" s="1"/>
    </row>
    <row r="246" spans="1:29" x14ac:dyDescent="0.2">
      <c r="A246" s="1"/>
      <c r="B246" s="1"/>
      <c r="C246" s="1"/>
      <c r="D246" s="1"/>
      <c r="E246" s="1"/>
      <c r="F246" s="1"/>
      <c r="G246" s="1"/>
      <c r="H246" s="1"/>
      <c r="I246" s="1"/>
      <c r="J246" s="1"/>
      <c r="K246" s="350"/>
      <c r="L246" s="350"/>
      <c r="M246" s="1"/>
      <c r="N246" s="1"/>
      <c r="O246" s="1"/>
      <c r="P246" s="1"/>
      <c r="Q246" s="1"/>
      <c r="R246" s="1"/>
      <c r="S246" s="1"/>
      <c r="T246" s="1"/>
      <c r="U246" s="1"/>
      <c r="V246" s="1"/>
      <c r="W246" s="1"/>
      <c r="X246" s="1"/>
      <c r="Y246" s="1"/>
      <c r="Z246" s="1"/>
      <c r="AA246" s="1"/>
      <c r="AB246" s="1"/>
      <c r="AC246" s="1"/>
    </row>
    <row r="247" spans="1:29" x14ac:dyDescent="0.2">
      <c r="A247" s="1"/>
      <c r="B247" s="1"/>
      <c r="C247" s="1"/>
      <c r="D247" s="1"/>
      <c r="E247" s="1"/>
      <c r="F247" s="1"/>
      <c r="G247" s="1"/>
      <c r="H247" s="1"/>
      <c r="I247" s="1"/>
      <c r="J247" s="1"/>
      <c r="K247" s="350"/>
      <c r="L247" s="350"/>
      <c r="M247" s="1"/>
      <c r="N247" s="1"/>
      <c r="O247" s="1"/>
      <c r="P247" s="1"/>
      <c r="Q247" s="1"/>
      <c r="R247" s="1"/>
      <c r="S247" s="1"/>
      <c r="T247" s="1"/>
      <c r="U247" s="1"/>
      <c r="V247" s="1"/>
      <c r="W247" s="1"/>
      <c r="X247" s="1"/>
      <c r="Y247" s="1"/>
      <c r="Z247" s="1"/>
      <c r="AA247" s="1"/>
      <c r="AB247" s="1"/>
      <c r="AC247" s="1"/>
    </row>
    <row r="248" spans="1:29" x14ac:dyDescent="0.2">
      <c r="A248" s="1"/>
      <c r="B248" s="1"/>
      <c r="C248" s="1"/>
      <c r="D248" s="1"/>
      <c r="E248" s="1"/>
      <c r="F248" s="1"/>
      <c r="G248" s="1"/>
      <c r="H248" s="1"/>
      <c r="I248" s="1"/>
      <c r="J248" s="1"/>
      <c r="K248" s="350"/>
      <c r="L248" s="350"/>
      <c r="M248" s="1"/>
      <c r="N248" s="1"/>
      <c r="O248" s="1"/>
      <c r="P248" s="1"/>
      <c r="Q248" s="1"/>
      <c r="R248" s="1"/>
      <c r="S248" s="1"/>
      <c r="T248" s="1"/>
      <c r="U248" s="1"/>
      <c r="V248" s="1"/>
      <c r="W248" s="1"/>
      <c r="X248" s="1"/>
      <c r="Y248" s="1"/>
      <c r="Z248" s="1"/>
      <c r="AA248" s="1"/>
      <c r="AB248" s="1"/>
      <c r="AC248" s="1"/>
    </row>
    <row r="249" spans="1:29" x14ac:dyDescent="0.2">
      <c r="A249" s="1"/>
      <c r="B249" s="1"/>
      <c r="C249" s="1"/>
      <c r="D249" s="1"/>
      <c r="E249" s="1"/>
      <c r="F249" s="1"/>
      <c r="G249" s="1"/>
      <c r="H249" s="1"/>
      <c r="I249" s="1"/>
      <c r="J249" s="1"/>
      <c r="K249" s="350"/>
      <c r="L249" s="350"/>
      <c r="M249" s="1"/>
      <c r="N249" s="1"/>
      <c r="O249" s="1"/>
      <c r="P249" s="1"/>
      <c r="Q249" s="1"/>
      <c r="R249" s="1"/>
      <c r="S249" s="1"/>
      <c r="T249" s="1"/>
      <c r="U249" s="1"/>
      <c r="V249" s="1"/>
      <c r="W249" s="1"/>
      <c r="X249" s="1"/>
      <c r="Y249" s="1"/>
      <c r="Z249" s="1"/>
      <c r="AA249" s="1"/>
      <c r="AB249" s="1"/>
      <c r="AC249" s="1"/>
    </row>
    <row r="250" spans="1:29" x14ac:dyDescent="0.2">
      <c r="A250" s="1"/>
      <c r="B250" s="1"/>
      <c r="C250" s="1"/>
      <c r="D250" s="1"/>
      <c r="E250" s="1"/>
      <c r="F250" s="1"/>
      <c r="G250" s="1"/>
      <c r="H250" s="1"/>
      <c r="I250" s="1"/>
      <c r="J250" s="1"/>
      <c r="K250" s="350"/>
      <c r="L250" s="350"/>
      <c r="M250" s="1"/>
      <c r="N250" s="1"/>
      <c r="O250" s="1"/>
      <c r="P250" s="1"/>
      <c r="Q250" s="1"/>
      <c r="R250" s="1"/>
      <c r="S250" s="1"/>
      <c r="T250" s="1"/>
      <c r="U250" s="1"/>
      <c r="V250" s="1"/>
      <c r="W250" s="1"/>
      <c r="X250" s="1"/>
      <c r="Y250" s="1"/>
      <c r="Z250" s="1"/>
      <c r="AA250" s="1"/>
      <c r="AB250" s="1"/>
      <c r="AC250" s="1"/>
    </row>
    <row r="251" spans="1:29" x14ac:dyDescent="0.2">
      <c r="A251" s="1"/>
      <c r="B251" s="1"/>
      <c r="C251" s="1"/>
      <c r="D251" s="1"/>
      <c r="E251" s="1"/>
      <c r="F251" s="1"/>
      <c r="G251" s="1"/>
      <c r="H251" s="1"/>
      <c r="I251" s="1"/>
      <c r="J251" s="1"/>
      <c r="K251" s="350"/>
      <c r="L251" s="350"/>
      <c r="M251" s="1"/>
      <c r="N251" s="1"/>
      <c r="O251" s="1"/>
      <c r="P251" s="1"/>
      <c r="Q251" s="1"/>
      <c r="R251" s="1"/>
      <c r="S251" s="1"/>
      <c r="T251" s="1"/>
      <c r="U251" s="1"/>
      <c r="V251" s="1"/>
      <c r="W251" s="1"/>
      <c r="X251" s="1"/>
      <c r="Y251" s="1"/>
      <c r="Z251" s="1"/>
      <c r="AA251" s="1"/>
      <c r="AB251" s="1"/>
      <c r="AC251" s="1"/>
    </row>
    <row r="252" spans="1:29" x14ac:dyDescent="0.2">
      <c r="A252" s="1"/>
      <c r="B252" s="1"/>
      <c r="C252" s="1"/>
      <c r="D252" s="1"/>
      <c r="E252" s="1"/>
      <c r="F252" s="1"/>
      <c r="G252" s="1"/>
      <c r="H252" s="1"/>
      <c r="I252" s="1"/>
      <c r="J252" s="1"/>
      <c r="K252" s="350"/>
      <c r="L252" s="350"/>
      <c r="M252" s="1"/>
      <c r="N252" s="1"/>
      <c r="O252" s="1"/>
      <c r="P252" s="1"/>
      <c r="Q252" s="1"/>
      <c r="R252" s="1"/>
      <c r="S252" s="1"/>
      <c r="T252" s="1"/>
      <c r="U252" s="1"/>
      <c r="V252" s="1"/>
      <c r="W252" s="1"/>
      <c r="X252" s="1"/>
      <c r="Y252" s="1"/>
      <c r="Z252" s="1"/>
      <c r="AA252" s="1"/>
      <c r="AB252" s="1"/>
      <c r="AC252" s="1"/>
    </row>
    <row r="253" spans="1:29" x14ac:dyDescent="0.2">
      <c r="A253" s="1"/>
      <c r="B253" s="1"/>
      <c r="C253" s="1"/>
      <c r="D253" s="1"/>
      <c r="E253" s="1"/>
      <c r="F253" s="1"/>
      <c r="G253" s="1"/>
      <c r="H253" s="1"/>
      <c r="I253" s="1"/>
      <c r="J253" s="1"/>
      <c r="K253" s="350"/>
      <c r="L253" s="350"/>
      <c r="M253" s="1"/>
      <c r="N253" s="1"/>
      <c r="O253" s="1"/>
      <c r="P253" s="1"/>
      <c r="Q253" s="1"/>
      <c r="R253" s="1"/>
      <c r="S253" s="1"/>
      <c r="T253" s="1"/>
      <c r="U253" s="1"/>
      <c r="V253" s="1"/>
      <c r="W253" s="1"/>
      <c r="X253" s="1"/>
      <c r="Y253" s="1"/>
      <c r="Z253" s="1"/>
      <c r="AA253" s="1"/>
      <c r="AB253" s="1"/>
      <c r="AC253" s="1"/>
    </row>
    <row r="254" spans="1:29" x14ac:dyDescent="0.2">
      <c r="A254" s="1"/>
      <c r="B254" s="1"/>
      <c r="C254" s="1"/>
      <c r="D254" s="1"/>
      <c r="E254" s="1"/>
      <c r="F254" s="1"/>
      <c r="G254" s="1"/>
      <c r="H254" s="1"/>
      <c r="I254" s="1"/>
      <c r="J254" s="1"/>
      <c r="K254" s="350"/>
      <c r="L254" s="350"/>
      <c r="M254" s="1"/>
      <c r="N254" s="1"/>
      <c r="O254" s="1"/>
      <c r="P254" s="1"/>
      <c r="Q254" s="1"/>
      <c r="R254" s="1"/>
      <c r="S254" s="1"/>
      <c r="T254" s="1"/>
      <c r="U254" s="1"/>
      <c r="V254" s="1"/>
      <c r="W254" s="1"/>
      <c r="X254" s="1"/>
      <c r="Y254" s="1"/>
      <c r="Z254" s="1"/>
      <c r="AA254" s="1"/>
      <c r="AB254" s="1"/>
      <c r="AC254" s="1"/>
    </row>
    <row r="255" spans="1:29" x14ac:dyDescent="0.2">
      <c r="A255" s="1"/>
      <c r="B255" s="1"/>
      <c r="C255" s="1"/>
      <c r="D255" s="1"/>
      <c r="E255" s="1"/>
      <c r="F255" s="1"/>
      <c r="G255" s="1"/>
      <c r="H255" s="1"/>
      <c r="I255" s="1"/>
      <c r="J255" s="1"/>
      <c r="K255" s="350"/>
      <c r="L255" s="350"/>
      <c r="M255" s="1"/>
      <c r="N255" s="1"/>
      <c r="O255" s="1"/>
      <c r="P255" s="1"/>
      <c r="Q255" s="1"/>
      <c r="R255" s="1"/>
      <c r="S255" s="1"/>
      <c r="T255" s="1"/>
      <c r="U255" s="1"/>
      <c r="V255" s="1"/>
      <c r="W255" s="1"/>
      <c r="X255" s="1"/>
      <c r="Y255" s="1"/>
      <c r="Z255" s="1"/>
      <c r="AA255" s="1"/>
      <c r="AB255" s="1"/>
      <c r="AC255" s="1"/>
    </row>
    <row r="256" spans="1:29" x14ac:dyDescent="0.2">
      <c r="A256" s="1"/>
      <c r="B256" s="1"/>
      <c r="C256" s="1"/>
      <c r="D256" s="1"/>
      <c r="E256" s="1"/>
      <c r="F256" s="1"/>
      <c r="G256" s="1"/>
      <c r="H256" s="1"/>
      <c r="I256" s="1"/>
      <c r="J256" s="1"/>
      <c r="K256" s="350"/>
      <c r="L256" s="350"/>
      <c r="M256" s="1"/>
      <c r="N256" s="1"/>
      <c r="O256" s="1"/>
      <c r="P256" s="1"/>
      <c r="Q256" s="1"/>
      <c r="R256" s="1"/>
      <c r="S256" s="1"/>
      <c r="T256" s="1"/>
      <c r="U256" s="1"/>
      <c r="V256" s="1"/>
      <c r="W256" s="1"/>
      <c r="X256" s="1"/>
      <c r="Y256" s="1"/>
      <c r="Z256" s="1"/>
      <c r="AA256" s="1"/>
      <c r="AB256" s="1"/>
      <c r="AC256" s="1"/>
    </row>
    <row r="257" spans="1:29" x14ac:dyDescent="0.2">
      <c r="A257" s="1"/>
      <c r="B257" s="1"/>
      <c r="C257" s="1"/>
      <c r="D257" s="1"/>
      <c r="E257" s="1"/>
      <c r="F257" s="1"/>
      <c r="G257" s="1"/>
      <c r="H257" s="1"/>
      <c r="I257" s="1"/>
      <c r="J257" s="1"/>
      <c r="K257" s="350"/>
      <c r="L257" s="350"/>
      <c r="M257" s="1"/>
      <c r="N257" s="1"/>
      <c r="O257" s="1"/>
      <c r="P257" s="1"/>
      <c r="Q257" s="1"/>
      <c r="R257" s="1"/>
      <c r="S257" s="1"/>
      <c r="T257" s="1"/>
      <c r="U257" s="1"/>
      <c r="V257" s="1"/>
      <c r="W257" s="1"/>
      <c r="X257" s="1"/>
      <c r="Y257" s="1"/>
      <c r="Z257" s="1"/>
      <c r="AA257" s="1"/>
      <c r="AB257" s="1"/>
      <c r="AC257" s="1"/>
    </row>
    <row r="258" spans="1:29" x14ac:dyDescent="0.2">
      <c r="A258" s="1"/>
      <c r="B258" s="1"/>
      <c r="C258" s="1"/>
      <c r="D258" s="1"/>
      <c r="E258" s="1"/>
      <c r="F258" s="1"/>
      <c r="G258" s="1"/>
      <c r="H258" s="1"/>
      <c r="I258" s="1"/>
      <c r="J258" s="1"/>
      <c r="K258" s="350"/>
      <c r="L258" s="350"/>
      <c r="M258" s="1"/>
      <c r="N258" s="1"/>
      <c r="O258" s="1"/>
      <c r="P258" s="1"/>
      <c r="Q258" s="1"/>
      <c r="R258" s="1"/>
      <c r="S258" s="1"/>
      <c r="T258" s="1"/>
      <c r="U258" s="1"/>
      <c r="V258" s="1"/>
      <c r="W258" s="1"/>
      <c r="X258" s="1"/>
      <c r="Y258" s="1"/>
      <c r="Z258" s="1"/>
      <c r="AA258" s="1"/>
      <c r="AB258" s="1"/>
      <c r="AC258" s="1"/>
    </row>
    <row r="259" spans="1:29" x14ac:dyDescent="0.2">
      <c r="A259" s="1"/>
      <c r="B259" s="1"/>
      <c r="C259" s="1"/>
      <c r="D259" s="1"/>
      <c r="E259" s="1"/>
      <c r="F259" s="1"/>
      <c r="G259" s="1"/>
      <c r="H259" s="1"/>
      <c r="I259" s="1"/>
      <c r="J259" s="1"/>
      <c r="K259" s="350"/>
      <c r="L259" s="350"/>
      <c r="M259" s="1"/>
      <c r="N259" s="1"/>
      <c r="O259" s="1"/>
      <c r="P259" s="1"/>
      <c r="Q259" s="1"/>
      <c r="R259" s="1"/>
      <c r="S259" s="1"/>
      <c r="T259" s="1"/>
      <c r="U259" s="1"/>
      <c r="V259" s="1"/>
      <c r="W259" s="1"/>
      <c r="X259" s="1"/>
      <c r="Y259" s="1"/>
      <c r="Z259" s="1"/>
      <c r="AA259" s="1"/>
      <c r="AB259" s="1"/>
      <c r="AC259" s="1"/>
    </row>
    <row r="260" spans="1:29" x14ac:dyDescent="0.2">
      <c r="A260" s="1"/>
      <c r="B260" s="1"/>
      <c r="C260" s="1"/>
      <c r="D260" s="1"/>
      <c r="E260" s="1"/>
      <c r="F260" s="1"/>
      <c r="G260" s="1"/>
      <c r="H260" s="1"/>
      <c r="I260" s="1"/>
      <c r="J260" s="1"/>
      <c r="K260" s="350"/>
      <c r="L260" s="350"/>
      <c r="M260" s="1"/>
      <c r="N260" s="1"/>
      <c r="O260" s="1"/>
      <c r="P260" s="1"/>
      <c r="Q260" s="1"/>
      <c r="R260" s="1"/>
      <c r="S260" s="1"/>
      <c r="T260" s="1"/>
      <c r="U260" s="1"/>
      <c r="V260" s="1"/>
      <c r="W260" s="1"/>
      <c r="X260" s="1"/>
      <c r="Y260" s="1"/>
      <c r="Z260" s="1"/>
      <c r="AA260" s="1"/>
      <c r="AB260" s="1"/>
      <c r="AC260" s="1"/>
    </row>
    <row r="261" spans="1:29" x14ac:dyDescent="0.2">
      <c r="A261" s="1"/>
      <c r="B261" s="1"/>
      <c r="C261" s="1"/>
      <c r="D261" s="1"/>
      <c r="E261" s="1"/>
      <c r="F261" s="1"/>
      <c r="G261" s="1"/>
      <c r="H261" s="1"/>
      <c r="I261" s="1"/>
      <c r="J261" s="1"/>
      <c r="K261" s="350"/>
      <c r="L261" s="350"/>
      <c r="M261" s="1"/>
      <c r="N261" s="1"/>
      <c r="O261" s="1"/>
      <c r="P261" s="1"/>
      <c r="Q261" s="1"/>
      <c r="R261" s="1"/>
      <c r="S261" s="1"/>
      <c r="T261" s="1"/>
      <c r="U261" s="1"/>
      <c r="V261" s="1"/>
      <c r="W261" s="1"/>
      <c r="X261" s="1"/>
      <c r="Y261" s="1"/>
      <c r="Z261" s="1"/>
      <c r="AA261" s="1"/>
      <c r="AB261" s="1"/>
      <c r="AC261" s="1"/>
    </row>
    <row r="262" spans="1:29" x14ac:dyDescent="0.2">
      <c r="A262" s="1"/>
      <c r="B262" s="1"/>
      <c r="C262" s="1"/>
      <c r="D262" s="1"/>
      <c r="E262" s="1"/>
      <c r="F262" s="1"/>
      <c r="G262" s="1"/>
      <c r="H262" s="1"/>
      <c r="I262" s="1"/>
      <c r="J262" s="1"/>
      <c r="K262" s="350"/>
      <c r="L262" s="350"/>
      <c r="M262" s="1"/>
      <c r="N262" s="1"/>
      <c r="O262" s="1"/>
      <c r="P262" s="1"/>
      <c r="Q262" s="1"/>
      <c r="R262" s="1"/>
      <c r="S262" s="1"/>
      <c r="T262" s="1"/>
      <c r="U262" s="1"/>
      <c r="V262" s="1"/>
      <c r="W262" s="1"/>
      <c r="X262" s="1"/>
      <c r="Y262" s="1"/>
      <c r="Z262" s="1"/>
      <c r="AA262" s="1"/>
      <c r="AB262" s="1"/>
      <c r="AC262" s="1"/>
    </row>
    <row r="263" spans="1:29" x14ac:dyDescent="0.2">
      <c r="A263" s="1"/>
      <c r="B263" s="1"/>
      <c r="C263" s="1"/>
      <c r="D263" s="1"/>
      <c r="E263" s="1"/>
      <c r="F263" s="1"/>
      <c r="G263" s="1"/>
      <c r="H263" s="1"/>
      <c r="I263" s="1"/>
      <c r="J263" s="1"/>
      <c r="K263" s="350"/>
      <c r="L263" s="350"/>
      <c r="M263" s="1"/>
      <c r="N263" s="1"/>
      <c r="O263" s="1"/>
      <c r="P263" s="1"/>
      <c r="Q263" s="1"/>
      <c r="R263" s="1"/>
      <c r="S263" s="1"/>
      <c r="T263" s="1"/>
      <c r="U263" s="1"/>
      <c r="V263" s="1"/>
      <c r="W263" s="1"/>
      <c r="X263" s="1"/>
      <c r="Y263" s="1"/>
      <c r="Z263" s="1"/>
      <c r="AA263" s="1"/>
      <c r="AB263" s="1"/>
      <c r="AC263" s="1"/>
    </row>
    <row r="264" spans="1:29" x14ac:dyDescent="0.2">
      <c r="A264" s="1"/>
      <c r="B264" s="1"/>
      <c r="C264" s="1"/>
      <c r="D264" s="1"/>
      <c r="E264" s="1"/>
      <c r="F264" s="1"/>
      <c r="G264" s="1"/>
      <c r="H264" s="1"/>
      <c r="I264" s="1"/>
      <c r="J264" s="1"/>
      <c r="K264" s="350"/>
      <c r="L264" s="350"/>
      <c r="M264" s="1"/>
      <c r="N264" s="1"/>
      <c r="O264" s="1"/>
      <c r="P264" s="1"/>
      <c r="Q264" s="1"/>
      <c r="R264" s="1"/>
      <c r="S264" s="1"/>
      <c r="T264" s="1"/>
      <c r="U264" s="1"/>
      <c r="V264" s="1"/>
      <c r="W264" s="1"/>
      <c r="X264" s="1"/>
      <c r="Y264" s="1"/>
      <c r="Z264" s="1"/>
      <c r="AA264" s="1"/>
      <c r="AB264" s="1"/>
      <c r="AC264" s="1"/>
    </row>
    <row r="265" spans="1:29" x14ac:dyDescent="0.2">
      <c r="A265" s="1"/>
      <c r="B265" s="1"/>
      <c r="C265" s="1"/>
      <c r="D265" s="1"/>
      <c r="E265" s="1"/>
      <c r="F265" s="1"/>
      <c r="G265" s="1"/>
      <c r="H265" s="1"/>
      <c r="I265" s="1"/>
      <c r="J265" s="1"/>
      <c r="K265" s="350"/>
      <c r="L265" s="350"/>
      <c r="M265" s="1"/>
      <c r="N265" s="1"/>
      <c r="O265" s="1"/>
      <c r="P265" s="1"/>
      <c r="Q265" s="1"/>
      <c r="R265" s="1"/>
      <c r="S265" s="1"/>
      <c r="T265" s="1"/>
      <c r="U265" s="1"/>
      <c r="V265" s="1"/>
      <c r="W265" s="1"/>
      <c r="X265" s="1"/>
      <c r="Y265" s="1"/>
      <c r="Z265" s="1"/>
      <c r="AA265" s="1"/>
      <c r="AB265" s="1"/>
      <c r="AC265" s="1"/>
    </row>
    <row r="266" spans="1:29" x14ac:dyDescent="0.2">
      <c r="A266" s="1"/>
      <c r="B266" s="1"/>
      <c r="C266" s="1"/>
      <c r="D266" s="1"/>
      <c r="E266" s="1"/>
      <c r="F266" s="1"/>
      <c r="G266" s="1"/>
      <c r="H266" s="1"/>
      <c r="I266" s="1"/>
      <c r="J266" s="1"/>
      <c r="K266" s="350"/>
      <c r="L266" s="350"/>
      <c r="M266" s="1"/>
      <c r="N266" s="1"/>
      <c r="O266" s="1"/>
      <c r="P266" s="1"/>
      <c r="Q266" s="1"/>
      <c r="R266" s="1"/>
      <c r="S266" s="1"/>
      <c r="T266" s="1"/>
      <c r="U266" s="1"/>
      <c r="V266" s="1"/>
      <c r="W266" s="1"/>
      <c r="X266" s="1"/>
      <c r="Y266" s="1"/>
      <c r="Z266" s="1"/>
      <c r="AA266" s="1"/>
      <c r="AB266" s="1"/>
      <c r="AC266" s="1"/>
    </row>
    <row r="267" spans="1:29" x14ac:dyDescent="0.2">
      <c r="A267" s="1"/>
      <c r="B267" s="1"/>
      <c r="C267" s="1"/>
      <c r="D267" s="1"/>
      <c r="E267" s="1"/>
      <c r="F267" s="1"/>
      <c r="G267" s="1"/>
      <c r="H267" s="1"/>
      <c r="I267" s="1"/>
      <c r="J267" s="1"/>
      <c r="K267" s="350"/>
      <c r="L267" s="350"/>
      <c r="M267" s="1"/>
      <c r="N267" s="1"/>
      <c r="O267" s="1"/>
      <c r="P267" s="1"/>
      <c r="Q267" s="1"/>
      <c r="R267" s="1"/>
      <c r="S267" s="1"/>
      <c r="T267" s="1"/>
      <c r="U267" s="1"/>
      <c r="V267" s="1"/>
      <c r="W267" s="1"/>
      <c r="X267" s="1"/>
      <c r="Y267" s="1"/>
      <c r="Z267" s="1"/>
      <c r="AA267" s="1"/>
      <c r="AB267" s="1"/>
      <c r="AC267" s="1"/>
    </row>
    <row r="268" spans="1:29" x14ac:dyDescent="0.2">
      <c r="A268" s="1"/>
      <c r="B268" s="1"/>
      <c r="C268" s="1"/>
      <c r="D268" s="1"/>
      <c r="E268" s="1"/>
      <c r="F268" s="1"/>
      <c r="G268" s="1"/>
      <c r="H268" s="1"/>
      <c r="I268" s="1"/>
      <c r="J268" s="1"/>
      <c r="K268" s="350"/>
      <c r="L268" s="350"/>
      <c r="M268" s="1"/>
      <c r="N268" s="1"/>
      <c r="O268" s="1"/>
      <c r="P268" s="1"/>
      <c r="Q268" s="1"/>
      <c r="R268" s="1"/>
      <c r="S268" s="1"/>
      <c r="T268" s="1"/>
      <c r="U268" s="1"/>
      <c r="V268" s="1"/>
      <c r="W268" s="1"/>
      <c r="X268" s="1"/>
      <c r="Y268" s="1"/>
      <c r="Z268" s="1"/>
      <c r="AA268" s="1"/>
      <c r="AB268" s="1"/>
      <c r="AC268" s="1"/>
    </row>
    <row r="269" spans="1:29" x14ac:dyDescent="0.2">
      <c r="A269" s="1"/>
      <c r="B269" s="1"/>
      <c r="C269" s="1"/>
      <c r="D269" s="1"/>
      <c r="E269" s="1"/>
      <c r="F269" s="1"/>
      <c r="G269" s="1"/>
      <c r="H269" s="1"/>
      <c r="I269" s="1"/>
      <c r="J269" s="1"/>
      <c r="K269" s="350"/>
      <c r="L269" s="350"/>
      <c r="M269" s="1"/>
      <c r="N269" s="1"/>
      <c r="O269" s="1"/>
      <c r="P269" s="1"/>
      <c r="Q269" s="1"/>
      <c r="R269" s="1"/>
      <c r="S269" s="1"/>
      <c r="T269" s="1"/>
      <c r="U269" s="1"/>
      <c r="V269" s="1"/>
      <c r="W269" s="1"/>
      <c r="X269" s="1"/>
      <c r="Y269" s="1"/>
      <c r="Z269" s="1"/>
      <c r="AA269" s="1"/>
      <c r="AB269" s="1"/>
      <c r="AC269" s="1"/>
    </row>
    <row r="270" spans="1:29" x14ac:dyDescent="0.2">
      <c r="A270" s="1"/>
      <c r="B270" s="1"/>
      <c r="C270" s="1"/>
      <c r="D270" s="1"/>
      <c r="E270" s="1"/>
      <c r="F270" s="1"/>
      <c r="G270" s="1"/>
      <c r="H270" s="1"/>
      <c r="I270" s="1"/>
      <c r="J270" s="1"/>
      <c r="K270" s="350"/>
      <c r="L270" s="350"/>
      <c r="M270" s="1"/>
      <c r="N270" s="1"/>
      <c r="O270" s="1"/>
      <c r="P270" s="1"/>
      <c r="Q270" s="1"/>
      <c r="R270" s="1"/>
      <c r="S270" s="1"/>
      <c r="T270" s="1"/>
      <c r="U270" s="1"/>
      <c r="V270" s="1"/>
      <c r="W270" s="1"/>
      <c r="X270" s="1"/>
      <c r="Y270" s="1"/>
      <c r="Z270" s="1"/>
      <c r="AA270" s="1"/>
      <c r="AB270" s="1"/>
      <c r="AC270" s="1"/>
    </row>
    <row r="271" spans="1:29" x14ac:dyDescent="0.2">
      <c r="A271" s="1"/>
      <c r="B271" s="1"/>
      <c r="C271" s="1"/>
      <c r="D271" s="1"/>
      <c r="E271" s="1"/>
      <c r="F271" s="1"/>
      <c r="G271" s="1"/>
      <c r="H271" s="1"/>
      <c r="I271" s="1"/>
      <c r="J271" s="1"/>
      <c r="K271" s="350"/>
      <c r="L271" s="350"/>
      <c r="M271" s="1"/>
      <c r="N271" s="1"/>
      <c r="O271" s="1"/>
      <c r="P271" s="1"/>
      <c r="Q271" s="1"/>
      <c r="R271" s="1"/>
      <c r="S271" s="1"/>
      <c r="T271" s="1"/>
      <c r="U271" s="1"/>
      <c r="V271" s="1"/>
      <c r="W271" s="1"/>
      <c r="X271" s="1"/>
      <c r="Y271" s="1"/>
      <c r="Z271" s="1"/>
      <c r="AA271" s="1"/>
      <c r="AB271" s="1"/>
      <c r="AC271" s="1"/>
    </row>
    <row r="272" spans="1:29" x14ac:dyDescent="0.2">
      <c r="A272" s="1"/>
      <c r="B272" s="1"/>
      <c r="C272" s="1"/>
      <c r="D272" s="1"/>
      <c r="E272" s="1"/>
      <c r="F272" s="1"/>
      <c r="G272" s="1"/>
      <c r="H272" s="1"/>
      <c r="I272" s="1"/>
      <c r="J272" s="1"/>
      <c r="K272" s="350"/>
      <c r="L272" s="350"/>
      <c r="M272" s="1"/>
      <c r="N272" s="1"/>
      <c r="O272" s="1"/>
      <c r="P272" s="1"/>
      <c r="Q272" s="1"/>
      <c r="R272" s="1"/>
      <c r="S272" s="1"/>
      <c r="T272" s="1"/>
      <c r="U272" s="1"/>
      <c r="V272" s="1"/>
      <c r="W272" s="1"/>
      <c r="X272" s="1"/>
      <c r="Y272" s="1"/>
      <c r="Z272" s="1"/>
      <c r="AA272" s="1"/>
      <c r="AB272" s="1"/>
      <c r="AC272" s="1"/>
    </row>
    <row r="273" spans="1:29" x14ac:dyDescent="0.2">
      <c r="A273" s="1"/>
      <c r="B273" s="1"/>
      <c r="C273" s="1"/>
      <c r="D273" s="1"/>
      <c r="E273" s="1"/>
      <c r="F273" s="1"/>
      <c r="G273" s="1"/>
      <c r="H273" s="1"/>
      <c r="I273" s="1"/>
      <c r="J273" s="1"/>
      <c r="K273" s="350"/>
      <c r="L273" s="350"/>
      <c r="M273" s="1"/>
      <c r="N273" s="1"/>
      <c r="O273" s="1"/>
      <c r="P273" s="1"/>
      <c r="Q273" s="1"/>
      <c r="R273" s="1"/>
      <c r="S273" s="1"/>
      <c r="T273" s="1"/>
      <c r="U273" s="1"/>
      <c r="V273" s="1"/>
      <c r="W273" s="1"/>
      <c r="X273" s="1"/>
      <c r="Y273" s="1"/>
      <c r="Z273" s="1"/>
      <c r="AA273" s="1"/>
      <c r="AB273" s="1"/>
      <c r="AC273" s="1"/>
    </row>
    <row r="274" spans="1:29" x14ac:dyDescent="0.2">
      <c r="A274" s="1"/>
      <c r="B274" s="1"/>
      <c r="C274" s="1"/>
      <c r="D274" s="1"/>
      <c r="E274" s="1"/>
      <c r="F274" s="1"/>
      <c r="G274" s="1"/>
      <c r="H274" s="1"/>
      <c r="I274" s="1"/>
      <c r="J274" s="1"/>
      <c r="K274" s="350"/>
      <c r="L274" s="350"/>
      <c r="M274" s="1"/>
      <c r="N274" s="1"/>
      <c r="O274" s="1"/>
      <c r="P274" s="1"/>
      <c r="Q274" s="1"/>
      <c r="R274" s="1"/>
      <c r="S274" s="1"/>
      <c r="T274" s="1"/>
      <c r="U274" s="1"/>
      <c r="V274" s="1"/>
      <c r="W274" s="1"/>
      <c r="X274" s="1"/>
      <c r="Y274" s="1"/>
      <c r="Z274" s="1"/>
      <c r="AA274" s="1"/>
      <c r="AB274" s="1"/>
      <c r="AC274" s="1"/>
    </row>
    <row r="275" spans="1:29" x14ac:dyDescent="0.2">
      <c r="A275" s="1"/>
      <c r="B275" s="1"/>
      <c r="C275" s="1"/>
      <c r="D275" s="1"/>
      <c r="E275" s="1"/>
      <c r="F275" s="1"/>
      <c r="G275" s="1"/>
      <c r="H275" s="1"/>
      <c r="I275" s="1"/>
      <c r="J275" s="1"/>
      <c r="K275" s="350"/>
      <c r="L275" s="350"/>
      <c r="M275" s="1"/>
      <c r="N275" s="1"/>
      <c r="O275" s="1"/>
      <c r="P275" s="1"/>
      <c r="Q275" s="1"/>
      <c r="R275" s="1"/>
      <c r="S275" s="1"/>
      <c r="T275" s="1"/>
      <c r="U275" s="1"/>
      <c r="V275" s="1"/>
      <c r="W275" s="1"/>
      <c r="X275" s="1"/>
      <c r="Y275" s="1"/>
      <c r="Z275" s="1"/>
      <c r="AA275" s="1"/>
      <c r="AB275" s="1"/>
      <c r="AC275" s="1"/>
    </row>
    <row r="276" spans="1:29" x14ac:dyDescent="0.2">
      <c r="A276" s="1"/>
      <c r="B276" s="1"/>
      <c r="C276" s="1"/>
      <c r="D276" s="1"/>
      <c r="E276" s="1"/>
      <c r="F276" s="1"/>
      <c r="G276" s="1"/>
      <c r="H276" s="1"/>
      <c r="I276" s="1"/>
      <c r="J276" s="1"/>
      <c r="K276" s="350"/>
      <c r="L276" s="350"/>
      <c r="M276" s="1"/>
      <c r="N276" s="1"/>
      <c r="O276" s="1"/>
      <c r="P276" s="1"/>
      <c r="Q276" s="1"/>
      <c r="R276" s="1"/>
      <c r="S276" s="1"/>
      <c r="T276" s="1"/>
      <c r="U276" s="1"/>
      <c r="V276" s="1"/>
      <c r="W276" s="1"/>
      <c r="X276" s="1"/>
      <c r="Y276" s="1"/>
      <c r="Z276" s="1"/>
      <c r="AA276" s="1"/>
      <c r="AB276" s="1"/>
      <c r="AC276" s="1"/>
    </row>
    <row r="277" spans="1:29" x14ac:dyDescent="0.2">
      <c r="A277" s="1"/>
      <c r="B277" s="1"/>
      <c r="C277" s="1"/>
      <c r="D277" s="1"/>
      <c r="E277" s="1"/>
      <c r="F277" s="1"/>
      <c r="G277" s="1"/>
      <c r="H277" s="1"/>
      <c r="I277" s="1"/>
      <c r="J277" s="1"/>
      <c r="K277" s="350"/>
      <c r="L277" s="350"/>
      <c r="M277" s="1"/>
      <c r="N277" s="1"/>
      <c r="O277" s="1"/>
      <c r="P277" s="1"/>
      <c r="Q277" s="1"/>
      <c r="R277" s="1"/>
      <c r="S277" s="1"/>
      <c r="T277" s="1"/>
      <c r="U277" s="1"/>
      <c r="V277" s="1"/>
      <c r="W277" s="1"/>
      <c r="X277" s="1"/>
      <c r="Y277" s="1"/>
      <c r="Z277" s="1"/>
      <c r="AA277" s="1"/>
      <c r="AB277" s="1"/>
      <c r="AC277" s="1"/>
    </row>
  </sheetData>
  <mergeCells count="35">
    <mergeCell ref="K79:L79"/>
    <mergeCell ref="K102:L102"/>
    <mergeCell ref="A38:G38"/>
    <mergeCell ref="I5:J5"/>
    <mergeCell ref="B102:C102"/>
    <mergeCell ref="D102:E102"/>
    <mergeCell ref="F102:G102"/>
    <mergeCell ref="D39:E39"/>
    <mergeCell ref="F39:G39"/>
    <mergeCell ref="A36:G36"/>
    <mergeCell ref="A37:G37"/>
    <mergeCell ref="I79:J79"/>
    <mergeCell ref="I102:J102"/>
    <mergeCell ref="A78:G78"/>
    <mergeCell ref="A101:G101"/>
    <mergeCell ref="A99:G99"/>
    <mergeCell ref="A1:G1"/>
    <mergeCell ref="A2:G2"/>
    <mergeCell ref="B4:C4"/>
    <mergeCell ref="D4:E4"/>
    <mergeCell ref="F4:G4"/>
    <mergeCell ref="A3:G3"/>
    <mergeCell ref="A100:G100"/>
    <mergeCell ref="A76:G76"/>
    <mergeCell ref="A77:G77"/>
    <mergeCell ref="B79:C79"/>
    <mergeCell ref="D79:E79"/>
    <mergeCell ref="F79:G79"/>
    <mergeCell ref="K5:L5"/>
    <mergeCell ref="K41:L41"/>
    <mergeCell ref="B39:C39"/>
    <mergeCell ref="P6:Q6"/>
    <mergeCell ref="P63:Q63"/>
    <mergeCell ref="P44:Q44"/>
    <mergeCell ref="I41:J41"/>
  </mergeCells>
  <conditionalFormatting sqref="B70 C71:C72 D70 E71:E72 F70 G71:G72 B28:G28 B92 D92 F92 B93:G93 B29:B30 B26:B27 D26:D27 F26:F27 D29:D33">
    <cfRule type="cellIs" dxfId="23" priority="5" operator="notEqual">
      <formula>"Yes"</formula>
    </cfRule>
  </conditionalFormatting>
  <conditionalFormatting sqref="I31:I32">
    <cfRule type="cellIs" dxfId="22" priority="2" operator="notEqual">
      <formula>"Internal Balance"</formula>
    </cfRule>
  </conditionalFormatting>
  <pageMargins left="0.7" right="0.7" top="0.75" bottom="0.75" header="0.3" footer="0.3"/>
  <pageSetup orientation="landscape" r:id="rId1"/>
  <ignoredErrors>
    <ignoredError sqref="F65 F61:G61 F67 D16 D10" 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CFF"/>
  </sheetPr>
  <dimension ref="A1:P98"/>
  <sheetViews>
    <sheetView showGridLines="0" zoomScaleNormal="100" workbookViewId="0"/>
  </sheetViews>
  <sheetFormatPr defaultRowHeight="12.75" x14ac:dyDescent="0.2"/>
  <cols>
    <col min="1" max="1" width="45.7109375" style="16" customWidth="1"/>
    <col min="2" max="4" width="15.7109375" style="16" customWidth="1"/>
    <col min="5" max="5" width="9.140625" style="16" customWidth="1"/>
    <col min="6" max="6" width="9.140625" style="16"/>
    <col min="7" max="7" width="49.7109375" style="16" customWidth="1"/>
    <col min="8" max="8" width="16.28515625" style="18" customWidth="1"/>
    <col min="9" max="10" width="15.28515625" style="18" customWidth="1"/>
    <col min="11" max="11" width="10.7109375" style="18" customWidth="1"/>
    <col min="12" max="12" width="11.7109375" style="18" bestFit="1" customWidth="1"/>
    <col min="13" max="13" width="8.7109375" style="18" bestFit="1" customWidth="1"/>
    <col min="14" max="14" width="11.85546875" style="18" bestFit="1" customWidth="1"/>
    <col min="15" max="16" width="9.140625" style="18"/>
    <col min="17" max="16384" width="9.140625" style="16"/>
  </cols>
  <sheetData>
    <row r="1" spans="1:7" x14ac:dyDescent="0.2">
      <c r="D1" s="49" t="s">
        <v>9</v>
      </c>
      <c r="E1" s="17"/>
    </row>
    <row r="2" spans="1:7" x14ac:dyDescent="0.2">
      <c r="A2" s="472" t="s">
        <v>0</v>
      </c>
      <c r="B2" s="472"/>
      <c r="C2" s="472"/>
      <c r="D2" s="472"/>
      <c r="E2" s="34"/>
    </row>
    <row r="3" spans="1:7" x14ac:dyDescent="0.2">
      <c r="A3" s="472" t="s">
        <v>10</v>
      </c>
      <c r="B3" s="472"/>
      <c r="C3" s="472"/>
      <c r="D3" s="472"/>
      <c r="E3" s="34"/>
    </row>
    <row r="4" spans="1:7" x14ac:dyDescent="0.2">
      <c r="A4" s="472" t="s">
        <v>11</v>
      </c>
      <c r="B4" s="472"/>
      <c r="C4" s="472"/>
      <c r="D4" s="472"/>
      <c r="E4" s="34"/>
    </row>
    <row r="5" spans="1:7" x14ac:dyDescent="0.2">
      <c r="A5" s="496" t="str">
        <f>GASB34GovtFundsBudget!A5</f>
        <v>For the Year Ended June 30, 2021</v>
      </c>
      <c r="B5" s="496"/>
      <c r="C5" s="496"/>
      <c r="D5" s="496"/>
      <c r="E5" s="194"/>
    </row>
    <row r="6" spans="1:7" ht="6" customHeight="1" x14ac:dyDescent="0.2">
      <c r="A6" s="19"/>
      <c r="B6" s="19"/>
      <c r="C6" s="19"/>
      <c r="D6" s="19"/>
      <c r="E6" s="20"/>
    </row>
    <row r="7" spans="1:7" ht="15" x14ac:dyDescent="0.35">
      <c r="B7" s="462" t="s">
        <v>12</v>
      </c>
      <c r="C7" s="462"/>
      <c r="D7" s="462"/>
      <c r="E7" s="20"/>
    </row>
    <row r="8" spans="1:7" ht="15" x14ac:dyDescent="0.35">
      <c r="B8" s="365" t="s">
        <v>13</v>
      </c>
      <c r="C8" s="365" t="s">
        <v>14</v>
      </c>
      <c r="D8" s="204"/>
      <c r="E8" s="20"/>
    </row>
    <row r="9" spans="1:7" ht="30" x14ac:dyDescent="0.35">
      <c r="B9" s="368" t="s">
        <v>15</v>
      </c>
      <c r="C9" s="368" t="s">
        <v>16</v>
      </c>
      <c r="D9" s="368" t="s">
        <v>17</v>
      </c>
    </row>
    <row r="10" spans="1:7" x14ac:dyDescent="0.2">
      <c r="A10" s="433" t="s">
        <v>567</v>
      </c>
      <c r="B10" s="375"/>
      <c r="C10" s="375"/>
      <c r="D10" s="375"/>
      <c r="E10" s="375"/>
    </row>
    <row r="11" spans="1:7" x14ac:dyDescent="0.2">
      <c r="A11" s="383" t="s">
        <v>18</v>
      </c>
      <c r="B11" s="392">
        <f>406290</f>
        <v>406290</v>
      </c>
      <c r="C11" s="392">
        <v>148390</v>
      </c>
      <c r="D11" s="392">
        <f>SUM(B11:C11)</f>
        <v>554680</v>
      </c>
      <c r="E11" s="375"/>
      <c r="G11" s="23"/>
    </row>
    <row r="12" spans="1:7" x14ac:dyDescent="0.2">
      <c r="A12" s="383" t="s">
        <v>19</v>
      </c>
      <c r="B12" s="389">
        <f>-962925</f>
        <v>-962925</v>
      </c>
      <c r="C12" s="389">
        <f>-17360</f>
        <v>-17360</v>
      </c>
      <c r="D12" s="389">
        <f>SUM(B12:C12)</f>
        <v>-980285</v>
      </c>
      <c r="E12" s="407"/>
    </row>
    <row r="13" spans="1:7" x14ac:dyDescent="0.2">
      <c r="A13" s="383" t="s">
        <v>20</v>
      </c>
      <c r="B13" s="389">
        <f>ROUND(-71000-48500*0.7*0.2-(27219*0.7*0.2)-(0.7*0.2*1260*0.5)-(50000*0.7*0.2)-(30000*0.7*0.2)-(0.7*0.2*1400*0.5),0)</f>
        <v>-92987</v>
      </c>
      <c r="C13" s="389">
        <f>ROUND(-131840-48500*0.3*0.2-(27219*0.3*0.2)-(0.3*0.2*1260*0.5)-(50000*0.3*0.2)-(30000*0.3*0.2)-(0.3*0.2*1400*0.5),0)</f>
        <v>-141263</v>
      </c>
      <c r="D13" s="389">
        <f>SUM(B13:C13)</f>
        <v>-234250</v>
      </c>
      <c r="E13" s="375"/>
    </row>
    <row r="14" spans="1:7" ht="15" x14ac:dyDescent="0.2">
      <c r="A14" s="383" t="s">
        <v>500</v>
      </c>
      <c r="B14" s="420">
        <v>0</v>
      </c>
      <c r="C14" s="420">
        <v>120</v>
      </c>
      <c r="D14" s="420">
        <f>SUM(B14:C14)</f>
        <v>120</v>
      </c>
      <c r="E14" s="375"/>
    </row>
    <row r="15" spans="1:7" ht="15" x14ac:dyDescent="0.2">
      <c r="A15" s="383" t="s">
        <v>22</v>
      </c>
      <c r="B15" s="420">
        <f>SUM(B11:B14)</f>
        <v>-649622</v>
      </c>
      <c r="C15" s="420">
        <f>SUM(C11:C14)</f>
        <v>-10113</v>
      </c>
      <c r="D15" s="420">
        <f>SUM(D11:D14)</f>
        <v>-659735</v>
      </c>
      <c r="E15" s="375"/>
      <c r="F15" s="25"/>
      <c r="G15" s="25"/>
    </row>
    <row r="16" spans="1:7" ht="5.0999999999999996" customHeight="1" x14ac:dyDescent="0.2">
      <c r="A16" s="379"/>
      <c r="B16" s="389"/>
      <c r="C16" s="389"/>
      <c r="D16" s="389"/>
      <c r="E16" s="375"/>
    </row>
    <row r="17" spans="1:16" x14ac:dyDescent="0.2">
      <c r="A17" s="433" t="s">
        <v>568</v>
      </c>
      <c r="B17" s="389"/>
      <c r="C17" s="389"/>
      <c r="D17" s="389"/>
      <c r="E17" s="375"/>
    </row>
    <row r="18" spans="1:16" ht="15" x14ac:dyDescent="0.2">
      <c r="A18" s="383" t="s">
        <v>23</v>
      </c>
      <c r="B18" s="420">
        <v>537885</v>
      </c>
      <c r="C18" s="420">
        <v>0</v>
      </c>
      <c r="D18" s="420">
        <v>537885</v>
      </c>
      <c r="E18" s="375"/>
    </row>
    <row r="19" spans="1:16" ht="5.0999999999999996" customHeight="1" x14ac:dyDescent="0.2">
      <c r="A19" s="379"/>
      <c r="B19" s="421"/>
      <c r="C19" s="421"/>
      <c r="D19" s="421"/>
      <c r="E19" s="375"/>
    </row>
    <row r="20" spans="1:16" x14ac:dyDescent="0.2">
      <c r="A20" s="433" t="s">
        <v>569</v>
      </c>
      <c r="B20" s="389"/>
      <c r="C20" s="389"/>
      <c r="D20" s="389"/>
      <c r="E20" s="375"/>
    </row>
    <row r="21" spans="1:16" ht="15" x14ac:dyDescent="0.2">
      <c r="A21" s="383" t="s">
        <v>24</v>
      </c>
      <c r="B21" s="420">
        <v>-9400</v>
      </c>
      <c r="C21" s="420">
        <v>-1130</v>
      </c>
      <c r="D21" s="420">
        <f>SUM(B21:C21)</f>
        <v>-10530</v>
      </c>
      <c r="E21" s="375"/>
      <c r="G21" s="23"/>
    </row>
    <row r="22" spans="1:16" ht="5.0999999999999996" customHeight="1" x14ac:dyDescent="0.2">
      <c r="A22" s="379"/>
      <c r="B22" s="389"/>
      <c r="C22" s="389"/>
      <c r="D22" s="389"/>
      <c r="E22" s="375"/>
    </row>
    <row r="23" spans="1:16" x14ac:dyDescent="0.2">
      <c r="A23" s="433" t="s">
        <v>570</v>
      </c>
      <c r="B23" s="389"/>
      <c r="C23" s="389"/>
      <c r="D23" s="389"/>
      <c r="E23" s="375"/>
      <c r="G23" s="25"/>
    </row>
    <row r="24" spans="1:16" ht="15" x14ac:dyDescent="0.2">
      <c r="A24" s="383" t="s">
        <v>25</v>
      </c>
      <c r="B24" s="420">
        <v>120978</v>
      </c>
      <c r="C24" s="420">
        <v>1024</v>
      </c>
      <c r="D24" s="420">
        <f>SUM(B24:C24)</f>
        <v>122002</v>
      </c>
      <c r="E24" s="375"/>
    </row>
    <row r="25" spans="1:16" ht="18" customHeight="1" x14ac:dyDescent="0.2">
      <c r="A25" s="433" t="s">
        <v>26</v>
      </c>
      <c r="B25" s="389">
        <f>SUM(B15:B24)</f>
        <v>-159</v>
      </c>
      <c r="C25" s="389">
        <f>SUM(C15:C24)</f>
        <v>-10219</v>
      </c>
      <c r="D25" s="389">
        <f>SUM(D15:D24)</f>
        <v>-10378</v>
      </c>
      <c r="E25" s="375"/>
    </row>
    <row r="26" spans="1:16" ht="15" x14ac:dyDescent="0.2">
      <c r="A26" s="379" t="s">
        <v>27</v>
      </c>
      <c r="B26" s="420">
        <f>299572-600</f>
        <v>298972</v>
      </c>
      <c r="C26" s="420">
        <v>28440</v>
      </c>
      <c r="D26" s="420">
        <f>SUM(B26:C26)</f>
        <v>327412</v>
      </c>
      <c r="E26" s="375"/>
      <c r="G26" s="25"/>
    </row>
    <row r="27" spans="1:16" ht="18" customHeight="1" x14ac:dyDescent="0.2">
      <c r="A27" s="379" t="s">
        <v>28</v>
      </c>
      <c r="B27" s="434">
        <f>SUM(B25:B26)</f>
        <v>298813</v>
      </c>
      <c r="C27" s="434">
        <f>SUM(C25:C26)</f>
        <v>18221</v>
      </c>
      <c r="D27" s="434">
        <f>SUM(D25:D26)</f>
        <v>317034</v>
      </c>
      <c r="E27" s="375"/>
    </row>
    <row r="28" spans="1:16" ht="8.1" customHeight="1" x14ac:dyDescent="0.2">
      <c r="A28" s="379"/>
      <c r="B28" s="389"/>
      <c r="C28" s="389"/>
      <c r="D28" s="389"/>
      <c r="E28" s="375"/>
      <c r="F28" s="23"/>
      <c r="G28" s="23"/>
    </row>
    <row r="29" spans="1:16" ht="25.5" x14ac:dyDescent="0.2">
      <c r="A29" s="433" t="s">
        <v>29</v>
      </c>
      <c r="B29" s="389"/>
      <c r="C29" s="389"/>
      <c r="D29" s="389"/>
      <c r="E29" s="375"/>
    </row>
    <row r="30" spans="1:16" ht="15" x14ac:dyDescent="0.2">
      <c r="A30" s="383" t="s">
        <v>30</v>
      </c>
      <c r="B30" s="435">
        <f>'Rev, exp-Prop'!B27</f>
        <v>-650446</v>
      </c>
      <c r="C30" s="435">
        <f>'Rev, exp-Prop'!C27</f>
        <v>-10281</v>
      </c>
      <c r="D30" s="435">
        <f>'Rev, exp-Prop'!D27</f>
        <v>-660727</v>
      </c>
      <c r="E30" s="375"/>
      <c r="G30" s="26"/>
      <c r="H30" s="27"/>
      <c r="I30" s="27"/>
      <c r="J30" s="27"/>
      <c r="K30" s="27"/>
      <c r="L30" s="27"/>
      <c r="M30" s="27"/>
      <c r="N30" s="27"/>
    </row>
    <row r="31" spans="1:16" ht="26.1" customHeight="1" x14ac:dyDescent="0.2">
      <c r="A31" s="383" t="s">
        <v>31</v>
      </c>
      <c r="B31" s="389"/>
      <c r="C31" s="389"/>
      <c r="D31" s="389"/>
      <c r="E31" s="375"/>
      <c r="G31" s="21"/>
      <c r="H31" s="27"/>
      <c r="I31" s="27"/>
      <c r="J31" s="27"/>
      <c r="K31" s="27"/>
      <c r="L31" s="27"/>
      <c r="M31" s="497"/>
      <c r="N31" s="497"/>
    </row>
    <row r="32" spans="1:16" x14ac:dyDescent="0.2">
      <c r="A32" s="393" t="s">
        <v>32</v>
      </c>
      <c r="B32" s="389">
        <f>7765</f>
        <v>7765</v>
      </c>
      <c r="C32" s="389">
        <v>300</v>
      </c>
      <c r="D32" s="389">
        <f t="shared" ref="D32:D46" si="0">SUM(B32:C32)</f>
        <v>8065</v>
      </c>
      <c r="E32" s="375"/>
      <c r="G32" s="21"/>
      <c r="H32" s="28"/>
      <c r="I32" s="28"/>
      <c r="J32" s="28"/>
      <c r="K32" s="28"/>
      <c r="L32" s="28"/>
      <c r="M32" s="497"/>
      <c r="N32" s="497"/>
      <c r="O32" s="29"/>
      <c r="P32" s="29"/>
    </row>
    <row r="33" spans="1:14" s="18" customFormat="1" x14ac:dyDescent="0.2">
      <c r="A33" s="393" t="s">
        <v>33</v>
      </c>
      <c r="B33" s="389">
        <v>19641</v>
      </c>
      <c r="C33" s="389">
        <v>0</v>
      </c>
      <c r="D33" s="389">
        <f t="shared" si="0"/>
        <v>19641</v>
      </c>
      <c r="E33" s="375"/>
      <c r="F33" s="16"/>
      <c r="G33" s="30"/>
      <c r="H33" s="27"/>
      <c r="I33" s="27"/>
      <c r="J33" s="27"/>
      <c r="K33" s="27"/>
      <c r="L33" s="27"/>
      <c r="M33" s="27"/>
      <c r="N33" s="27"/>
    </row>
    <row r="34" spans="1:14" s="18" customFormat="1" x14ac:dyDescent="0.2">
      <c r="A34" s="393" t="s">
        <v>34</v>
      </c>
      <c r="B34" s="389">
        <v>14000</v>
      </c>
      <c r="C34" s="389">
        <v>0</v>
      </c>
      <c r="D34" s="389">
        <f t="shared" si="0"/>
        <v>14000</v>
      </c>
      <c r="E34" s="375"/>
      <c r="F34" s="16"/>
      <c r="G34" s="30"/>
      <c r="H34" s="27"/>
      <c r="I34" s="27"/>
      <c r="J34" s="27"/>
      <c r="K34" s="27"/>
      <c r="L34" s="27"/>
      <c r="M34" s="27"/>
      <c r="N34" s="27"/>
    </row>
    <row r="35" spans="1:14" s="18" customFormat="1" x14ac:dyDescent="0.2">
      <c r="A35" s="393" t="s">
        <v>35</v>
      </c>
      <c r="B35" s="389">
        <v>4000</v>
      </c>
      <c r="C35" s="389">
        <v>0</v>
      </c>
      <c r="D35" s="389">
        <f t="shared" si="0"/>
        <v>4000</v>
      </c>
      <c r="E35" s="375"/>
      <c r="F35" s="16"/>
      <c r="G35" s="30"/>
      <c r="H35" s="27"/>
      <c r="I35" s="27"/>
      <c r="J35" s="27"/>
      <c r="K35" s="27"/>
      <c r="L35" s="27"/>
      <c r="M35" s="27"/>
      <c r="N35" s="27"/>
    </row>
    <row r="36" spans="1:14" s="18" customFormat="1" ht="26.1" customHeight="1" x14ac:dyDescent="0.2">
      <c r="A36" s="383" t="s">
        <v>36</v>
      </c>
      <c r="B36" s="389"/>
      <c r="C36" s="389"/>
      <c r="D36" s="389">
        <f t="shared" si="0"/>
        <v>0</v>
      </c>
      <c r="E36" s="375"/>
      <c r="F36" s="16"/>
      <c r="G36" s="21"/>
      <c r="H36" s="27"/>
      <c r="I36" s="27"/>
      <c r="J36" s="27"/>
      <c r="K36" s="27"/>
      <c r="L36" s="27"/>
      <c r="M36" s="27"/>
      <c r="N36" s="27"/>
    </row>
    <row r="37" spans="1:14" s="18" customFormat="1" x14ac:dyDescent="0.2">
      <c r="A37" s="393" t="s">
        <v>37</v>
      </c>
      <c r="B37" s="389">
        <v>-50000</v>
      </c>
      <c r="C37" s="389">
        <v>-744</v>
      </c>
      <c r="D37" s="389">
        <f t="shared" si="0"/>
        <v>-50744</v>
      </c>
      <c r="E37" s="375"/>
      <c r="F37" s="26"/>
      <c r="G37" s="30"/>
      <c r="H37" s="27"/>
      <c r="I37" s="27"/>
      <c r="J37" s="27"/>
      <c r="K37" s="27"/>
      <c r="L37" s="27"/>
      <c r="M37" s="27"/>
      <c r="N37" s="27"/>
    </row>
    <row r="38" spans="1:14" s="18" customFormat="1" x14ac:dyDescent="0.2">
      <c r="A38" s="393" t="s">
        <v>38</v>
      </c>
      <c r="B38" s="389">
        <v>0</v>
      </c>
      <c r="C38" s="389">
        <v>1508</v>
      </c>
      <c r="D38" s="389">
        <f t="shared" si="0"/>
        <v>1508</v>
      </c>
      <c r="E38" s="375"/>
      <c r="F38" s="31"/>
      <c r="G38" s="32"/>
      <c r="H38" s="27"/>
      <c r="I38" s="27"/>
      <c r="J38" s="27"/>
      <c r="K38" s="27"/>
      <c r="L38" s="27"/>
      <c r="M38" s="27"/>
      <c r="N38" s="27"/>
    </row>
    <row r="39" spans="1:14" s="18" customFormat="1" x14ac:dyDescent="0.2">
      <c r="A39" s="393" t="s">
        <v>660</v>
      </c>
      <c r="B39" s="389">
        <f>ROUND((2670-1821)*0.2*0.7*0.5-(1132*0.2*0.7*0.5),0)</f>
        <v>-20</v>
      </c>
      <c r="C39" s="389">
        <f>ROUND((2670-1821)*0.2*0.3*0.5-(1132*0.2*0.3*0.5),0)</f>
        <v>-8</v>
      </c>
      <c r="D39" s="389">
        <f>SUM(B39:C39)</f>
        <v>-28</v>
      </c>
      <c r="E39" s="375"/>
      <c r="F39" s="31"/>
      <c r="G39" s="32"/>
      <c r="H39" s="27"/>
      <c r="I39" s="27"/>
      <c r="J39" s="27"/>
      <c r="K39" s="27"/>
      <c r="L39" s="27"/>
      <c r="M39" s="27"/>
      <c r="N39" s="27"/>
    </row>
    <row r="40" spans="1:14" s="18" customFormat="1" x14ac:dyDescent="0.2">
      <c r="A40" s="393" t="s">
        <v>39</v>
      </c>
      <c r="B40" s="389">
        <v>-9290</v>
      </c>
      <c r="C40" s="389">
        <v>0</v>
      </c>
      <c r="D40" s="389">
        <f t="shared" si="0"/>
        <v>-9290</v>
      </c>
      <c r="E40" s="375"/>
      <c r="F40" s="16"/>
      <c r="G40" s="30"/>
      <c r="H40" s="27"/>
      <c r="I40" s="27"/>
      <c r="J40" s="27"/>
      <c r="K40" s="27"/>
      <c r="L40" s="27"/>
      <c r="M40" s="27"/>
      <c r="N40" s="27"/>
    </row>
    <row r="41" spans="1:14" s="18" customFormat="1" x14ac:dyDescent="0.2">
      <c r="A41" s="393" t="s">
        <v>40</v>
      </c>
      <c r="B41" s="389">
        <f>ROUND((276911-379590)*0.2*0.7+(18241),0)</f>
        <v>3866</v>
      </c>
      <c r="C41" s="389">
        <f>ROUND((276911-379590)*0.2*0.3+7817,0)</f>
        <v>1656</v>
      </c>
      <c r="D41" s="389">
        <f t="shared" si="0"/>
        <v>5522</v>
      </c>
      <c r="E41" s="375"/>
      <c r="F41" s="16"/>
      <c r="G41" s="30"/>
      <c r="H41" s="27"/>
      <c r="I41" s="27"/>
      <c r="J41" s="27"/>
      <c r="K41" s="27"/>
      <c r="L41" s="27"/>
      <c r="M41" s="27"/>
      <c r="N41" s="27"/>
    </row>
    <row r="42" spans="1:14" s="18" customFormat="1" x14ac:dyDescent="0.2">
      <c r="A42" s="393" t="s">
        <v>41</v>
      </c>
      <c r="B42" s="389">
        <f>ROUND((1204359-1598454)*0.7*0.2-15536,0)</f>
        <v>-70709</v>
      </c>
      <c r="C42" s="389">
        <f>ROUND((1204359-1598454)*0.2*0.3-6658,0)</f>
        <v>-30304</v>
      </c>
      <c r="D42" s="389">
        <f t="shared" si="0"/>
        <v>-101013</v>
      </c>
      <c r="E42" s="375"/>
      <c r="F42" s="16"/>
      <c r="G42" s="32"/>
      <c r="H42" s="27"/>
      <c r="I42" s="27"/>
      <c r="J42" s="27"/>
      <c r="K42" s="27"/>
      <c r="L42" s="27"/>
      <c r="M42" s="27"/>
      <c r="N42" s="27"/>
    </row>
    <row r="43" spans="1:14" s="18" customFormat="1" x14ac:dyDescent="0.2">
      <c r="A43" s="393" t="s">
        <v>42</v>
      </c>
      <c r="B43" s="389">
        <f>ROUND(-(148691-260973)*0.2*0.7+B44+B45-(7000+3320+186+5315+959-6790),0)</f>
        <v>-2545</v>
      </c>
      <c r="C43" s="389">
        <f>ROUND(-(148691-260973)*0.2*0.3+C44+C45-(3000+1423+80+2278+411-2910),0)</f>
        <v>-1090</v>
      </c>
      <c r="D43" s="389">
        <f t="shared" si="0"/>
        <v>-3635</v>
      </c>
      <c r="E43" s="375"/>
      <c r="F43" s="16"/>
      <c r="G43" s="32"/>
      <c r="H43" s="27"/>
      <c r="I43" s="27"/>
      <c r="J43" s="27"/>
      <c r="K43" s="27"/>
      <c r="L43" s="27"/>
      <c r="M43" s="27"/>
      <c r="N43" s="27"/>
    </row>
    <row r="44" spans="1:14" s="18" customFormat="1" hidden="1" x14ac:dyDescent="0.2">
      <c r="A44" s="436" t="s">
        <v>43</v>
      </c>
      <c r="B44" s="389">
        <f>ROUND((28290-27219)*0.7*0.2-(4200-3811+17+8068),0)</f>
        <v>-8324</v>
      </c>
      <c r="C44" s="389">
        <f>ROUND((28290-27219)*0.3*0.2-(1800-1633+7+3458),0)</f>
        <v>-3568</v>
      </c>
      <c r="D44" s="389">
        <f t="shared" si="0"/>
        <v>-11892</v>
      </c>
      <c r="E44" s="375"/>
      <c r="F44" s="16"/>
      <c r="G44" s="32"/>
      <c r="H44" s="27"/>
      <c r="I44" s="27"/>
      <c r="J44" s="27"/>
      <c r="K44" s="27"/>
      <c r="L44" s="27"/>
      <c r="M44" s="27"/>
      <c r="N44" s="27"/>
    </row>
    <row r="45" spans="1:14" s="18" customFormat="1" hidden="1" x14ac:dyDescent="0.2">
      <c r="A45" s="436" t="s">
        <v>44</v>
      </c>
      <c r="B45" s="389">
        <f>ROUND(-(2386-1320)*0.7*0.2*0.5+(66+11+16+22+98-88),0)</f>
        <v>50</v>
      </c>
      <c r="C45" s="389">
        <f>ROUND(-(2386-1320)*0.2*0.3*0.5+(29+5+7+10+42-38),0)</f>
        <v>23</v>
      </c>
      <c r="D45" s="389">
        <f t="shared" si="0"/>
        <v>73</v>
      </c>
      <c r="E45" s="375"/>
      <c r="F45" s="16"/>
      <c r="G45" s="32"/>
      <c r="H45" s="27"/>
      <c r="I45" s="27"/>
      <c r="J45" s="27"/>
      <c r="K45" s="27"/>
      <c r="L45" s="27"/>
      <c r="M45" s="27"/>
      <c r="N45" s="27"/>
    </row>
    <row r="46" spans="1:14" s="18" customFormat="1" x14ac:dyDescent="0.2">
      <c r="A46" s="393" t="s">
        <v>45</v>
      </c>
      <c r="B46" s="389">
        <f>ROUND((37656-20245)*0.2*0.7+B47-(1350+696),0)</f>
        <v>77832</v>
      </c>
      <c r="C46" s="389">
        <f>ROUND((37656-20245)*0.2*0.3+C47-(578+298),0)</f>
        <v>33358</v>
      </c>
      <c r="D46" s="389">
        <f t="shared" si="0"/>
        <v>111190</v>
      </c>
      <c r="E46" s="375"/>
      <c r="F46" s="16"/>
      <c r="G46" s="30"/>
      <c r="H46" s="27"/>
      <c r="I46" s="27"/>
      <c r="J46" s="27"/>
      <c r="K46" s="27"/>
      <c r="L46" s="27"/>
      <c r="M46" s="27"/>
      <c r="N46" s="27"/>
    </row>
    <row r="47" spans="1:14" s="18" customFormat="1" ht="12.75" hidden="1" customHeight="1" x14ac:dyDescent="0.2">
      <c r="A47" s="436" t="s">
        <v>46</v>
      </c>
      <c r="B47" s="389">
        <f>ROUND(424343*0.7*0.2-(1622+63+165-19881)+1,0)</f>
        <v>77440</v>
      </c>
      <c r="C47" s="389">
        <f>ROUND(424343*0.2*0.3-(695+27+71-8520)+1,0)</f>
        <v>33189</v>
      </c>
      <c r="D47" s="389">
        <f>SUM(B47:C47)</f>
        <v>110629</v>
      </c>
      <c r="E47" s="375"/>
      <c r="F47" s="16"/>
      <c r="G47" s="30"/>
      <c r="H47" s="27"/>
      <c r="I47" s="27"/>
      <c r="J47" s="27"/>
      <c r="K47" s="27"/>
      <c r="L47" s="27"/>
      <c r="M47" s="27"/>
      <c r="N47" s="27"/>
    </row>
    <row r="48" spans="1:14" s="18" customFormat="1" ht="26.1" customHeight="1" x14ac:dyDescent="0.2">
      <c r="A48" s="393" t="s">
        <v>47</v>
      </c>
      <c r="B48" s="411">
        <f>1698-322-92</f>
        <v>1284</v>
      </c>
      <c r="C48" s="411">
        <f>-2022+325-41</f>
        <v>-1738</v>
      </c>
      <c r="D48" s="411">
        <f>SUM(B48:C48)</f>
        <v>-454</v>
      </c>
      <c r="E48" s="375"/>
      <c r="F48" s="16"/>
      <c r="G48" s="33"/>
      <c r="H48" s="27"/>
      <c r="I48" s="27"/>
      <c r="J48" s="27"/>
      <c r="K48" s="27"/>
      <c r="L48" s="27"/>
      <c r="M48" s="27"/>
      <c r="N48" s="27"/>
    </row>
    <row r="49" spans="1:14" s="18" customFormat="1" ht="15" x14ac:dyDescent="0.2">
      <c r="A49" s="393" t="s">
        <v>48</v>
      </c>
      <c r="B49" s="420">
        <v>5000</v>
      </c>
      <c r="C49" s="420">
        <v>-2770</v>
      </c>
      <c r="D49" s="390">
        <f>SUM(B49:C49)</f>
        <v>2230</v>
      </c>
      <c r="E49" s="375"/>
      <c r="F49" s="16"/>
      <c r="G49" s="33"/>
      <c r="H49" s="27"/>
      <c r="I49" s="27"/>
      <c r="J49" s="27"/>
      <c r="K49" s="27"/>
      <c r="L49" s="27"/>
      <c r="M49" s="27"/>
      <c r="N49" s="27"/>
    </row>
    <row r="50" spans="1:14" s="18" customFormat="1" ht="15" x14ac:dyDescent="0.2">
      <c r="A50" s="383" t="s">
        <v>49</v>
      </c>
      <c r="B50" s="420">
        <f>SUM(B32:B49)-B44-B45-B47</f>
        <v>824</v>
      </c>
      <c r="C50" s="420">
        <f>SUM(C32:C49)-C44-C45-C47</f>
        <v>168</v>
      </c>
      <c r="D50" s="420">
        <f>SUM(D32:D49)-D44-D45-D47</f>
        <v>992</v>
      </c>
      <c r="E50" s="375"/>
      <c r="F50" s="56"/>
      <c r="G50" s="33"/>
      <c r="H50" s="27"/>
      <c r="I50" s="27"/>
      <c r="J50" s="27"/>
      <c r="K50" s="27"/>
      <c r="L50" s="27"/>
      <c r="M50" s="27"/>
      <c r="N50" s="27"/>
    </row>
    <row r="51" spans="1:14" s="18" customFormat="1" ht="15" x14ac:dyDescent="0.2">
      <c r="A51" s="383" t="s">
        <v>50</v>
      </c>
      <c r="B51" s="434">
        <f>B30+B50</f>
        <v>-649622</v>
      </c>
      <c r="C51" s="434">
        <f>C30+C50</f>
        <v>-10113</v>
      </c>
      <c r="D51" s="434">
        <f>D30+D50</f>
        <v>-659735</v>
      </c>
      <c r="E51" s="375"/>
      <c r="F51" s="56"/>
      <c r="G51" s="33"/>
      <c r="H51" s="27"/>
      <c r="I51" s="27"/>
      <c r="J51" s="27"/>
      <c r="K51" s="27"/>
      <c r="L51" s="27"/>
      <c r="M51" s="27"/>
      <c r="N51" s="27"/>
    </row>
    <row r="52" spans="1:14" s="18" customFormat="1" ht="15" x14ac:dyDescent="0.2">
      <c r="A52" s="383"/>
      <c r="B52" s="434"/>
      <c r="C52" s="434"/>
      <c r="D52" s="434"/>
      <c r="E52" s="375"/>
      <c r="F52" s="56"/>
      <c r="G52" s="33"/>
      <c r="H52" s="27"/>
      <c r="I52" s="27"/>
      <c r="J52" s="27"/>
      <c r="K52" s="27"/>
      <c r="L52" s="27"/>
      <c r="M52" s="27"/>
      <c r="N52" s="27"/>
    </row>
    <row r="53" spans="1:14" s="18" customFormat="1" ht="6" customHeight="1" x14ac:dyDescent="0.2">
      <c r="A53" s="375"/>
      <c r="B53" s="389"/>
      <c r="C53" s="389"/>
      <c r="D53" s="389"/>
      <c r="E53" s="432"/>
      <c r="F53" s="16"/>
      <c r="G53" s="21"/>
      <c r="H53" s="27"/>
      <c r="I53" s="27"/>
      <c r="J53" s="27"/>
      <c r="K53" s="27"/>
      <c r="L53" s="27"/>
      <c r="M53" s="27"/>
      <c r="N53" s="27"/>
    </row>
    <row r="54" spans="1:14" s="18" customFormat="1" x14ac:dyDescent="0.2">
      <c r="A54" s="16" t="s">
        <v>84</v>
      </c>
      <c r="E54" s="34"/>
      <c r="F54" s="16"/>
      <c r="G54" s="33"/>
      <c r="H54" s="27"/>
      <c r="I54" s="27"/>
      <c r="J54" s="27"/>
      <c r="K54" s="27"/>
      <c r="L54" s="27"/>
      <c r="M54" s="27"/>
      <c r="N54" s="27"/>
    </row>
    <row r="55" spans="1:14" s="18" customFormat="1" x14ac:dyDescent="0.2">
      <c r="A55" s="16"/>
      <c r="B55" s="16"/>
      <c r="C55" s="16"/>
      <c r="D55" s="16"/>
      <c r="F55" s="16"/>
      <c r="G55" s="33"/>
      <c r="H55" s="27"/>
      <c r="I55" s="27"/>
      <c r="J55" s="27"/>
      <c r="K55" s="27"/>
      <c r="L55" s="27"/>
      <c r="M55" s="27"/>
      <c r="N55" s="27"/>
    </row>
    <row r="56" spans="1:14" s="18" customFormat="1" x14ac:dyDescent="0.2">
      <c r="A56" s="16"/>
      <c r="B56" s="16"/>
      <c r="C56" s="16"/>
      <c r="D56" s="49" t="s">
        <v>9</v>
      </c>
      <c r="E56" s="16"/>
      <c r="F56" s="16"/>
      <c r="G56" s="21"/>
      <c r="H56" s="27"/>
      <c r="I56" s="27"/>
      <c r="J56" s="27"/>
      <c r="K56" s="27"/>
      <c r="L56" s="27"/>
      <c r="M56" s="27"/>
      <c r="N56" s="27"/>
    </row>
    <row r="57" spans="1:14" s="18" customFormat="1" x14ac:dyDescent="0.2">
      <c r="A57" s="472" t="str">
        <f>+A2</f>
        <v>Carolina County Board of Education, North Carolina</v>
      </c>
      <c r="B57" s="472"/>
      <c r="C57" s="472"/>
      <c r="D57" s="472"/>
      <c r="E57" s="367"/>
      <c r="F57" s="16"/>
      <c r="G57" s="21"/>
      <c r="H57" s="27"/>
      <c r="I57" s="27"/>
      <c r="J57" s="27"/>
      <c r="K57" s="27"/>
      <c r="L57" s="27"/>
      <c r="M57" s="27"/>
      <c r="N57" s="27"/>
    </row>
    <row r="58" spans="1:14" s="18" customFormat="1" x14ac:dyDescent="0.2">
      <c r="A58" s="472" t="s">
        <v>10</v>
      </c>
      <c r="B58" s="472"/>
      <c r="C58" s="472"/>
      <c r="D58" s="472"/>
      <c r="E58" s="367"/>
      <c r="F58" s="16"/>
      <c r="G58" s="21"/>
      <c r="H58" s="27"/>
      <c r="I58" s="27"/>
      <c r="J58" s="27"/>
      <c r="K58" s="27"/>
      <c r="L58" s="27"/>
      <c r="M58" s="27"/>
      <c r="N58" s="27"/>
    </row>
    <row r="59" spans="1:14" s="18" customFormat="1" x14ac:dyDescent="0.2">
      <c r="A59" s="472" t="s">
        <v>11</v>
      </c>
      <c r="B59" s="472"/>
      <c r="C59" s="472"/>
      <c r="D59" s="472"/>
      <c r="E59" s="367"/>
      <c r="F59" s="16"/>
      <c r="G59" s="21"/>
      <c r="H59" s="27"/>
      <c r="I59" s="27"/>
      <c r="J59" s="27"/>
      <c r="K59" s="27"/>
      <c r="L59" s="27"/>
      <c r="M59" s="27"/>
      <c r="N59" s="27"/>
    </row>
    <row r="60" spans="1:14" s="18" customFormat="1" x14ac:dyDescent="0.2">
      <c r="A60" s="472" t="str">
        <f>A5</f>
        <v>For the Year Ended June 30, 2021</v>
      </c>
      <c r="B60" s="472"/>
      <c r="C60" s="472"/>
      <c r="D60" s="472"/>
      <c r="E60" s="367"/>
      <c r="F60" s="16"/>
      <c r="G60" s="35"/>
      <c r="H60" s="27"/>
      <c r="I60" s="27"/>
      <c r="J60" s="27"/>
      <c r="K60" s="27"/>
      <c r="L60" s="27"/>
      <c r="M60" s="27"/>
      <c r="N60" s="27"/>
    </row>
    <row r="61" spans="1:14" s="18" customFormat="1" x14ac:dyDescent="0.2">
      <c r="A61" s="16"/>
      <c r="B61" s="16"/>
      <c r="C61" s="16"/>
      <c r="D61" s="16"/>
      <c r="E61" s="16"/>
      <c r="F61" s="16"/>
      <c r="G61" s="21"/>
      <c r="H61" s="27"/>
      <c r="I61" s="27"/>
      <c r="J61" s="27"/>
      <c r="K61" s="27"/>
      <c r="L61" s="27"/>
      <c r="M61" s="27"/>
      <c r="N61" s="27"/>
    </row>
    <row r="62" spans="1:14" s="18" customFormat="1" x14ac:dyDescent="0.2">
      <c r="A62" s="17" t="s">
        <v>52</v>
      </c>
      <c r="B62" s="16"/>
      <c r="C62" s="16"/>
      <c r="D62" s="16"/>
      <c r="E62" s="36"/>
      <c r="F62" s="16"/>
      <c r="G62" s="37"/>
      <c r="H62" s="27"/>
      <c r="I62" s="27"/>
      <c r="J62" s="27"/>
      <c r="K62" s="27"/>
      <c r="L62" s="27"/>
      <c r="M62" s="27"/>
      <c r="N62" s="27"/>
    </row>
    <row r="63" spans="1:14" s="18" customFormat="1" ht="6" customHeight="1" x14ac:dyDescent="0.2">
      <c r="A63" s="16"/>
      <c r="B63" s="56"/>
      <c r="C63" s="16"/>
      <c r="D63" s="16"/>
      <c r="E63" s="36"/>
      <c r="F63" s="16"/>
      <c r="G63" s="21"/>
      <c r="H63" s="27"/>
      <c r="I63" s="27"/>
      <c r="J63" s="27"/>
      <c r="K63" s="27"/>
      <c r="L63" s="27"/>
      <c r="M63" s="27"/>
      <c r="N63" s="27"/>
    </row>
    <row r="64" spans="1:14" s="18" customFormat="1" ht="33" customHeight="1" x14ac:dyDescent="0.25">
      <c r="A64" s="498" t="s">
        <v>53</v>
      </c>
      <c r="B64" s="498"/>
      <c r="C64" s="498"/>
      <c r="D64" s="498"/>
      <c r="E64" s="16"/>
      <c r="F64" s="16"/>
      <c r="G64" s="38"/>
      <c r="H64" s="39"/>
      <c r="I64" s="39"/>
      <c r="J64" s="39"/>
      <c r="K64" s="27"/>
      <c r="L64" s="27"/>
      <c r="M64" s="27"/>
      <c r="N64" s="27"/>
    </row>
    <row r="65" spans="1:14" s="18" customFormat="1" ht="6" customHeight="1" x14ac:dyDescent="0.25">
      <c r="A65" s="16"/>
      <c r="B65" s="16"/>
      <c r="C65" s="16"/>
      <c r="D65" s="16"/>
      <c r="E65" s="16"/>
      <c r="F65" s="16"/>
      <c r="G65" s="40"/>
      <c r="H65" s="39"/>
      <c r="I65" s="39"/>
      <c r="J65" s="39"/>
      <c r="K65" s="27"/>
      <c r="L65" s="27"/>
      <c r="M65" s="27"/>
      <c r="N65" s="27"/>
    </row>
    <row r="66" spans="1:14" s="18" customFormat="1" ht="33" customHeight="1" x14ac:dyDescent="0.25">
      <c r="A66" s="498" t="s">
        <v>54</v>
      </c>
      <c r="B66" s="498"/>
      <c r="C66" s="498"/>
      <c r="D66" s="498"/>
      <c r="E66" s="16"/>
      <c r="F66" s="16"/>
      <c r="G66" s="41"/>
      <c r="H66" s="39"/>
      <c r="I66" s="39"/>
      <c r="J66" s="39"/>
      <c r="K66" s="27"/>
      <c r="L66" s="27"/>
      <c r="M66" s="27"/>
      <c r="N66" s="27"/>
    </row>
    <row r="67" spans="1:14" s="18" customFormat="1" ht="6" customHeight="1" x14ac:dyDescent="0.25">
      <c r="B67" s="366"/>
      <c r="C67" s="366"/>
      <c r="D67" s="366"/>
      <c r="E67" s="16"/>
      <c r="F67" s="16"/>
      <c r="G67" s="40"/>
      <c r="H67" s="43"/>
      <c r="I67" s="43"/>
      <c r="J67" s="39"/>
      <c r="K67" s="27"/>
      <c r="L67" s="27"/>
      <c r="M67" s="27"/>
      <c r="N67" s="27"/>
    </row>
    <row r="68" spans="1:14" s="18" customFormat="1" ht="45" customHeight="1" x14ac:dyDescent="0.25">
      <c r="A68" s="498" t="s">
        <v>55</v>
      </c>
      <c r="B68" s="498"/>
      <c r="C68" s="498"/>
      <c r="D68" s="498"/>
      <c r="E68" s="16"/>
      <c r="F68" s="16"/>
      <c r="G68" s="40"/>
      <c r="H68" s="39"/>
      <c r="I68" s="39"/>
      <c r="J68" s="39"/>
      <c r="K68" s="27"/>
      <c r="L68" s="27"/>
      <c r="M68" s="27"/>
      <c r="N68" s="27"/>
    </row>
    <row r="69" spans="1:14" s="18" customFormat="1" ht="15" x14ac:dyDescent="0.25">
      <c r="A69" s="366"/>
      <c r="B69" s="366"/>
      <c r="C69" s="366"/>
      <c r="D69" s="366"/>
      <c r="E69" s="16"/>
      <c r="F69" s="16"/>
      <c r="G69" s="40"/>
      <c r="H69" s="39"/>
      <c r="I69" s="39"/>
      <c r="J69" s="39"/>
      <c r="K69" s="27"/>
      <c r="L69" s="27"/>
      <c r="M69" s="27"/>
      <c r="N69" s="27"/>
    </row>
    <row r="70" spans="1:14" s="18" customFormat="1" ht="15" x14ac:dyDescent="0.25">
      <c r="A70" s="16" t="s">
        <v>84</v>
      </c>
      <c r="B70" s="366"/>
      <c r="C70" s="366"/>
      <c r="D70" s="366"/>
      <c r="E70" s="16"/>
      <c r="F70" s="16"/>
      <c r="G70" s="40"/>
      <c r="H70" s="39"/>
      <c r="I70" s="39"/>
      <c r="J70" s="39"/>
      <c r="K70" s="27"/>
      <c r="L70" s="27"/>
      <c r="M70" s="27"/>
      <c r="N70" s="27"/>
    </row>
    <row r="71" spans="1:14" s="18" customFormat="1" ht="17.25" x14ac:dyDescent="0.4">
      <c r="A71" s="16"/>
      <c r="B71" s="16"/>
      <c r="C71" s="16"/>
      <c r="D71" s="16"/>
      <c r="E71" s="16"/>
      <c r="F71" s="16"/>
      <c r="G71" s="40"/>
      <c r="H71" s="44"/>
      <c r="I71" s="44"/>
      <c r="J71" s="39"/>
      <c r="K71" s="27"/>
      <c r="L71" s="27"/>
      <c r="M71" s="27"/>
      <c r="N71" s="27"/>
    </row>
    <row r="72" spans="1:14" s="18" customFormat="1" ht="15" x14ac:dyDescent="0.25">
      <c r="A72" s="16"/>
      <c r="B72" s="16"/>
      <c r="C72" s="192"/>
      <c r="D72" s="191"/>
      <c r="E72" s="192"/>
      <c r="F72" s="16"/>
      <c r="G72" s="40"/>
      <c r="H72" s="39"/>
      <c r="I72" s="39"/>
      <c r="J72" s="39"/>
      <c r="K72" s="27"/>
      <c r="L72" s="27"/>
      <c r="M72" s="27"/>
      <c r="N72" s="27"/>
    </row>
    <row r="73" spans="1:14" s="18" customFormat="1" ht="15" x14ac:dyDescent="0.25">
      <c r="A73" s="16"/>
      <c r="B73" s="16"/>
      <c r="C73" s="16"/>
      <c r="D73" s="16"/>
      <c r="E73" s="16"/>
      <c r="F73" s="16"/>
      <c r="G73" s="40"/>
      <c r="H73" s="39"/>
      <c r="I73" s="39"/>
      <c r="J73" s="39"/>
      <c r="K73" s="27"/>
      <c r="L73" s="27"/>
      <c r="M73" s="27"/>
      <c r="N73" s="27"/>
    </row>
    <row r="74" spans="1:14" s="18" customFormat="1" ht="15" x14ac:dyDescent="0.25">
      <c r="A74" s="16"/>
      <c r="B74" s="16"/>
      <c r="C74" s="16"/>
      <c r="D74" s="16"/>
      <c r="E74" s="16"/>
      <c r="F74" s="16"/>
      <c r="G74" s="40"/>
      <c r="H74" s="39"/>
      <c r="I74" s="39"/>
      <c r="J74" s="39"/>
      <c r="K74" s="27"/>
      <c r="L74" s="27"/>
      <c r="M74" s="27"/>
      <c r="N74" s="27"/>
    </row>
    <row r="75" spans="1:14" s="18" customFormat="1" ht="15" x14ac:dyDescent="0.25">
      <c r="A75" s="16"/>
      <c r="B75" s="16"/>
      <c r="C75" s="16"/>
      <c r="D75" s="16"/>
      <c r="E75" s="16"/>
      <c r="F75" s="16"/>
      <c r="G75" s="40"/>
      <c r="H75" s="39"/>
      <c r="I75" s="39"/>
      <c r="J75" s="39"/>
      <c r="K75" s="27"/>
      <c r="L75" s="27"/>
      <c r="M75" s="27"/>
      <c r="N75" s="27"/>
    </row>
    <row r="76" spans="1:14" s="18" customFormat="1" ht="15" x14ac:dyDescent="0.25">
      <c r="A76" s="16"/>
      <c r="B76" s="16"/>
      <c r="C76" s="16"/>
      <c r="D76" s="16"/>
      <c r="E76" s="16"/>
      <c r="F76" s="16"/>
      <c r="G76" s="40"/>
      <c r="H76" s="39"/>
      <c r="I76" s="39"/>
      <c r="J76" s="39"/>
      <c r="K76" s="27"/>
      <c r="L76" s="27"/>
      <c r="M76" s="27"/>
      <c r="N76" s="27"/>
    </row>
    <row r="77" spans="1:14" s="18" customFormat="1" ht="15" x14ac:dyDescent="0.25">
      <c r="A77" s="16"/>
      <c r="B77" s="16"/>
      <c r="C77" s="16"/>
      <c r="D77" s="16"/>
      <c r="E77" s="16"/>
      <c r="F77" s="16"/>
      <c r="G77" s="40"/>
      <c r="H77" s="39"/>
      <c r="I77" s="39"/>
      <c r="J77" s="39"/>
      <c r="K77" s="27"/>
      <c r="L77" s="27"/>
      <c r="M77" s="27"/>
      <c r="N77" s="27"/>
    </row>
    <row r="78" spans="1:14" s="18" customFormat="1" ht="20.25" x14ac:dyDescent="0.55000000000000004">
      <c r="A78" s="280" t="s">
        <v>513</v>
      </c>
      <c r="B78" s="221"/>
      <c r="C78" s="16"/>
      <c r="D78" s="16"/>
      <c r="E78" s="16"/>
      <c r="F78" s="16"/>
      <c r="G78" s="38"/>
      <c r="H78" s="45"/>
      <c r="I78" s="45"/>
      <c r="J78" s="39"/>
      <c r="K78" s="27"/>
      <c r="L78" s="27"/>
      <c r="M78" s="27"/>
      <c r="N78" s="27"/>
    </row>
    <row r="79" spans="1:14" s="18" customFormat="1" ht="31.5" x14ac:dyDescent="0.25">
      <c r="A79" s="279" t="s">
        <v>572</v>
      </c>
      <c r="B79" s="225" t="str">
        <f>IF(+ROUND(B27,0)-ROUND('Net Pos-Prop'!B12,0)=0,"Yes",+B27-'Net Pos-Prop'!B12)</f>
        <v>Yes</v>
      </c>
      <c r="C79" s="225" t="str">
        <f>IF(+ROUND(C27,0)-ROUND('Net Pos-Prop'!C12,0)=0,"Yes",+C27-'Net Pos-Prop'!C12)</f>
        <v>Yes</v>
      </c>
      <c r="D79" s="225" t="str">
        <f>IF(+ROUND(D27,0)-ROUND('Net Pos-Prop'!D12,0)=0,"Yes",+D27-'Net Pos-Prop'!D12)</f>
        <v>Yes</v>
      </c>
      <c r="E79" s="16"/>
      <c r="F79" s="16"/>
      <c r="G79" s="38"/>
      <c r="H79" s="45"/>
      <c r="I79" s="45"/>
      <c r="J79" s="39"/>
      <c r="K79" s="27"/>
      <c r="L79" s="27"/>
      <c r="M79" s="27"/>
      <c r="N79" s="27"/>
    </row>
    <row r="80" spans="1:14" s="18" customFormat="1" ht="31.5" x14ac:dyDescent="0.25">
      <c r="A80" s="279" t="s">
        <v>571</v>
      </c>
      <c r="B80" s="225"/>
      <c r="C80" s="225"/>
      <c r="D80" s="225" t="str">
        <f>IF(D27-GWNetPos!C9=0,"Yes",D27-GWNetPos!C9)</f>
        <v>Yes</v>
      </c>
      <c r="E80" s="16"/>
      <c r="F80" s="16"/>
      <c r="G80" s="38"/>
      <c r="H80" s="45"/>
      <c r="I80" s="45"/>
      <c r="J80" s="39"/>
      <c r="K80" s="27"/>
      <c r="L80" s="27"/>
      <c r="M80" s="27"/>
      <c r="N80" s="27"/>
    </row>
    <row r="81" spans="1:14" s="18" customFormat="1" ht="31.5" x14ac:dyDescent="0.25">
      <c r="A81" s="279" t="s">
        <v>538</v>
      </c>
      <c r="B81" s="225" t="str">
        <f>IF(ROUND(B15,0)-ROUND(B51,0)=0,"Yes",B15-B51)</f>
        <v>Yes</v>
      </c>
      <c r="C81" s="225" t="str">
        <f>IF(ROUND(C15,0)-ROUND(C51,0)=0,"Yes",C15-C51)</f>
        <v>Yes</v>
      </c>
      <c r="D81" s="225" t="str">
        <f>IF(ROUND(D15,0)-ROUND(D51,0)=0,"Yes",D15-D51)</f>
        <v>Yes</v>
      </c>
      <c r="E81" s="16"/>
      <c r="F81" s="16"/>
      <c r="G81" s="40"/>
      <c r="H81" s="39"/>
      <c r="I81" s="39"/>
      <c r="J81" s="39"/>
      <c r="K81" s="27"/>
      <c r="L81" s="27"/>
      <c r="M81" s="27"/>
      <c r="N81" s="27"/>
    </row>
    <row r="82" spans="1:14" s="18" customFormat="1" ht="31.5" x14ac:dyDescent="0.25">
      <c r="A82" s="279" t="s">
        <v>539</v>
      </c>
      <c r="B82" s="225" t="str">
        <f>IF(ROUND(B32,0)-ROUND('Rev, exp-Prop'!B23,0)=0,"Yes",B32-'Rev, exp-Prop'!B23)</f>
        <v>Yes</v>
      </c>
      <c r="C82" s="225" t="str">
        <f>IF(ROUND(C32,0)-ROUND('Rev, exp-Prop'!C23,0)=0,"Yes",C32-'Rev, exp-Prop'!C23)</f>
        <v>Yes</v>
      </c>
      <c r="D82" s="225" t="str">
        <f>IF(ROUND(D32,0)-ROUND('Rev, exp-Prop'!D23,0)=0,"Yes",D32-'Rev, exp-Prop'!D23)</f>
        <v>Yes</v>
      </c>
      <c r="E82" s="16"/>
      <c r="F82" s="16"/>
      <c r="G82" s="40"/>
      <c r="H82" s="39"/>
      <c r="I82" s="39"/>
      <c r="J82" s="39"/>
      <c r="K82" s="27"/>
      <c r="L82" s="27"/>
      <c r="M82" s="27"/>
      <c r="N82" s="27"/>
    </row>
    <row r="83" spans="1:14" s="18" customFormat="1" ht="15" x14ac:dyDescent="0.25">
      <c r="A83" s="16"/>
      <c r="B83" s="16"/>
      <c r="C83" s="16"/>
      <c r="D83" s="16"/>
      <c r="E83" s="16"/>
      <c r="F83" s="16"/>
      <c r="G83" s="40"/>
      <c r="H83" s="39"/>
      <c r="I83" s="39"/>
      <c r="J83" s="39"/>
      <c r="K83" s="27"/>
      <c r="L83" s="27"/>
      <c r="M83" s="27"/>
      <c r="N83" s="27"/>
    </row>
    <row r="84" spans="1:14" s="18" customFormat="1" ht="15" x14ac:dyDescent="0.25">
      <c r="A84" s="16"/>
      <c r="B84" s="16"/>
      <c r="C84" s="16"/>
      <c r="D84" s="16"/>
      <c r="E84" s="16"/>
      <c r="F84" s="16"/>
      <c r="G84" s="40"/>
      <c r="H84" s="39"/>
      <c r="I84" s="39"/>
      <c r="J84" s="39"/>
      <c r="K84" s="27"/>
      <c r="L84" s="27"/>
      <c r="M84" s="27"/>
      <c r="N84" s="27"/>
    </row>
    <row r="85" spans="1:14" s="18" customFormat="1" ht="15" x14ac:dyDescent="0.25">
      <c r="A85" s="16"/>
      <c r="B85" s="16"/>
      <c r="C85" s="16"/>
      <c r="D85" s="16"/>
      <c r="E85" s="16"/>
      <c r="F85" s="16"/>
      <c r="G85" s="40"/>
      <c r="H85" s="39"/>
      <c r="I85" s="39"/>
      <c r="J85" s="39"/>
      <c r="K85" s="27"/>
      <c r="L85" s="27"/>
      <c r="M85" s="27"/>
      <c r="N85" s="27"/>
    </row>
    <row r="86" spans="1:14" s="18" customFormat="1" ht="15" x14ac:dyDescent="0.25">
      <c r="A86" s="16"/>
      <c r="B86" s="16"/>
      <c r="C86" s="16"/>
      <c r="D86" s="16"/>
      <c r="E86" s="16"/>
      <c r="F86" s="16"/>
      <c r="G86" s="40"/>
      <c r="H86" s="39"/>
      <c r="I86" s="46"/>
      <c r="J86" s="39"/>
      <c r="K86" s="27"/>
      <c r="L86" s="27"/>
      <c r="M86" s="27"/>
      <c r="N86" s="27"/>
    </row>
    <row r="87" spans="1:14" s="18" customFormat="1" ht="15" x14ac:dyDescent="0.25">
      <c r="A87" s="16"/>
      <c r="B87" s="16"/>
      <c r="C87" s="16"/>
      <c r="D87" s="16"/>
      <c r="E87" s="16"/>
      <c r="F87" s="16"/>
      <c r="G87" s="40"/>
      <c r="H87" s="39"/>
      <c r="I87" s="46"/>
      <c r="J87" s="39"/>
      <c r="K87" s="27"/>
      <c r="L87" s="27"/>
      <c r="M87" s="27"/>
      <c r="N87" s="27"/>
    </row>
    <row r="88" spans="1:14" s="18" customFormat="1" ht="15" x14ac:dyDescent="0.25">
      <c r="A88" s="16"/>
      <c r="B88" s="16"/>
      <c r="C88" s="16"/>
      <c r="D88" s="16"/>
      <c r="E88" s="16"/>
      <c r="F88" s="16"/>
      <c r="G88" s="40"/>
      <c r="H88" s="39"/>
      <c r="I88" s="39"/>
      <c r="J88" s="39"/>
      <c r="K88" s="27"/>
      <c r="L88" s="27"/>
      <c r="M88" s="27"/>
      <c r="N88" s="27"/>
    </row>
    <row r="89" spans="1:14" s="18" customFormat="1" ht="15" x14ac:dyDescent="0.25">
      <c r="A89" s="16"/>
      <c r="B89" s="16"/>
      <c r="C89" s="16"/>
      <c r="D89" s="16"/>
      <c r="E89" s="16"/>
      <c r="F89" s="16"/>
      <c r="G89" s="40"/>
      <c r="H89" s="39"/>
      <c r="I89" s="39"/>
      <c r="J89" s="39"/>
      <c r="K89" s="27"/>
      <c r="L89" s="27"/>
      <c r="M89" s="27"/>
      <c r="N89" s="27"/>
    </row>
    <row r="90" spans="1:14" s="18" customFormat="1" ht="15" x14ac:dyDescent="0.25">
      <c r="A90" s="16"/>
      <c r="B90" s="16"/>
      <c r="C90" s="16"/>
      <c r="D90" s="16"/>
      <c r="E90" s="16"/>
      <c r="F90" s="16"/>
      <c r="G90" s="40"/>
      <c r="H90" s="39"/>
      <c r="I90" s="39"/>
      <c r="J90" s="39"/>
      <c r="K90" s="27"/>
      <c r="L90" s="27"/>
      <c r="M90" s="27"/>
      <c r="N90" s="27"/>
    </row>
    <row r="91" spans="1:14" s="18" customFormat="1" ht="15" x14ac:dyDescent="0.25">
      <c r="A91" s="16"/>
      <c r="B91" s="16"/>
      <c r="C91" s="16"/>
      <c r="D91" s="16"/>
      <c r="E91" s="16"/>
      <c r="F91" s="16"/>
      <c r="G91" s="40"/>
      <c r="H91" s="39"/>
      <c r="I91" s="46"/>
      <c r="J91" s="39"/>
      <c r="K91" s="27"/>
      <c r="L91" s="27"/>
      <c r="M91" s="27"/>
      <c r="N91" s="27"/>
    </row>
    <row r="92" spans="1:14" s="18" customFormat="1" ht="15" x14ac:dyDescent="0.25">
      <c r="A92" s="16"/>
      <c r="B92" s="16"/>
      <c r="C92" s="16"/>
      <c r="D92" s="16"/>
      <c r="E92" s="16"/>
      <c r="F92" s="16"/>
      <c r="G92" s="40"/>
      <c r="H92" s="39"/>
      <c r="I92" s="39"/>
      <c r="J92" s="39"/>
      <c r="K92" s="27"/>
      <c r="L92" s="27"/>
      <c r="M92" s="27"/>
      <c r="N92" s="27"/>
    </row>
    <row r="93" spans="1:14" s="18" customFormat="1" ht="15" x14ac:dyDescent="0.25">
      <c r="A93" s="16"/>
      <c r="B93" s="16"/>
      <c r="C93" s="16"/>
      <c r="D93" s="16"/>
      <c r="E93" s="16"/>
      <c r="F93" s="16"/>
      <c r="G93" s="40"/>
      <c r="H93" s="47"/>
      <c r="I93" s="47"/>
      <c r="J93" s="39"/>
      <c r="K93" s="27"/>
      <c r="L93" s="27"/>
      <c r="M93" s="27"/>
      <c r="N93" s="27"/>
    </row>
    <row r="94" spans="1:14" s="18" customFormat="1" ht="15" x14ac:dyDescent="0.25">
      <c r="A94" s="16"/>
      <c r="B94" s="16"/>
      <c r="C94" s="16"/>
      <c r="D94" s="16"/>
      <c r="E94" s="16"/>
      <c r="F94" s="16"/>
      <c r="G94" s="48"/>
      <c r="H94" s="39"/>
      <c r="I94" s="39"/>
      <c r="J94" s="39"/>
      <c r="K94" s="27"/>
      <c r="L94" s="27"/>
      <c r="M94" s="27"/>
      <c r="N94" s="27"/>
    </row>
    <row r="95" spans="1:14" s="18" customFormat="1" x14ac:dyDescent="0.2">
      <c r="A95" s="16"/>
      <c r="B95" s="16"/>
      <c r="C95" s="16"/>
      <c r="D95" s="16"/>
      <c r="E95" s="16"/>
      <c r="F95" s="16"/>
      <c r="G95" s="21"/>
      <c r="H95" s="27"/>
      <c r="I95" s="27"/>
      <c r="J95" s="27"/>
      <c r="K95" s="27"/>
      <c r="L95" s="27"/>
      <c r="M95" s="27"/>
      <c r="N95" s="27"/>
    </row>
    <row r="96" spans="1:14" s="18" customFormat="1" x14ac:dyDescent="0.2">
      <c r="A96" s="16"/>
      <c r="B96" s="16"/>
      <c r="C96" s="16"/>
      <c r="D96" s="16"/>
      <c r="E96" s="16"/>
      <c r="F96" s="16"/>
      <c r="G96" s="21"/>
      <c r="H96" s="27"/>
      <c r="I96" s="27"/>
      <c r="J96" s="27"/>
      <c r="K96" s="27"/>
      <c r="L96" s="27"/>
      <c r="M96" s="27"/>
      <c r="N96" s="27"/>
    </row>
    <row r="97" spans="1:14" s="18" customFormat="1" x14ac:dyDescent="0.2">
      <c r="A97" s="16"/>
      <c r="B97" s="16"/>
      <c r="C97" s="16"/>
      <c r="D97" s="16"/>
      <c r="E97" s="16"/>
      <c r="F97" s="16"/>
      <c r="G97" s="33"/>
      <c r="H97" s="27"/>
      <c r="I97" s="27"/>
      <c r="J97" s="27"/>
      <c r="K97" s="27"/>
      <c r="L97" s="27"/>
      <c r="M97" s="27"/>
      <c r="N97" s="27"/>
    </row>
    <row r="98" spans="1:14" s="18" customFormat="1" x14ac:dyDescent="0.2">
      <c r="A98" s="16"/>
      <c r="B98" s="16"/>
      <c r="C98" s="16"/>
      <c r="D98" s="16"/>
      <c r="E98" s="16"/>
      <c r="F98" s="16"/>
      <c r="G98" s="21"/>
      <c r="H98" s="27"/>
      <c r="I98" s="27"/>
      <c r="J98" s="27"/>
      <c r="K98" s="27"/>
      <c r="L98" s="27"/>
      <c r="M98" s="27"/>
      <c r="N98" s="27"/>
    </row>
  </sheetData>
  <mergeCells count="14">
    <mergeCell ref="B7:D7"/>
    <mergeCell ref="A2:D2"/>
    <mergeCell ref="A3:D3"/>
    <mergeCell ref="A4:D4"/>
    <mergeCell ref="A5:D5"/>
    <mergeCell ref="N31:N32"/>
    <mergeCell ref="M31:M32"/>
    <mergeCell ref="A64:D64"/>
    <mergeCell ref="A66:D66"/>
    <mergeCell ref="A68:D68"/>
    <mergeCell ref="A57:D57"/>
    <mergeCell ref="A58:D58"/>
    <mergeCell ref="A59:D59"/>
    <mergeCell ref="A60:D60"/>
  </mergeCells>
  <conditionalFormatting sqref="B79:D79 D80 B81:D82">
    <cfRule type="cellIs" dxfId="8" priority="1" operator="notEqual">
      <formula>"Yes"</formula>
    </cfRule>
  </conditionalFormatting>
  <printOptions horizontalCentered="1"/>
  <pageMargins left="0.5" right="0.5" top="0.5" bottom="0.5" header="0.5" footer="0.5"/>
  <pageSetup scale="99" fitToHeight="2" orientation="portrait" r:id="rId1"/>
  <rowBreaks count="1" manualBreakCount="1">
    <brk id="54"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39997558519241921"/>
  </sheetPr>
  <dimension ref="A1:I24"/>
  <sheetViews>
    <sheetView showGridLines="0" zoomScaleNormal="100" workbookViewId="0">
      <selection activeCell="C1" sqref="C1"/>
    </sheetView>
  </sheetViews>
  <sheetFormatPr defaultRowHeight="12.75" x14ac:dyDescent="0.2"/>
  <cols>
    <col min="1" max="2" width="2.7109375" style="16" customWidth="1"/>
    <col min="3" max="3" width="36.5703125" style="16" customWidth="1"/>
    <col min="4" max="7" width="9.140625" style="16"/>
    <col min="8" max="8" width="9.85546875" style="16" bestFit="1" customWidth="1"/>
    <col min="9" max="16384" width="9.140625" style="16"/>
  </cols>
  <sheetData>
    <row r="1" spans="1:9" x14ac:dyDescent="0.2">
      <c r="G1" s="64" t="s">
        <v>272</v>
      </c>
    </row>
    <row r="2" spans="1:9" x14ac:dyDescent="0.2">
      <c r="A2" s="19" t="s">
        <v>271</v>
      </c>
      <c r="B2" s="19"/>
      <c r="C2" s="19"/>
      <c r="D2" s="19"/>
      <c r="E2" s="19"/>
      <c r="F2" s="19"/>
      <c r="G2" s="77"/>
    </row>
    <row r="3" spans="1:9" x14ac:dyDescent="0.2">
      <c r="A3" s="19" t="s">
        <v>273</v>
      </c>
      <c r="B3" s="19"/>
      <c r="C3" s="19"/>
      <c r="D3" s="19"/>
      <c r="E3" s="19"/>
      <c r="F3" s="19"/>
      <c r="G3" s="19"/>
    </row>
    <row r="4" spans="1:9" x14ac:dyDescent="0.2">
      <c r="A4" s="19" t="s">
        <v>274</v>
      </c>
      <c r="B4" s="19"/>
      <c r="C4" s="19"/>
      <c r="D4" s="19"/>
      <c r="E4" s="19"/>
      <c r="F4" s="19"/>
      <c r="G4" s="19"/>
    </row>
    <row r="5" spans="1:9" x14ac:dyDescent="0.2">
      <c r="A5" s="499" t="str">
        <f>GWNetPos!A4</f>
        <v>June 30, 2021</v>
      </c>
      <c r="B5" s="466"/>
      <c r="C5" s="466"/>
      <c r="D5" s="466"/>
      <c r="E5" s="466"/>
      <c r="F5" s="466"/>
      <c r="G5" s="466"/>
      <c r="H5" s="14"/>
      <c r="I5" s="14"/>
    </row>
    <row r="7" spans="1:9" x14ac:dyDescent="0.2">
      <c r="G7" s="34" t="s">
        <v>275</v>
      </c>
    </row>
    <row r="8" spans="1:9" x14ac:dyDescent="0.2">
      <c r="G8" s="34" t="s">
        <v>276</v>
      </c>
    </row>
    <row r="9" spans="1:9" ht="15" x14ac:dyDescent="0.35">
      <c r="G9" s="202" t="s">
        <v>277</v>
      </c>
    </row>
    <row r="10" spans="1:9" x14ac:dyDescent="0.2">
      <c r="A10" s="20" t="s">
        <v>552</v>
      </c>
    </row>
    <row r="12" spans="1:9" x14ac:dyDescent="0.2">
      <c r="A12" s="16" t="s">
        <v>61</v>
      </c>
      <c r="G12" s="57">
        <v>13000</v>
      </c>
    </row>
    <row r="13" spans="1:9" ht="15" x14ac:dyDescent="0.35">
      <c r="A13" s="16" t="s">
        <v>278</v>
      </c>
      <c r="G13" s="241">
        <v>142</v>
      </c>
    </row>
    <row r="14" spans="1:9" ht="15" x14ac:dyDescent="0.35">
      <c r="G14" s="241">
        <v>13142</v>
      </c>
    </row>
    <row r="15" spans="1:9" x14ac:dyDescent="0.2">
      <c r="G15" s="56"/>
    </row>
    <row r="16" spans="1:9" ht="15" x14ac:dyDescent="0.35">
      <c r="A16" s="20" t="s">
        <v>553</v>
      </c>
      <c r="G16" s="241">
        <v>0</v>
      </c>
    </row>
    <row r="17" spans="1:7" x14ac:dyDescent="0.2">
      <c r="G17" s="56"/>
    </row>
    <row r="18" spans="1:7" x14ac:dyDescent="0.2">
      <c r="A18" s="20" t="s">
        <v>554</v>
      </c>
      <c r="G18" s="56"/>
    </row>
    <row r="19" spans="1:7" x14ac:dyDescent="0.2">
      <c r="G19" s="56"/>
    </row>
    <row r="20" spans="1:7" ht="15" x14ac:dyDescent="0.35">
      <c r="A20" s="16" t="s">
        <v>279</v>
      </c>
      <c r="G20" s="292">
        <v>13142</v>
      </c>
    </row>
    <row r="24" spans="1:7" x14ac:dyDescent="0.2">
      <c r="A24" s="16" t="s">
        <v>84</v>
      </c>
    </row>
  </sheetData>
  <mergeCells count="1">
    <mergeCell ref="A5:G5"/>
  </mergeCells>
  <printOptions horizontalCentered="1"/>
  <pageMargins left="0.5" right="0.5" top="0.5" bottom="0.5" header="0.5" footer="0.5"/>
  <pageSetup scale="91" firstPageNumber="19" fitToHeight="0" orientation="portrait"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39997558519241921"/>
  </sheetPr>
  <dimension ref="A1:G179"/>
  <sheetViews>
    <sheetView showGridLines="0" zoomScaleNormal="100" workbookViewId="0">
      <selection activeCell="C1" sqref="C1"/>
    </sheetView>
  </sheetViews>
  <sheetFormatPr defaultRowHeight="12.75" x14ac:dyDescent="0.2"/>
  <cols>
    <col min="1" max="2" width="2.7109375" style="16" customWidth="1"/>
    <col min="3" max="3" width="36.5703125" style="16" customWidth="1"/>
    <col min="4" max="6" width="9.140625" style="16"/>
    <col min="7" max="8" width="9.85546875" style="16" bestFit="1" customWidth="1"/>
    <col min="9" max="16384" width="9.140625" style="16"/>
  </cols>
  <sheetData>
    <row r="1" spans="1:7" x14ac:dyDescent="0.2">
      <c r="G1" s="64" t="s">
        <v>280</v>
      </c>
    </row>
    <row r="2" spans="1:7" x14ac:dyDescent="0.2">
      <c r="A2" s="19" t="s">
        <v>271</v>
      </c>
      <c r="B2" s="19"/>
      <c r="C2" s="19"/>
      <c r="D2" s="19"/>
      <c r="E2" s="19"/>
      <c r="F2" s="19"/>
      <c r="G2" s="77"/>
    </row>
    <row r="3" spans="1:7" x14ac:dyDescent="0.2">
      <c r="A3" s="19" t="s">
        <v>281</v>
      </c>
      <c r="B3" s="19"/>
      <c r="C3" s="19"/>
      <c r="D3" s="19"/>
      <c r="E3" s="19"/>
      <c r="F3" s="19"/>
      <c r="G3" s="19"/>
    </row>
    <row r="4" spans="1:7" x14ac:dyDescent="0.2">
      <c r="A4" s="19" t="s">
        <v>274</v>
      </c>
      <c r="B4" s="19"/>
      <c r="C4" s="19"/>
      <c r="D4" s="19"/>
      <c r="E4" s="19"/>
      <c r="F4" s="19"/>
      <c r="G4" s="19"/>
    </row>
    <row r="5" spans="1:7" x14ac:dyDescent="0.2">
      <c r="A5" s="85" t="str">
        <f>GWStmtAct!A4</f>
        <v>For the Year Ended June 30, 2021</v>
      </c>
      <c r="B5" s="19"/>
      <c r="C5" s="19"/>
      <c r="D5" s="19"/>
      <c r="E5" s="19"/>
      <c r="F5" s="19"/>
      <c r="G5" s="19"/>
    </row>
    <row r="6" spans="1:7" x14ac:dyDescent="0.2">
      <c r="A6" s="19"/>
      <c r="B6" s="19"/>
      <c r="C6" s="19"/>
      <c r="D6" s="19"/>
      <c r="E6" s="19"/>
      <c r="F6" s="19"/>
      <c r="G6" s="19"/>
    </row>
    <row r="7" spans="1:7" x14ac:dyDescent="0.2">
      <c r="A7" s="19"/>
      <c r="B7" s="19"/>
      <c r="C7" s="19"/>
      <c r="D7" s="19"/>
      <c r="E7" s="19"/>
      <c r="F7" s="19"/>
      <c r="G7" s="34" t="s">
        <v>275</v>
      </c>
    </row>
    <row r="8" spans="1:7" x14ac:dyDescent="0.2">
      <c r="A8" s="19"/>
      <c r="B8" s="19"/>
      <c r="C8" s="19"/>
      <c r="D8" s="19"/>
      <c r="E8" s="19"/>
      <c r="F8" s="19"/>
      <c r="G8" s="34" t="s">
        <v>276</v>
      </c>
    </row>
    <row r="9" spans="1:7" ht="15" x14ac:dyDescent="0.35">
      <c r="G9" s="271" t="s">
        <v>277</v>
      </c>
    </row>
    <row r="10" spans="1:7" ht="15" x14ac:dyDescent="0.35">
      <c r="A10" s="64" t="s">
        <v>282</v>
      </c>
      <c r="G10" s="204"/>
    </row>
    <row r="11" spans="1:7" x14ac:dyDescent="0.2">
      <c r="A11" s="42"/>
      <c r="B11" s="16" t="s">
        <v>283</v>
      </c>
      <c r="G11" s="57">
        <v>10000</v>
      </c>
    </row>
    <row r="12" spans="1:7" x14ac:dyDescent="0.2">
      <c r="A12" s="42"/>
      <c r="G12" s="56"/>
    </row>
    <row r="13" spans="1:7" x14ac:dyDescent="0.2">
      <c r="A13" s="64" t="s">
        <v>284</v>
      </c>
      <c r="G13" s="37"/>
    </row>
    <row r="14" spans="1:7" ht="15" x14ac:dyDescent="0.35">
      <c r="A14" s="42"/>
      <c r="B14" s="16" t="s">
        <v>285</v>
      </c>
      <c r="G14" s="241">
        <v>4858</v>
      </c>
    </row>
    <row r="15" spans="1:7" x14ac:dyDescent="0.2">
      <c r="A15" s="42"/>
      <c r="G15" s="37"/>
    </row>
    <row r="16" spans="1:7" x14ac:dyDescent="0.2">
      <c r="A16" s="42" t="s">
        <v>133</v>
      </c>
      <c r="G16" s="37">
        <v>5142</v>
      </c>
    </row>
    <row r="17" spans="1:7" x14ac:dyDescent="0.2">
      <c r="A17" s="42"/>
      <c r="G17" s="37"/>
    </row>
    <row r="18" spans="1:7" ht="15" x14ac:dyDescent="0.35">
      <c r="A18" s="42" t="s">
        <v>286</v>
      </c>
      <c r="G18" s="241">
        <v>8000</v>
      </c>
    </row>
    <row r="19" spans="1:7" ht="15" x14ac:dyDescent="0.35">
      <c r="A19" s="42" t="s">
        <v>134</v>
      </c>
      <c r="G19" s="292">
        <v>13142</v>
      </c>
    </row>
    <row r="20" spans="1:7" x14ac:dyDescent="0.2">
      <c r="G20" s="24"/>
    </row>
    <row r="21" spans="1:7" x14ac:dyDescent="0.2">
      <c r="A21" s="42"/>
      <c r="F21" s="21"/>
    </row>
    <row r="22" spans="1:7" x14ac:dyDescent="0.2">
      <c r="A22" s="42"/>
    </row>
    <row r="23" spans="1:7" x14ac:dyDescent="0.2">
      <c r="A23" s="42"/>
    </row>
    <row r="24" spans="1:7" x14ac:dyDescent="0.2">
      <c r="A24" s="16" t="s">
        <v>84</v>
      </c>
    </row>
    <row r="25" spans="1:7" x14ac:dyDescent="0.2">
      <c r="A25" s="42"/>
    </row>
    <row r="127" spans="4:4" x14ac:dyDescent="0.2">
      <c r="D127" s="49"/>
    </row>
    <row r="179" spans="5:5" x14ac:dyDescent="0.2">
      <c r="E179" s="49"/>
    </row>
  </sheetData>
  <printOptions horizontalCentered="1"/>
  <pageMargins left="0.5" right="0.5" top="0.5" bottom="0.5" header="0.5" footer="0.5"/>
  <pageSetup scale="91" firstPageNumber="19" fitToHeight="0" orientation="portrait"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39997558519241921"/>
    <pageSetUpPr fitToPage="1"/>
  </sheetPr>
  <dimension ref="A2:J30"/>
  <sheetViews>
    <sheetView showGridLines="0" zoomScaleNormal="100" workbookViewId="0"/>
  </sheetViews>
  <sheetFormatPr defaultColWidth="8.85546875" defaultRowHeight="12.75" x14ac:dyDescent="0.2"/>
  <cols>
    <col min="1" max="1" width="58.7109375" style="1" customWidth="1"/>
    <col min="2" max="9" width="11.7109375" style="1" customWidth="1"/>
    <col min="10" max="10" width="12.42578125" style="1" bestFit="1" customWidth="1"/>
    <col min="11" max="11" width="8.85546875" style="1"/>
    <col min="12" max="12" width="12.28515625" style="1" bestFit="1" customWidth="1"/>
    <col min="13" max="16384" width="8.85546875" style="1"/>
  </cols>
  <sheetData>
    <row r="2" spans="1:10" x14ac:dyDescent="0.2">
      <c r="A2" s="466" t="s">
        <v>0</v>
      </c>
      <c r="B2" s="466"/>
      <c r="C2" s="466"/>
      <c r="D2" s="466"/>
      <c r="E2" s="466"/>
      <c r="F2" s="466"/>
      <c r="G2" s="466"/>
      <c r="H2" s="466"/>
      <c r="I2" s="466"/>
    </row>
    <row r="3" spans="1:10" x14ac:dyDescent="0.2">
      <c r="A3" s="502" t="s">
        <v>287</v>
      </c>
      <c r="B3" s="502"/>
      <c r="C3" s="502"/>
      <c r="D3" s="502"/>
      <c r="E3" s="502"/>
      <c r="F3" s="502"/>
      <c r="G3" s="502"/>
      <c r="H3" s="502"/>
      <c r="I3" s="502"/>
    </row>
    <row r="4" spans="1:10" ht="12.75" customHeight="1" x14ac:dyDescent="0.2">
      <c r="A4" s="503" t="s">
        <v>509</v>
      </c>
      <c r="B4" s="503"/>
      <c r="C4" s="503"/>
      <c r="D4" s="503"/>
      <c r="E4" s="503"/>
      <c r="F4" s="503"/>
      <c r="G4" s="503"/>
      <c r="H4" s="503"/>
      <c r="I4" s="503"/>
    </row>
    <row r="5" spans="1:10" x14ac:dyDescent="0.2">
      <c r="A5" s="503" t="s">
        <v>288</v>
      </c>
      <c r="B5" s="503"/>
      <c r="C5" s="503"/>
      <c r="D5" s="503"/>
      <c r="E5" s="503"/>
      <c r="F5" s="503"/>
      <c r="G5" s="503"/>
      <c r="H5" s="503"/>
      <c r="I5" s="503"/>
    </row>
    <row r="6" spans="1:10" x14ac:dyDescent="0.2">
      <c r="A6" s="463" t="s">
        <v>507</v>
      </c>
      <c r="B6" s="463"/>
      <c r="C6" s="463"/>
      <c r="D6" s="463"/>
      <c r="E6" s="463"/>
      <c r="F6" s="463"/>
      <c r="G6" s="463"/>
      <c r="H6" s="463"/>
      <c r="I6" s="463"/>
    </row>
    <row r="7" spans="1:10" x14ac:dyDescent="0.2">
      <c r="A7" s="12"/>
      <c r="B7" s="12"/>
      <c r="C7" s="12"/>
      <c r="D7" s="12"/>
      <c r="E7" s="12"/>
      <c r="F7" s="12"/>
      <c r="G7" s="12"/>
      <c r="H7" s="12"/>
      <c r="I7" s="12"/>
    </row>
    <row r="10" spans="1:10" ht="15" x14ac:dyDescent="0.35">
      <c r="B10" s="214">
        <v>44377</v>
      </c>
      <c r="C10" s="214">
        <v>44012</v>
      </c>
      <c r="D10" s="214">
        <v>43646</v>
      </c>
      <c r="E10" s="214">
        <v>43281</v>
      </c>
      <c r="F10" s="214">
        <v>42916</v>
      </c>
      <c r="G10" s="214">
        <v>42551</v>
      </c>
      <c r="H10" s="214">
        <v>42185</v>
      </c>
      <c r="I10" s="214">
        <v>41820</v>
      </c>
    </row>
    <row r="11" spans="1:10" x14ac:dyDescent="0.2">
      <c r="G11" s="4"/>
      <c r="H11" s="4"/>
    </row>
    <row r="12" spans="1:10" x14ac:dyDescent="0.2">
      <c r="A12" s="86" t="s">
        <v>289</v>
      </c>
      <c r="B12" s="87">
        <v>4.0000000000000003E-5</v>
      </c>
      <c r="C12" s="87">
        <v>4.0000000000000003E-5</v>
      </c>
      <c r="D12" s="87">
        <v>3.2100000000000001E-5</v>
      </c>
      <c r="E12" s="87">
        <v>4.1300000000000001E-5</v>
      </c>
      <c r="F12" s="87">
        <v>3.5599999999999998E-5</v>
      </c>
      <c r="G12" s="87">
        <v>3.43E-5</v>
      </c>
      <c r="H12" s="87">
        <v>3.0000000000000001E-5</v>
      </c>
      <c r="I12" s="87">
        <v>3.0000000000000001E-5</v>
      </c>
    </row>
    <row r="13" spans="1:10" x14ac:dyDescent="0.2">
      <c r="A13" s="86" t="s">
        <v>290</v>
      </c>
      <c r="B13" s="88">
        <v>407203</v>
      </c>
      <c r="C13" s="88">
        <v>369456</v>
      </c>
      <c r="D13" s="88">
        <v>276911</v>
      </c>
      <c r="E13" s="89">
        <v>379589</v>
      </c>
      <c r="F13" s="89">
        <v>148882</v>
      </c>
      <c r="G13" s="89">
        <v>40215</v>
      </c>
      <c r="H13" s="89">
        <v>182131</v>
      </c>
      <c r="I13" s="89">
        <v>116500</v>
      </c>
      <c r="J13" s="90"/>
    </row>
    <row r="14" spans="1:10" x14ac:dyDescent="0.2">
      <c r="A14" s="91" t="s">
        <v>5</v>
      </c>
      <c r="B14" s="88">
        <v>449907</v>
      </c>
      <c r="C14" s="88">
        <v>406789</v>
      </c>
      <c r="D14" s="88">
        <v>460812</v>
      </c>
      <c r="E14" s="88">
        <f>'RSI TSERS Contr'!F13</f>
        <v>501643</v>
      </c>
      <c r="F14" s="88">
        <v>434966</v>
      </c>
      <c r="G14" s="88">
        <v>425669</v>
      </c>
      <c r="H14" s="88">
        <v>422669</v>
      </c>
      <c r="I14" s="88">
        <v>431025</v>
      </c>
    </row>
    <row r="15" spans="1:10" s="7" customFormat="1" ht="25.5" x14ac:dyDescent="0.2">
      <c r="A15" s="92" t="s">
        <v>291</v>
      </c>
      <c r="B15" s="93">
        <f t="shared" ref="B15:H15" si="0">B13/B14</f>
        <v>0.90508260596078749</v>
      </c>
      <c r="C15" s="93">
        <f t="shared" si="0"/>
        <v>0.90822514866429527</v>
      </c>
      <c r="D15" s="93">
        <f t="shared" si="0"/>
        <v>0.60091968091108738</v>
      </c>
      <c r="E15" s="93">
        <f t="shared" si="0"/>
        <v>0.7566915116925782</v>
      </c>
      <c r="F15" s="93">
        <f t="shared" si="0"/>
        <v>0.34228422451409996</v>
      </c>
      <c r="G15" s="93">
        <f t="shared" si="0"/>
        <v>9.447481493836761E-2</v>
      </c>
      <c r="H15" s="93">
        <f t="shared" si="0"/>
        <v>0.43090692716996043</v>
      </c>
      <c r="I15" s="93">
        <f>I13/I14</f>
        <v>0.27028594629081842</v>
      </c>
    </row>
    <row r="16" spans="1:10" s="7" customFormat="1" x14ac:dyDescent="0.2">
      <c r="A16" s="94" t="s">
        <v>292</v>
      </c>
      <c r="B16" s="93">
        <v>0.92010000000000003</v>
      </c>
      <c r="C16" s="93">
        <v>0.91890000000000005</v>
      </c>
      <c r="D16" s="93">
        <v>0.89510000000000001</v>
      </c>
      <c r="E16" s="93">
        <v>0.87319999999999998</v>
      </c>
      <c r="F16" s="93">
        <v>0.94640000000000002</v>
      </c>
      <c r="G16" s="93">
        <v>0.98240000000000005</v>
      </c>
      <c r="H16" s="93">
        <v>0.90600000000000003</v>
      </c>
      <c r="I16" s="93">
        <v>0.90600000000000003</v>
      </c>
    </row>
    <row r="18" spans="1:10" x14ac:dyDescent="0.2">
      <c r="A18" s="95" t="s">
        <v>8</v>
      </c>
      <c r="B18" s="95"/>
      <c r="C18" s="95"/>
      <c r="D18" s="95"/>
      <c r="E18" s="95"/>
      <c r="F18" s="95"/>
    </row>
    <row r="19" spans="1:10" ht="12.75" customHeight="1" x14ac:dyDescent="0.2"/>
    <row r="20" spans="1:10" ht="18.75" customHeight="1" x14ac:dyDescent="0.2">
      <c r="A20" s="500" t="s">
        <v>293</v>
      </c>
      <c r="B20" s="501"/>
      <c r="C20" s="501"/>
      <c r="D20" s="501"/>
      <c r="E20" s="501"/>
      <c r="F20" s="501"/>
      <c r="G20" s="501"/>
      <c r="H20" s="501"/>
      <c r="I20" s="501"/>
      <c r="J20" s="96"/>
    </row>
    <row r="21" spans="1:10" x14ac:dyDescent="0.2">
      <c r="A21" s="193"/>
      <c r="B21" s="193"/>
      <c r="C21" s="193"/>
      <c r="D21" s="193"/>
      <c r="E21" s="193"/>
      <c r="F21" s="193"/>
      <c r="G21" s="193"/>
      <c r="H21" s="193"/>
      <c r="I21" s="193"/>
      <c r="J21" s="96"/>
    </row>
    <row r="23" spans="1:10" x14ac:dyDescent="0.2">
      <c r="A23" s="97"/>
      <c r="B23" s="97"/>
      <c r="C23" s="97"/>
      <c r="D23" s="97"/>
      <c r="E23" s="97"/>
      <c r="F23" s="97"/>
      <c r="G23" s="97"/>
      <c r="H23" s="97"/>
      <c r="I23" s="97"/>
      <c r="J23" s="97"/>
    </row>
    <row r="24" spans="1:10" x14ac:dyDescent="0.2">
      <c r="A24" s="97"/>
      <c r="B24" s="97"/>
      <c r="C24" s="97"/>
      <c r="D24" s="97"/>
      <c r="E24" s="97"/>
      <c r="F24" s="97"/>
      <c r="G24" s="97"/>
      <c r="H24" s="97"/>
      <c r="I24" s="97"/>
      <c r="J24" s="97"/>
    </row>
    <row r="25" spans="1:10" x14ac:dyDescent="0.2">
      <c r="A25" s="97"/>
      <c r="B25" s="97"/>
      <c r="C25" s="97"/>
      <c r="D25" s="97"/>
      <c r="E25" s="97"/>
      <c r="F25" s="97"/>
      <c r="G25" s="97"/>
      <c r="H25" s="97"/>
      <c r="I25" s="97"/>
      <c r="J25" s="97"/>
    </row>
    <row r="26" spans="1:10" x14ac:dyDescent="0.2">
      <c r="A26" s="97"/>
      <c r="B26" s="97"/>
      <c r="C26" s="97"/>
      <c r="D26" s="97"/>
      <c r="E26" s="97"/>
      <c r="F26" s="97"/>
      <c r="G26" s="97"/>
      <c r="H26" s="97"/>
      <c r="I26" s="97"/>
      <c r="J26" s="97"/>
    </row>
    <row r="27" spans="1:10" x14ac:dyDescent="0.2">
      <c r="A27" s="97"/>
      <c r="B27" s="97"/>
      <c r="C27" s="97"/>
      <c r="D27" s="97"/>
      <c r="E27" s="97"/>
      <c r="F27" s="97"/>
      <c r="G27" s="97"/>
      <c r="H27" s="97"/>
      <c r="I27" s="97"/>
      <c r="J27" s="97"/>
    </row>
    <row r="28" spans="1:10" x14ac:dyDescent="0.2">
      <c r="A28" s="98"/>
      <c r="B28" s="98"/>
      <c r="C28" s="98"/>
      <c r="D28" s="98"/>
      <c r="E28" s="98"/>
      <c r="F28" s="98"/>
      <c r="G28" s="98"/>
      <c r="H28" s="98"/>
      <c r="I28" s="98"/>
      <c r="J28" s="98"/>
    </row>
    <row r="29" spans="1:10" x14ac:dyDescent="0.2">
      <c r="A29" s="98"/>
      <c r="B29" s="98"/>
      <c r="C29" s="98"/>
      <c r="D29" s="98"/>
      <c r="E29" s="98"/>
      <c r="F29" s="98"/>
      <c r="G29" s="98"/>
      <c r="H29" s="98"/>
      <c r="I29" s="98"/>
      <c r="J29" s="98"/>
    </row>
    <row r="30" spans="1:10" x14ac:dyDescent="0.2">
      <c r="A30" s="98"/>
      <c r="B30" s="98"/>
      <c r="C30" s="98"/>
      <c r="D30" s="98"/>
      <c r="E30" s="98"/>
      <c r="F30" s="98"/>
      <c r="G30" s="98"/>
      <c r="H30" s="98"/>
      <c r="I30" s="98"/>
      <c r="J30" s="98"/>
    </row>
  </sheetData>
  <mergeCells count="6">
    <mergeCell ref="A20:I20"/>
    <mergeCell ref="A2:I2"/>
    <mergeCell ref="A3:I3"/>
    <mergeCell ref="A4:I4"/>
    <mergeCell ref="A5:I5"/>
    <mergeCell ref="A6:I6"/>
  </mergeCells>
  <printOptions horizontalCentered="1"/>
  <pageMargins left="0.75" right="0.75" top="1" bottom="1" header="0.5" footer="0.5"/>
  <pageSetup scale="81" firstPageNumber="19" orientation="landscape" useFirstPageNumber="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39997558519241921"/>
    <pageSetUpPr fitToPage="1"/>
  </sheetPr>
  <dimension ref="A2:J28"/>
  <sheetViews>
    <sheetView showGridLines="0" zoomScaleNormal="100" workbookViewId="0"/>
  </sheetViews>
  <sheetFormatPr defaultColWidth="8.85546875" defaultRowHeight="12.75" x14ac:dyDescent="0.2"/>
  <cols>
    <col min="1" max="1" width="29.28515625" style="1" bestFit="1" customWidth="1"/>
    <col min="2" max="9" width="12.7109375" style="1" customWidth="1"/>
    <col min="10" max="10" width="12.42578125" style="1" bestFit="1" customWidth="1"/>
    <col min="11" max="16384" width="8.85546875" style="1"/>
  </cols>
  <sheetData>
    <row r="2" spans="1:10" x14ac:dyDescent="0.2">
      <c r="A2" s="466" t="str">
        <f>'RSI TSERS NPL'!A2:I2</f>
        <v>Carolina County Board of Education, North Carolina</v>
      </c>
      <c r="B2" s="466"/>
      <c r="C2" s="466"/>
      <c r="D2" s="466"/>
      <c r="E2" s="466"/>
      <c r="F2" s="466"/>
      <c r="G2" s="466"/>
      <c r="H2" s="466"/>
      <c r="I2" s="466"/>
    </row>
    <row r="3" spans="1:10" x14ac:dyDescent="0.2">
      <c r="A3" s="502" t="s">
        <v>294</v>
      </c>
      <c r="B3" s="502"/>
      <c r="C3" s="502"/>
      <c r="D3" s="502"/>
      <c r="E3" s="502"/>
      <c r="F3" s="502"/>
      <c r="G3" s="502"/>
      <c r="H3" s="502"/>
      <c r="I3" s="502"/>
    </row>
    <row r="4" spans="1:10" x14ac:dyDescent="0.2">
      <c r="A4" s="502" t="s">
        <v>288</v>
      </c>
      <c r="B4" s="502"/>
      <c r="C4" s="502"/>
      <c r="D4" s="502"/>
      <c r="E4" s="502"/>
      <c r="F4" s="502"/>
      <c r="G4" s="502"/>
      <c r="H4" s="502"/>
      <c r="I4" s="502"/>
    </row>
    <row r="5" spans="1:10" x14ac:dyDescent="0.2">
      <c r="A5" s="463" t="s">
        <v>506</v>
      </c>
      <c r="B5" s="463"/>
      <c r="C5" s="463"/>
      <c r="D5" s="463"/>
      <c r="E5" s="463"/>
      <c r="F5" s="463"/>
      <c r="G5" s="463"/>
      <c r="H5" s="463"/>
      <c r="I5" s="463"/>
    </row>
    <row r="7" spans="1:10" ht="15" x14ac:dyDescent="0.35">
      <c r="B7" s="214">
        <v>44377</v>
      </c>
      <c r="C7" s="214">
        <v>44012</v>
      </c>
      <c r="D7" s="214">
        <v>43646</v>
      </c>
      <c r="E7" s="214">
        <v>43281</v>
      </c>
      <c r="F7" s="214">
        <v>42916</v>
      </c>
      <c r="G7" s="214">
        <v>42551</v>
      </c>
      <c r="H7" s="214">
        <v>42185</v>
      </c>
      <c r="I7" s="214">
        <v>41820</v>
      </c>
      <c r="J7" s="213"/>
    </row>
    <row r="8" spans="1:10" x14ac:dyDescent="0.2">
      <c r="G8" s="4"/>
      <c r="H8" s="4"/>
      <c r="I8" s="12"/>
    </row>
    <row r="9" spans="1:10" x14ac:dyDescent="0.2">
      <c r="A9" s="95" t="s">
        <v>295</v>
      </c>
      <c r="B9" s="88">
        <v>50000</v>
      </c>
      <c r="C9" s="88">
        <v>49000</v>
      </c>
      <c r="D9" s="88">
        <v>48500</v>
      </c>
      <c r="E9" s="88">
        <v>46000</v>
      </c>
      <c r="F9" s="88">
        <v>45000</v>
      </c>
      <c r="G9" s="88">
        <v>39000</v>
      </c>
      <c r="H9" s="88">
        <v>38325</v>
      </c>
      <c r="I9" s="88">
        <v>38325</v>
      </c>
    </row>
    <row r="10" spans="1:10" ht="30.6" customHeight="1" x14ac:dyDescent="0.2">
      <c r="A10" s="99" t="s">
        <v>296</v>
      </c>
      <c r="B10" s="211">
        <v>50000</v>
      </c>
      <c r="C10" s="211">
        <v>49000</v>
      </c>
      <c r="D10" s="211">
        <v>48500</v>
      </c>
      <c r="E10" s="211">
        <f>E9</f>
        <v>46000</v>
      </c>
      <c r="F10" s="211">
        <f>F9</f>
        <v>45000</v>
      </c>
      <c r="G10" s="211">
        <f>G9</f>
        <v>39000</v>
      </c>
      <c r="H10" s="211">
        <f>H9</f>
        <v>38325</v>
      </c>
      <c r="I10" s="211">
        <f>I9</f>
        <v>38325</v>
      </c>
    </row>
    <row r="11" spans="1:10" ht="15" x14ac:dyDescent="0.35">
      <c r="A11" s="95" t="s">
        <v>297</v>
      </c>
      <c r="B11" s="212">
        <v>0</v>
      </c>
      <c r="C11" s="212">
        <v>0</v>
      </c>
      <c r="D11" s="212">
        <v>0</v>
      </c>
      <c r="E11" s="212">
        <f>E9-E10</f>
        <v>0</v>
      </c>
      <c r="F11" s="212">
        <f>F9-F10</f>
        <v>0</v>
      </c>
      <c r="G11" s="212">
        <f>G9-G10</f>
        <v>0</v>
      </c>
      <c r="H11" s="212">
        <f>H9-H10</f>
        <v>0</v>
      </c>
      <c r="I11" s="212">
        <f>I9-I10</f>
        <v>0</v>
      </c>
    </row>
    <row r="12" spans="1:10" x14ac:dyDescent="0.2">
      <c r="A12" s="95"/>
      <c r="B12" s="95"/>
      <c r="C12" s="95"/>
      <c r="D12" s="95"/>
      <c r="E12" s="95"/>
      <c r="F12" s="95"/>
      <c r="G12" s="95"/>
      <c r="H12" s="95"/>
      <c r="I12" s="95"/>
    </row>
    <row r="13" spans="1:10" x14ac:dyDescent="0.2">
      <c r="A13" s="95" t="s">
        <v>5</v>
      </c>
      <c r="B13" s="88">
        <v>406835</v>
      </c>
      <c r="C13" s="88">
        <v>412111</v>
      </c>
      <c r="D13" s="88">
        <v>449907</v>
      </c>
      <c r="E13" s="88">
        <v>460812</v>
      </c>
      <c r="F13" s="88">
        <v>501643</v>
      </c>
      <c r="G13" s="88">
        <f>'RSI TSERS NPL'!F14</f>
        <v>434966</v>
      </c>
      <c r="H13" s="88">
        <f>'RSI TSERS NPL'!G14</f>
        <v>425669</v>
      </c>
      <c r="I13" s="88">
        <f>'RSI TSERS NPL'!H14</f>
        <v>422669</v>
      </c>
    </row>
    <row r="14" spans="1:10" x14ac:dyDescent="0.2">
      <c r="A14" s="95"/>
      <c r="D14" s="95"/>
      <c r="E14" s="95"/>
      <c r="F14" s="95"/>
      <c r="G14" s="95"/>
      <c r="H14" s="95"/>
      <c r="I14" s="95"/>
    </row>
    <row r="15" spans="1:10" ht="29.45" customHeight="1" x14ac:dyDescent="0.2">
      <c r="A15" s="99" t="s">
        <v>298</v>
      </c>
      <c r="B15" s="101">
        <f t="shared" ref="B15:I15" si="0">B10/B13</f>
        <v>0.12289994715302273</v>
      </c>
      <c r="C15" s="101">
        <f t="shared" si="0"/>
        <v>0.11890000509571451</v>
      </c>
      <c r="D15" s="101">
        <f t="shared" si="0"/>
        <v>0.10780005645611204</v>
      </c>
      <c r="E15" s="101">
        <f t="shared" si="0"/>
        <v>9.9823789311042244E-2</v>
      </c>
      <c r="F15" s="101">
        <f t="shared" si="0"/>
        <v>8.9705228618758764E-2</v>
      </c>
      <c r="G15" s="101">
        <f t="shared" si="0"/>
        <v>8.9662180492268359E-2</v>
      </c>
      <c r="H15" s="101">
        <f t="shared" si="0"/>
        <v>9.0034745306799419E-2</v>
      </c>
      <c r="I15" s="101">
        <f t="shared" si="0"/>
        <v>9.0673789655735346E-2</v>
      </c>
      <c r="J15" s="90"/>
    </row>
    <row r="17" spans="1:9" ht="18.75" customHeight="1" x14ac:dyDescent="0.2">
      <c r="A17" s="504" t="s">
        <v>293</v>
      </c>
      <c r="B17" s="505"/>
      <c r="C17" s="505"/>
      <c r="D17" s="505"/>
      <c r="E17" s="505"/>
      <c r="F17" s="505"/>
      <c r="G17" s="505"/>
      <c r="H17" s="505"/>
      <c r="I17" s="505"/>
    </row>
    <row r="18" spans="1:9" x14ac:dyDescent="0.2">
      <c r="A18" s="59"/>
      <c r="B18" s="59"/>
      <c r="C18" s="59"/>
      <c r="D18" s="59"/>
      <c r="E18" s="59"/>
      <c r="F18" s="59"/>
      <c r="G18" s="59"/>
      <c r="H18" s="59"/>
      <c r="I18" s="59"/>
    </row>
    <row r="19" spans="1:9" x14ac:dyDescent="0.2">
      <c r="A19" s="10"/>
      <c r="B19" s="10"/>
      <c r="C19" s="10"/>
      <c r="D19" s="10"/>
      <c r="E19" s="10"/>
      <c r="F19" s="10"/>
      <c r="G19" s="10"/>
      <c r="H19" s="10"/>
      <c r="I19" s="10"/>
    </row>
    <row r="21" spans="1:9" x14ac:dyDescent="0.2">
      <c r="A21" s="102"/>
      <c r="B21" s="102"/>
      <c r="C21" s="102"/>
      <c r="D21" s="102"/>
      <c r="E21" s="102"/>
      <c r="F21" s="103"/>
      <c r="G21" s="103"/>
      <c r="H21" s="103"/>
      <c r="I21" s="103"/>
    </row>
    <row r="22" spans="1:9" x14ac:dyDescent="0.2">
      <c r="A22" s="103"/>
      <c r="B22" s="103"/>
      <c r="C22" s="103"/>
      <c r="D22" s="103"/>
      <c r="E22" s="103"/>
      <c r="F22" s="103"/>
      <c r="G22" s="103"/>
      <c r="H22" s="103"/>
      <c r="I22" s="103"/>
    </row>
    <row r="23" spans="1:9" x14ac:dyDescent="0.2">
      <c r="A23" s="103"/>
      <c r="B23" s="103"/>
      <c r="C23" s="103"/>
      <c r="D23" s="103"/>
      <c r="E23" s="103"/>
      <c r="F23" s="103"/>
      <c r="G23" s="103"/>
      <c r="H23" s="103"/>
      <c r="I23" s="103"/>
    </row>
    <row r="24" spans="1:9" x14ac:dyDescent="0.2">
      <c r="A24" s="103"/>
      <c r="B24" s="103"/>
      <c r="C24" s="103"/>
      <c r="D24" s="103"/>
      <c r="E24" s="103"/>
      <c r="F24" s="103"/>
      <c r="G24" s="103"/>
      <c r="H24" s="103"/>
      <c r="I24" s="103"/>
    </row>
    <row r="25" spans="1:9" x14ac:dyDescent="0.2">
      <c r="A25" s="103"/>
      <c r="B25" s="103"/>
      <c r="C25" s="103"/>
      <c r="D25" s="103"/>
      <c r="E25" s="103"/>
      <c r="F25" s="103"/>
      <c r="G25" s="103"/>
      <c r="H25" s="103"/>
      <c r="I25" s="103"/>
    </row>
    <row r="26" spans="1:9" x14ac:dyDescent="0.2">
      <c r="A26" s="103"/>
      <c r="B26" s="103"/>
      <c r="C26" s="103"/>
      <c r="D26" s="103"/>
      <c r="E26" s="103"/>
      <c r="F26" s="103"/>
      <c r="G26" s="103"/>
      <c r="H26" s="103"/>
      <c r="I26" s="103"/>
    </row>
    <row r="27" spans="1:9" x14ac:dyDescent="0.2">
      <c r="A27" s="7"/>
      <c r="B27" s="7"/>
      <c r="C27" s="7"/>
      <c r="D27" s="7"/>
      <c r="E27" s="7"/>
      <c r="F27" s="7"/>
      <c r="G27" s="7"/>
      <c r="H27" s="7"/>
      <c r="I27" s="7"/>
    </row>
    <row r="28" spans="1:9" x14ac:dyDescent="0.2">
      <c r="A28" s="104"/>
      <c r="B28" s="104"/>
      <c r="C28" s="104"/>
      <c r="D28" s="104"/>
      <c r="E28" s="104"/>
      <c r="F28" s="104"/>
      <c r="G28" s="104"/>
      <c r="H28" s="104"/>
      <c r="I28" s="104"/>
    </row>
  </sheetData>
  <mergeCells count="5">
    <mergeCell ref="A3:I3"/>
    <mergeCell ref="A5:I5"/>
    <mergeCell ref="A2:I2"/>
    <mergeCell ref="A4:I4"/>
    <mergeCell ref="A17:I17"/>
  </mergeCells>
  <printOptions horizontalCentered="1"/>
  <pageMargins left="0.75" right="0.75" top="1" bottom="1" header="0.5" footer="0.5"/>
  <pageSetup scale="94" firstPageNumber="19" orientation="landscape" useFirstPageNumber="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39997558519241921"/>
    <pageSetUpPr fitToPage="1"/>
  </sheetPr>
  <dimension ref="A2:O18"/>
  <sheetViews>
    <sheetView showGridLines="0" workbookViewId="0"/>
  </sheetViews>
  <sheetFormatPr defaultRowHeight="12.75" x14ac:dyDescent="0.2"/>
  <cols>
    <col min="1" max="1" width="74.28515625" style="1" customWidth="1"/>
    <col min="2" max="2" width="9.140625" style="1"/>
    <col min="3" max="7" width="11.7109375" style="1" customWidth="1"/>
    <col min="8" max="16384" width="9.140625" style="1"/>
  </cols>
  <sheetData>
    <row r="2" spans="1:15" x14ac:dyDescent="0.2">
      <c r="A2" s="466" t="s">
        <v>0</v>
      </c>
      <c r="B2" s="466"/>
      <c r="C2" s="466"/>
      <c r="D2" s="466"/>
      <c r="E2" s="466"/>
      <c r="F2" s="466"/>
      <c r="G2" s="14"/>
      <c r="H2" s="14"/>
      <c r="I2" s="14"/>
      <c r="J2" s="14"/>
      <c r="K2" s="14"/>
    </row>
    <row r="3" spans="1:15" x14ac:dyDescent="0.2">
      <c r="A3" s="502" t="s">
        <v>1</v>
      </c>
      <c r="B3" s="502"/>
      <c r="C3" s="502"/>
      <c r="D3" s="502"/>
      <c r="E3" s="502"/>
      <c r="F3" s="502"/>
      <c r="G3" s="15"/>
      <c r="H3" s="15"/>
      <c r="I3" s="15"/>
      <c r="J3" s="15"/>
      <c r="K3" s="15"/>
      <c r="L3" s="2"/>
      <c r="M3" s="2"/>
      <c r="N3" s="2"/>
      <c r="O3" s="2"/>
    </row>
    <row r="4" spans="1:15" x14ac:dyDescent="0.2">
      <c r="A4" s="466" t="s">
        <v>510</v>
      </c>
      <c r="B4" s="466"/>
      <c r="C4" s="466"/>
      <c r="D4" s="466"/>
      <c r="E4" s="466"/>
      <c r="F4" s="466"/>
      <c r="G4" s="14"/>
      <c r="H4" s="14"/>
      <c r="I4" s="14"/>
      <c r="J4" s="14"/>
      <c r="K4" s="14"/>
    </row>
    <row r="5" spans="1:15" x14ac:dyDescent="0.2">
      <c r="A5" s="466" t="s">
        <v>2</v>
      </c>
      <c r="B5" s="466"/>
      <c r="C5" s="466"/>
      <c r="D5" s="466"/>
      <c r="E5" s="466"/>
      <c r="F5" s="466"/>
      <c r="G5" s="14"/>
      <c r="H5" s="14"/>
      <c r="I5" s="14"/>
      <c r="J5" s="14"/>
      <c r="K5" s="14"/>
    </row>
    <row r="6" spans="1:15" x14ac:dyDescent="0.2">
      <c r="A6" s="463" t="s">
        <v>665</v>
      </c>
      <c r="B6" s="463"/>
      <c r="C6" s="463"/>
      <c r="D6" s="463"/>
      <c r="E6" s="463"/>
      <c r="F6" s="463"/>
      <c r="G6" s="12"/>
      <c r="H6" s="12"/>
      <c r="I6" s="12"/>
      <c r="J6" s="12"/>
      <c r="K6" s="12"/>
    </row>
    <row r="8" spans="1:15" ht="15" x14ac:dyDescent="0.35">
      <c r="C8" s="214">
        <v>44377</v>
      </c>
      <c r="D8" s="214">
        <v>44012</v>
      </c>
      <c r="E8" s="214">
        <v>43646</v>
      </c>
      <c r="F8" s="214">
        <v>43281</v>
      </c>
      <c r="G8" s="214">
        <v>42916</v>
      </c>
    </row>
    <row r="9" spans="1:15" x14ac:dyDescent="0.2">
      <c r="B9" s="13"/>
      <c r="E9" s="4"/>
    </row>
    <row r="10" spans="1:15" x14ac:dyDescent="0.2">
      <c r="A10" s="1" t="s">
        <v>3</v>
      </c>
      <c r="C10" s="5">
        <v>3.8399999999999998E-5</v>
      </c>
      <c r="D10" s="5">
        <v>3.8399999999999998E-5</v>
      </c>
      <c r="E10" s="5">
        <v>3.6699999999999998E-5</v>
      </c>
      <c r="F10" s="5">
        <v>3.6699999999999998E-5</v>
      </c>
      <c r="G10" s="5">
        <v>3.6699999999999998E-5</v>
      </c>
    </row>
    <row r="11" spans="1:15" x14ac:dyDescent="0.2">
      <c r="A11" s="1" t="s">
        <v>4</v>
      </c>
      <c r="C11" s="6">
        <v>1093387</v>
      </c>
      <c r="D11" s="6">
        <v>1114756</v>
      </c>
      <c r="E11" s="6">
        <v>1204359</v>
      </c>
      <c r="F11" s="6">
        <v>1598454</v>
      </c>
      <c r="G11" s="6">
        <v>1532024</v>
      </c>
    </row>
    <row r="12" spans="1:15" x14ac:dyDescent="0.2">
      <c r="A12" s="1" t="s">
        <v>5</v>
      </c>
      <c r="C12" s="6">
        <v>449907</v>
      </c>
      <c r="D12" s="6">
        <v>406895</v>
      </c>
      <c r="E12" s="6">
        <v>460812</v>
      </c>
      <c r="F12" s="6">
        <v>501643</v>
      </c>
      <c r="G12" s="6">
        <v>498301</v>
      </c>
    </row>
    <row r="13" spans="1:15" ht="25.5" x14ac:dyDescent="0.2">
      <c r="A13" s="7" t="s">
        <v>6</v>
      </c>
      <c r="C13" s="8">
        <f>C11/C12</f>
        <v>2.4302511407913192</v>
      </c>
      <c r="D13" s="8">
        <f>D11/D12</f>
        <v>2.7396650241462783</v>
      </c>
      <c r="E13" s="8">
        <f>E11/E12</f>
        <v>2.613558240670816</v>
      </c>
      <c r="F13" s="8">
        <f>F11/F12</f>
        <v>3.1864373668126538</v>
      </c>
      <c r="G13" s="8">
        <f>G11/G12</f>
        <v>3.0744951344669187</v>
      </c>
    </row>
    <row r="14" spans="1:15" x14ac:dyDescent="0.2">
      <c r="A14" s="1" t="s">
        <v>7</v>
      </c>
      <c r="C14" s="9">
        <v>4.3999999999999997E-2</v>
      </c>
      <c r="D14" s="9">
        <v>3.5200000000000002E-2</v>
      </c>
      <c r="E14" s="9">
        <v>3.5200000000000002E-2</v>
      </c>
      <c r="F14" s="9">
        <v>2.41E-2</v>
      </c>
      <c r="G14" s="9">
        <v>2.41E-2</v>
      </c>
    </row>
    <row r="16" spans="1:15" ht="25.5" customHeight="1" x14ac:dyDescent="0.2">
      <c r="A16" s="508" t="s">
        <v>8</v>
      </c>
      <c r="B16" s="509"/>
      <c r="C16" s="509"/>
    </row>
    <row r="18" spans="1:11" ht="26.25" customHeight="1" x14ac:dyDescent="0.2">
      <c r="A18" s="506" t="s">
        <v>508</v>
      </c>
      <c r="B18" s="507"/>
      <c r="C18" s="507"/>
      <c r="D18" s="507"/>
      <c r="E18" s="507"/>
      <c r="F18" s="507"/>
      <c r="G18" s="11"/>
      <c r="H18" s="11"/>
      <c r="I18" s="11"/>
      <c r="J18" s="11"/>
      <c r="K18" s="11"/>
    </row>
  </sheetData>
  <mergeCells count="7">
    <mergeCell ref="A18:F18"/>
    <mergeCell ref="A2:F2"/>
    <mergeCell ref="A3:F3"/>
    <mergeCell ref="A4:F4"/>
    <mergeCell ref="A5:F5"/>
    <mergeCell ref="A6:F6"/>
    <mergeCell ref="A16:C16"/>
  </mergeCells>
  <pageMargins left="0.7" right="0.7" top="0.75" bottom="0.75" header="0.3" footer="0.3"/>
  <pageSetup scale="8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39997558519241921"/>
    <pageSetUpPr fitToPage="1"/>
  </sheetPr>
  <dimension ref="A2:O14"/>
  <sheetViews>
    <sheetView showGridLines="0" workbookViewId="0"/>
  </sheetViews>
  <sheetFormatPr defaultRowHeight="12.75" x14ac:dyDescent="0.2"/>
  <cols>
    <col min="1" max="1" width="36" style="1" customWidth="1"/>
    <col min="2" max="3" width="9.140625" style="1"/>
    <col min="4" max="13" width="10" style="1" customWidth="1"/>
    <col min="14" max="15" width="0" style="1" hidden="1" customWidth="1"/>
    <col min="16" max="16384" width="9.140625" style="1"/>
  </cols>
  <sheetData>
    <row r="2" spans="1:15" x14ac:dyDescent="0.2">
      <c r="A2" s="466" t="s">
        <v>0</v>
      </c>
      <c r="B2" s="466"/>
      <c r="C2" s="466"/>
      <c r="D2" s="466"/>
      <c r="E2" s="466"/>
      <c r="F2" s="466"/>
      <c r="G2" s="466"/>
      <c r="H2" s="466"/>
      <c r="I2" s="466"/>
      <c r="J2" s="466"/>
      <c r="K2" s="466"/>
      <c r="L2" s="466"/>
      <c r="M2" s="466"/>
      <c r="N2" s="466"/>
      <c r="O2" s="466"/>
    </row>
    <row r="3" spans="1:15" x14ac:dyDescent="0.2">
      <c r="A3" s="466" t="s">
        <v>294</v>
      </c>
      <c r="B3" s="466"/>
      <c r="C3" s="466"/>
      <c r="D3" s="466"/>
      <c r="E3" s="466"/>
      <c r="F3" s="466"/>
      <c r="G3" s="466"/>
      <c r="H3" s="466"/>
      <c r="I3" s="466"/>
      <c r="J3" s="466"/>
      <c r="K3" s="466"/>
      <c r="L3" s="466"/>
      <c r="M3" s="466"/>
      <c r="N3" s="466"/>
      <c r="O3" s="466"/>
    </row>
    <row r="4" spans="1:15" x14ac:dyDescent="0.2">
      <c r="A4" s="466" t="s">
        <v>2</v>
      </c>
      <c r="B4" s="466"/>
      <c r="C4" s="466"/>
      <c r="D4" s="466"/>
      <c r="E4" s="466"/>
      <c r="F4" s="466"/>
      <c r="G4" s="466"/>
      <c r="H4" s="466"/>
      <c r="I4" s="466"/>
      <c r="J4" s="466"/>
      <c r="K4" s="466"/>
      <c r="L4" s="466"/>
      <c r="M4" s="466"/>
      <c r="N4" s="466"/>
      <c r="O4" s="466"/>
    </row>
    <row r="5" spans="1:15" x14ac:dyDescent="0.2">
      <c r="A5" s="463" t="s">
        <v>299</v>
      </c>
      <c r="B5" s="463"/>
      <c r="C5" s="463"/>
      <c r="D5" s="463"/>
      <c r="E5" s="463"/>
      <c r="F5" s="463"/>
      <c r="G5" s="463"/>
      <c r="H5" s="463"/>
      <c r="I5" s="463"/>
      <c r="J5" s="463"/>
      <c r="K5" s="463"/>
      <c r="L5" s="463"/>
      <c r="M5" s="463"/>
      <c r="N5" s="463"/>
      <c r="O5" s="463"/>
    </row>
    <row r="6" spans="1:15" x14ac:dyDescent="0.2">
      <c r="A6" s="12"/>
      <c r="B6" s="12"/>
      <c r="C6" s="12"/>
      <c r="D6" s="12"/>
      <c r="E6" s="12"/>
      <c r="F6" s="12"/>
      <c r="G6" s="12"/>
      <c r="H6" s="12"/>
      <c r="I6" s="12"/>
      <c r="J6" s="12"/>
      <c r="K6" s="12"/>
    </row>
    <row r="7" spans="1:15" ht="15" x14ac:dyDescent="0.35">
      <c r="D7" s="214">
        <v>44377</v>
      </c>
      <c r="E7" s="214">
        <v>44012</v>
      </c>
      <c r="F7" s="214">
        <v>43646</v>
      </c>
      <c r="G7" s="214">
        <v>43281</v>
      </c>
      <c r="H7" s="214">
        <v>42916</v>
      </c>
      <c r="I7" s="214">
        <v>42551</v>
      </c>
      <c r="J7" s="214">
        <v>42185</v>
      </c>
      <c r="K7" s="214">
        <v>41820</v>
      </c>
      <c r="L7" s="214">
        <v>41455</v>
      </c>
      <c r="M7" s="214">
        <v>41090</v>
      </c>
      <c r="N7" s="3">
        <f>M7-1</f>
        <v>41089</v>
      </c>
      <c r="O7" s="3">
        <f>N7-1</f>
        <v>41088</v>
      </c>
    </row>
    <row r="8" spans="1:15" x14ac:dyDescent="0.2">
      <c r="F8" s="4"/>
    </row>
    <row r="9" spans="1:15" x14ac:dyDescent="0.2">
      <c r="A9" s="1" t="s">
        <v>295</v>
      </c>
      <c r="D9" s="88">
        <v>30000</v>
      </c>
      <c r="E9" s="88">
        <v>28500</v>
      </c>
      <c r="F9" s="88">
        <f>F13*F14</f>
        <v>27219.373499999998</v>
      </c>
      <c r="G9" s="88">
        <f>G14*G13</f>
        <v>26773.177199999998</v>
      </c>
      <c r="H9" s="88">
        <f>H14*H13</f>
        <v>28092.008000000002</v>
      </c>
      <c r="I9" s="88">
        <f t="shared" ref="I9:O9" si="0">I14*I13</f>
        <v>23879.633399999999</v>
      </c>
      <c r="J9" s="88">
        <f t="shared" si="0"/>
        <v>22986.126</v>
      </c>
      <c r="K9" s="88">
        <f t="shared" si="0"/>
        <v>19853.202160000001</v>
      </c>
      <c r="L9" s="88">
        <f t="shared" si="0"/>
        <v>16481.903679999999</v>
      </c>
      <c r="M9" s="88">
        <f t="shared" si="0"/>
        <v>14213.993733632</v>
      </c>
      <c r="N9" s="88">
        <f t="shared" si="0"/>
        <v>11487.227588812799</v>
      </c>
      <c r="O9" s="88">
        <f t="shared" si="0"/>
        <v>9210.203808985907</v>
      </c>
    </row>
    <row r="10" spans="1:15" ht="27.75" customHeight="1" x14ac:dyDescent="0.35">
      <c r="A10" s="7" t="s">
        <v>300</v>
      </c>
      <c r="D10" s="215">
        <v>30000</v>
      </c>
      <c r="E10" s="215">
        <v>28500</v>
      </c>
      <c r="F10" s="215">
        <f>F9</f>
        <v>27219.373499999998</v>
      </c>
      <c r="G10" s="215">
        <f t="shared" ref="G10:O10" si="1">G9</f>
        <v>26773.177199999998</v>
      </c>
      <c r="H10" s="215">
        <f t="shared" si="1"/>
        <v>28092.008000000002</v>
      </c>
      <c r="I10" s="215">
        <f t="shared" si="1"/>
        <v>23879.633399999999</v>
      </c>
      <c r="J10" s="215">
        <f t="shared" si="1"/>
        <v>22986.126</v>
      </c>
      <c r="K10" s="215">
        <f t="shared" si="1"/>
        <v>19853.202160000001</v>
      </c>
      <c r="L10" s="215">
        <f t="shared" si="1"/>
        <v>16481.903679999999</v>
      </c>
      <c r="M10" s="215">
        <f t="shared" si="1"/>
        <v>14213.993733632</v>
      </c>
      <c r="N10" s="100">
        <f t="shared" si="1"/>
        <v>11487.227588812799</v>
      </c>
      <c r="O10" s="100">
        <f t="shared" si="1"/>
        <v>9210.203808985907</v>
      </c>
    </row>
    <row r="11" spans="1:15" ht="15.75" thickBot="1" x14ac:dyDescent="0.4">
      <c r="A11" s="1" t="s">
        <v>297</v>
      </c>
      <c r="D11" s="216">
        <v>0</v>
      </c>
      <c r="E11" s="216">
        <v>0</v>
      </c>
      <c r="F11" s="216">
        <f>F9-F10</f>
        <v>0</v>
      </c>
      <c r="G11" s="216">
        <f t="shared" ref="G11:O11" si="2">G9-G10</f>
        <v>0</v>
      </c>
      <c r="H11" s="216">
        <f t="shared" si="2"/>
        <v>0</v>
      </c>
      <c r="I11" s="216">
        <f t="shared" si="2"/>
        <v>0</v>
      </c>
      <c r="J11" s="216">
        <f t="shared" si="2"/>
        <v>0</v>
      </c>
      <c r="K11" s="216">
        <f t="shared" si="2"/>
        <v>0</v>
      </c>
      <c r="L11" s="216">
        <f t="shared" si="2"/>
        <v>0</v>
      </c>
      <c r="M11" s="216">
        <f t="shared" si="2"/>
        <v>0</v>
      </c>
      <c r="N11" s="105">
        <f t="shared" si="2"/>
        <v>0</v>
      </c>
      <c r="O11" s="105">
        <f t="shared" si="2"/>
        <v>0</v>
      </c>
    </row>
    <row r="12" spans="1:15" ht="10.5" customHeight="1" thickTop="1" x14ac:dyDescent="0.2">
      <c r="F12" s="106"/>
    </row>
    <row r="13" spans="1:15" x14ac:dyDescent="0.2">
      <c r="A13" s="1" t="s">
        <v>5</v>
      </c>
      <c r="D13" s="88">
        <f>'RSI TSERS Contr'!B13</f>
        <v>406835</v>
      </c>
      <c r="E13" s="88">
        <f>'RSI TSERS Contr'!C13</f>
        <v>412111</v>
      </c>
      <c r="F13" s="88">
        <f>'RSI TSERS Contr'!D13</f>
        <v>449907</v>
      </c>
      <c r="G13" s="88">
        <f>'RSI TSERS Contr'!E13</f>
        <v>460812</v>
      </c>
      <c r="H13" s="88">
        <f>'RSI TSERS Contr'!F13</f>
        <v>501643</v>
      </c>
      <c r="I13" s="88">
        <f>'RSI TSERS Contr'!G13</f>
        <v>434966</v>
      </c>
      <c r="J13" s="88">
        <f>'RSI TSERS Contr'!H13</f>
        <v>425669</v>
      </c>
      <c r="K13" s="88">
        <f>J13*0.88</f>
        <v>374588.72000000003</v>
      </c>
      <c r="L13" s="88">
        <f>K13*0.88</f>
        <v>329638.0736</v>
      </c>
      <c r="M13" s="88">
        <f>L13*0.88</f>
        <v>290081.50476799998</v>
      </c>
      <c r="N13" s="88">
        <f>M13*0.88</f>
        <v>255271.72419583998</v>
      </c>
      <c r="O13" s="88">
        <f>N13*0.88</f>
        <v>224639.11729233919</v>
      </c>
    </row>
    <row r="14" spans="1:15" ht="25.5" x14ac:dyDescent="0.2">
      <c r="A14" s="7" t="s">
        <v>301</v>
      </c>
      <c r="D14" s="107">
        <v>6.3500000000000001E-2</v>
      </c>
      <c r="E14" s="107">
        <v>6.3500000000000001E-2</v>
      </c>
      <c r="F14" s="107">
        <v>6.0499999999999998E-2</v>
      </c>
      <c r="G14" s="107">
        <v>5.8099999999999999E-2</v>
      </c>
      <c r="H14" s="107">
        <v>5.6000000000000001E-2</v>
      </c>
      <c r="I14" s="107">
        <v>5.4899999999999997E-2</v>
      </c>
      <c r="J14" s="107">
        <v>5.3999999999999999E-2</v>
      </c>
      <c r="K14" s="107">
        <v>5.2999999999999999E-2</v>
      </c>
      <c r="L14" s="107">
        <v>0.05</v>
      </c>
      <c r="M14" s="107">
        <v>4.9000000000000002E-2</v>
      </c>
      <c r="N14" s="107">
        <v>4.4999999999999998E-2</v>
      </c>
      <c r="O14" s="107">
        <v>4.1000000000000002E-2</v>
      </c>
    </row>
  </sheetData>
  <mergeCells count="4">
    <mergeCell ref="A2:O2"/>
    <mergeCell ref="A3:O3"/>
    <mergeCell ref="A4:O4"/>
    <mergeCell ref="A5:O5"/>
  </mergeCells>
  <pageMargins left="0.7" right="0.7" top="0.75" bottom="0.75" header="0.3" footer="0.3"/>
  <pageSetup scale="8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39997558519241921"/>
    <pageSetUpPr fitToPage="1"/>
  </sheetPr>
  <dimension ref="A2:L16"/>
  <sheetViews>
    <sheetView showGridLines="0" workbookViewId="0"/>
  </sheetViews>
  <sheetFormatPr defaultRowHeight="12.75" x14ac:dyDescent="0.2"/>
  <cols>
    <col min="1" max="1" width="51.7109375" style="1" customWidth="1"/>
    <col min="2" max="3" width="9.140625" style="1"/>
    <col min="4" max="4" width="15.7109375" style="1" customWidth="1"/>
    <col min="5" max="9" width="12.7109375" style="1" customWidth="1"/>
    <col min="10" max="16384" width="9.140625" style="1"/>
  </cols>
  <sheetData>
    <row r="2" spans="1:12" x14ac:dyDescent="0.2">
      <c r="A2" s="466" t="s">
        <v>0</v>
      </c>
      <c r="B2" s="466"/>
      <c r="C2" s="466"/>
      <c r="D2" s="466"/>
      <c r="E2" s="466"/>
      <c r="F2" s="466"/>
      <c r="G2" s="466"/>
      <c r="H2" s="466"/>
      <c r="I2" s="14"/>
      <c r="J2" s="14"/>
      <c r="K2" s="14"/>
      <c r="L2" s="14"/>
    </row>
    <row r="3" spans="1:12" x14ac:dyDescent="0.2">
      <c r="A3" s="466" t="s">
        <v>1</v>
      </c>
      <c r="B3" s="466"/>
      <c r="C3" s="466"/>
      <c r="D3" s="466"/>
      <c r="E3" s="466"/>
      <c r="F3" s="466"/>
      <c r="G3" s="466"/>
      <c r="H3" s="466"/>
      <c r="I3" s="14"/>
      <c r="J3" s="14"/>
      <c r="K3" s="14"/>
      <c r="L3" s="14"/>
    </row>
    <row r="4" spans="1:12" x14ac:dyDescent="0.2">
      <c r="A4" s="466" t="s">
        <v>302</v>
      </c>
      <c r="B4" s="466"/>
      <c r="C4" s="466"/>
      <c r="D4" s="466"/>
      <c r="E4" s="466"/>
      <c r="F4" s="466"/>
      <c r="G4" s="466"/>
      <c r="H4" s="466"/>
      <c r="I4" s="14"/>
      <c r="J4" s="14"/>
      <c r="K4" s="14"/>
      <c r="L4" s="14"/>
    </row>
    <row r="5" spans="1:12" x14ac:dyDescent="0.2">
      <c r="A5" s="466" t="s">
        <v>303</v>
      </c>
      <c r="B5" s="466"/>
      <c r="C5" s="466"/>
      <c r="D5" s="466"/>
      <c r="E5" s="466"/>
      <c r="F5" s="466"/>
      <c r="G5" s="466"/>
      <c r="H5" s="466"/>
      <c r="I5" s="14"/>
      <c r="J5" s="14"/>
      <c r="K5" s="14"/>
      <c r="L5" s="14"/>
    </row>
    <row r="6" spans="1:12" x14ac:dyDescent="0.2">
      <c r="A6" s="463" t="s">
        <v>666</v>
      </c>
      <c r="B6" s="463"/>
      <c r="C6" s="463"/>
      <c r="D6" s="463"/>
      <c r="E6" s="463"/>
      <c r="F6" s="463"/>
      <c r="G6" s="463"/>
      <c r="H6" s="463"/>
      <c r="I6" s="190"/>
      <c r="J6" s="190"/>
      <c r="K6" s="190"/>
      <c r="L6" s="190"/>
    </row>
    <row r="8" spans="1:12" ht="15" x14ac:dyDescent="0.35">
      <c r="E8" s="214">
        <v>44377</v>
      </c>
      <c r="F8" s="214">
        <v>44012</v>
      </c>
      <c r="G8" s="214">
        <v>43646</v>
      </c>
      <c r="H8" s="214">
        <v>43281</v>
      </c>
      <c r="I8" s="214">
        <v>42916</v>
      </c>
    </row>
    <row r="10" spans="1:12" x14ac:dyDescent="0.2">
      <c r="A10" s="1" t="s">
        <v>304</v>
      </c>
      <c r="E10" s="108">
        <f>0.00281*0.5%</f>
        <v>1.4050000000000001E-5</v>
      </c>
      <c r="F10" s="108">
        <f>0.00331*0.5%</f>
        <v>1.6549999999999999E-5</v>
      </c>
      <c r="G10" s="108">
        <f>0.000043*0.5%</f>
        <v>2.1500000000000001E-7</v>
      </c>
      <c r="H10" s="108">
        <f>0.0000298*0.5</f>
        <v>1.49E-5</v>
      </c>
      <c r="I10" s="108">
        <f>0.0000268*0.5</f>
        <v>1.34E-5</v>
      </c>
    </row>
    <row r="11" spans="1:12" x14ac:dyDescent="0.2">
      <c r="A11" s="1" t="s">
        <v>305</v>
      </c>
      <c r="E11" s="109">
        <f>854/2</f>
        <v>427</v>
      </c>
      <c r="F11" s="109">
        <f>1074/2</f>
        <v>537</v>
      </c>
      <c r="G11" s="88">
        <f>1821/2</f>
        <v>910.5</v>
      </c>
      <c r="H11" s="88">
        <f>2670/2</f>
        <v>1335</v>
      </c>
      <c r="I11" s="88">
        <f>2470/2</f>
        <v>1235</v>
      </c>
    </row>
    <row r="12" spans="1:12" x14ac:dyDescent="0.2">
      <c r="A12" s="1" t="s">
        <v>5</v>
      </c>
      <c r="E12" s="88">
        <f>'RSI TSERS NPL'!B14</f>
        <v>449907</v>
      </c>
      <c r="F12" s="88">
        <f>'RSI TSERS NPL'!C14</f>
        <v>406789</v>
      </c>
      <c r="G12" s="88">
        <f>'RSI TSERS NPL'!D14</f>
        <v>460812</v>
      </c>
      <c r="H12" s="88">
        <f>'RSI TSERS NPL'!E14</f>
        <v>501643</v>
      </c>
      <c r="I12" s="88">
        <f>'RSI TSERS NPL'!F14</f>
        <v>434966</v>
      </c>
    </row>
    <row r="13" spans="1:12" ht="26.25" customHeight="1" x14ac:dyDescent="0.2">
      <c r="A13" s="7" t="s">
        <v>306</v>
      </c>
      <c r="E13" s="9">
        <f>E11/E12</f>
        <v>9.4908503312906894E-4</v>
      </c>
      <c r="F13" s="9">
        <f>F11/F12</f>
        <v>1.3200946928260105E-3</v>
      </c>
      <c r="G13" s="9">
        <f>G11/G12</f>
        <v>1.9758600036457385E-3</v>
      </c>
      <c r="H13" s="9">
        <f>H11/H12</f>
        <v>2.6612551156898431E-3</v>
      </c>
      <c r="I13" s="9">
        <f>I11/I12</f>
        <v>2.8393023822551647E-3</v>
      </c>
    </row>
    <row r="14" spans="1:12" x14ac:dyDescent="0.2">
      <c r="A14" s="1" t="s">
        <v>307</v>
      </c>
      <c r="E14" s="107">
        <v>1.1647000000000001</v>
      </c>
      <c r="F14" s="107">
        <v>1.1637</v>
      </c>
      <c r="G14" s="9">
        <v>1.1623000000000001</v>
      </c>
      <c r="H14" s="9">
        <v>1.1606000000000001</v>
      </c>
      <c r="I14" s="9">
        <v>1.1706000000000001</v>
      </c>
    </row>
    <row r="16" spans="1:12" x14ac:dyDescent="0.2">
      <c r="A16" s="1" t="s">
        <v>8</v>
      </c>
    </row>
  </sheetData>
  <mergeCells count="5">
    <mergeCell ref="A2:H2"/>
    <mergeCell ref="A3:H3"/>
    <mergeCell ref="A4:H4"/>
    <mergeCell ref="A5:H5"/>
    <mergeCell ref="A6:H6"/>
  </mergeCells>
  <pageMargins left="0.7" right="0.7" top="0.75" bottom="0.75" header="0.3" footer="0.3"/>
  <pageSetup scale="83"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39997558519241921"/>
    <pageSetUpPr fitToPage="1"/>
  </sheetPr>
  <dimension ref="A2:O20"/>
  <sheetViews>
    <sheetView showGridLines="0" workbookViewId="0"/>
  </sheetViews>
  <sheetFormatPr defaultRowHeight="12.75" x14ac:dyDescent="0.2"/>
  <cols>
    <col min="1" max="1" width="36" style="1" customWidth="1"/>
    <col min="2" max="3" width="9.140625" style="1"/>
    <col min="4" max="13" width="10" style="1" customWidth="1"/>
    <col min="14" max="15" width="9.140625" style="1" hidden="1" customWidth="1"/>
    <col min="16" max="16384" width="9.140625" style="1"/>
  </cols>
  <sheetData>
    <row r="2" spans="1:15" x14ac:dyDescent="0.2">
      <c r="A2" s="466" t="s">
        <v>0</v>
      </c>
      <c r="B2" s="466"/>
      <c r="C2" s="466"/>
      <c r="D2" s="466"/>
      <c r="E2" s="466"/>
      <c r="F2" s="466"/>
      <c r="G2" s="466"/>
      <c r="H2" s="466"/>
      <c r="I2" s="466"/>
      <c r="J2" s="466"/>
      <c r="K2" s="466"/>
      <c r="L2" s="466"/>
      <c r="M2" s="466"/>
      <c r="N2" s="466"/>
      <c r="O2" s="466"/>
    </row>
    <row r="3" spans="1:15" x14ac:dyDescent="0.2">
      <c r="A3" s="466" t="s">
        <v>308</v>
      </c>
      <c r="B3" s="466"/>
      <c r="C3" s="466"/>
      <c r="D3" s="466"/>
      <c r="E3" s="466"/>
      <c r="F3" s="466"/>
      <c r="G3" s="466"/>
      <c r="H3" s="466"/>
      <c r="I3" s="466"/>
      <c r="J3" s="466"/>
      <c r="K3" s="466"/>
      <c r="L3" s="466"/>
      <c r="M3" s="466"/>
      <c r="N3" s="466"/>
      <c r="O3" s="466"/>
    </row>
    <row r="4" spans="1:15" x14ac:dyDescent="0.2">
      <c r="A4" s="466" t="str">
        <f>'RSI DIPNC'!A5:L5</f>
        <v>Disability Income Plan of North Carolina</v>
      </c>
      <c r="B4" s="466"/>
      <c r="C4" s="466"/>
      <c r="D4" s="466"/>
      <c r="E4" s="466"/>
      <c r="F4" s="466"/>
      <c r="G4" s="466"/>
      <c r="H4" s="466"/>
      <c r="I4" s="466"/>
      <c r="J4" s="466"/>
      <c r="K4" s="466"/>
      <c r="L4" s="466"/>
      <c r="M4" s="466"/>
      <c r="N4" s="466"/>
      <c r="O4" s="466"/>
    </row>
    <row r="5" spans="1:15" x14ac:dyDescent="0.2">
      <c r="A5" s="463" t="str">
        <f>'RSI RHBF Contr'!A5:K5</f>
        <v>Last Ten Fiscal Years</v>
      </c>
      <c r="B5" s="463"/>
      <c r="C5" s="463"/>
      <c r="D5" s="463"/>
      <c r="E5" s="463"/>
      <c r="F5" s="463"/>
      <c r="G5" s="463"/>
      <c r="H5" s="463"/>
      <c r="I5" s="463"/>
      <c r="J5" s="463"/>
      <c r="K5" s="463"/>
      <c r="L5" s="463"/>
      <c r="M5" s="463"/>
      <c r="N5" s="463"/>
      <c r="O5" s="463"/>
    </row>
    <row r="7" spans="1:15" ht="15" x14ac:dyDescent="0.35">
      <c r="D7" s="214">
        <v>44377</v>
      </c>
      <c r="E7" s="214">
        <v>44012</v>
      </c>
      <c r="F7" s="214">
        <v>43646</v>
      </c>
      <c r="G7" s="214">
        <v>43281</v>
      </c>
      <c r="H7" s="214">
        <v>42916</v>
      </c>
      <c r="I7" s="214">
        <v>42551</v>
      </c>
      <c r="J7" s="214">
        <v>42185</v>
      </c>
      <c r="K7" s="214">
        <v>41820</v>
      </c>
      <c r="L7" s="214">
        <v>41455</v>
      </c>
      <c r="M7" s="214">
        <v>41090</v>
      </c>
      <c r="N7" s="3">
        <v>2010</v>
      </c>
      <c r="O7" s="3">
        <v>2009</v>
      </c>
    </row>
    <row r="8" spans="1:15" x14ac:dyDescent="0.2">
      <c r="F8" s="4"/>
    </row>
    <row r="9" spans="1:15" x14ac:dyDescent="0.2">
      <c r="A9" s="1" t="s">
        <v>295</v>
      </c>
      <c r="D9" s="6">
        <f>D13*D14</f>
        <v>610.25250000000005</v>
      </c>
      <c r="E9" s="6">
        <f>E13*E14</f>
        <v>1030.2774999999999</v>
      </c>
      <c r="F9" s="6">
        <f>F13*F14</f>
        <v>629.86979999999994</v>
      </c>
      <c r="G9" s="109">
        <f>G14*G13</f>
        <v>1751.0855999999999</v>
      </c>
      <c r="H9" s="109">
        <f t="shared" ref="H9:O9" si="0">H14*H13</f>
        <v>2056.7363</v>
      </c>
      <c r="I9" s="109">
        <f t="shared" si="0"/>
        <v>1783.3606000000002</v>
      </c>
      <c r="J9" s="109">
        <f t="shared" si="0"/>
        <v>1872.9436000000001</v>
      </c>
      <c r="K9" s="109">
        <f t="shared" si="0"/>
        <v>1816.7552920000001</v>
      </c>
      <c r="L9" s="109">
        <f t="shared" si="0"/>
        <v>2082.6622029199998</v>
      </c>
      <c r="M9" s="109">
        <f t="shared" si="0"/>
        <v>2020.1823368323999</v>
      </c>
      <c r="N9" s="109">
        <f t="shared" si="0"/>
        <v>1959.5768667274276</v>
      </c>
      <c r="O9" s="109">
        <f t="shared" si="0"/>
        <v>1900.789560725605</v>
      </c>
    </row>
    <row r="10" spans="1:15" ht="27.75" x14ac:dyDescent="0.35">
      <c r="A10" s="7" t="s">
        <v>300</v>
      </c>
      <c r="D10" s="217">
        <f>D9</f>
        <v>610.25250000000005</v>
      </c>
      <c r="E10" s="217">
        <f>E9</f>
        <v>1030.2774999999999</v>
      </c>
      <c r="F10" s="217">
        <f>F9</f>
        <v>629.86979999999994</v>
      </c>
      <c r="G10" s="217">
        <f t="shared" ref="G10:O10" si="1">G9</f>
        <v>1751.0855999999999</v>
      </c>
      <c r="H10" s="217">
        <f t="shared" si="1"/>
        <v>2056.7363</v>
      </c>
      <c r="I10" s="217">
        <f t="shared" si="1"/>
        <v>1783.3606000000002</v>
      </c>
      <c r="J10" s="217">
        <f t="shared" si="1"/>
        <v>1872.9436000000001</v>
      </c>
      <c r="K10" s="217">
        <f t="shared" si="1"/>
        <v>1816.7552920000001</v>
      </c>
      <c r="L10" s="217">
        <f t="shared" si="1"/>
        <v>2082.6622029199998</v>
      </c>
      <c r="M10" s="217">
        <f t="shared" si="1"/>
        <v>2020.1823368323999</v>
      </c>
      <c r="N10" s="110">
        <f t="shared" si="1"/>
        <v>1959.5768667274276</v>
      </c>
      <c r="O10" s="110">
        <f t="shared" si="1"/>
        <v>1900.789560725605</v>
      </c>
    </row>
    <row r="11" spans="1:15" ht="15.75" thickBot="1" x14ac:dyDescent="0.4">
      <c r="A11" s="1" t="s">
        <v>297</v>
      </c>
      <c r="D11" s="218">
        <v>0</v>
      </c>
      <c r="E11" s="218">
        <v>0</v>
      </c>
      <c r="F11" s="218">
        <f>F9-F10</f>
        <v>0</v>
      </c>
      <c r="G11" s="218">
        <f t="shared" ref="G11:O11" si="2">G9-G10</f>
        <v>0</v>
      </c>
      <c r="H11" s="218">
        <f t="shared" si="2"/>
        <v>0</v>
      </c>
      <c r="I11" s="218">
        <f t="shared" si="2"/>
        <v>0</v>
      </c>
      <c r="J11" s="218">
        <f t="shared" si="2"/>
        <v>0</v>
      </c>
      <c r="K11" s="218">
        <f t="shared" si="2"/>
        <v>0</v>
      </c>
      <c r="L11" s="218">
        <f t="shared" si="2"/>
        <v>0</v>
      </c>
      <c r="M11" s="218">
        <f t="shared" si="2"/>
        <v>0</v>
      </c>
      <c r="N11" s="111">
        <f t="shared" si="2"/>
        <v>0</v>
      </c>
      <c r="O11" s="111">
        <f t="shared" si="2"/>
        <v>0</v>
      </c>
    </row>
    <row r="12" spans="1:15" ht="10.5" customHeight="1" thickTop="1" x14ac:dyDescent="0.2">
      <c r="F12" s="112"/>
    </row>
    <row r="13" spans="1:15" x14ac:dyDescent="0.2">
      <c r="A13" s="1" t="s">
        <v>5</v>
      </c>
      <c r="D13" s="6">
        <f>'RSI TSERS Contr'!B13</f>
        <v>406835</v>
      </c>
      <c r="E13" s="6">
        <f>'RSI TSERS Contr'!C13</f>
        <v>412111</v>
      </c>
      <c r="F13" s="6">
        <f>'RSI TSERS Contr'!D13</f>
        <v>449907</v>
      </c>
      <c r="G13" s="6">
        <f>'RSI TSERS Contr'!E13</f>
        <v>460812</v>
      </c>
      <c r="H13" s="6">
        <f>'RSI TSERS Contr'!F13</f>
        <v>501643</v>
      </c>
      <c r="I13" s="6">
        <f>'RSI TSERS Contr'!G13</f>
        <v>434966</v>
      </c>
      <c r="J13" s="6">
        <f>'RSI TSERS Contr'!H13</f>
        <v>425669</v>
      </c>
      <c r="K13" s="109">
        <f>J13*0.97</f>
        <v>412898.93</v>
      </c>
      <c r="L13" s="109">
        <f>K13*0.97</f>
        <v>400511.9621</v>
      </c>
      <c r="M13" s="109">
        <f>L13*0.97</f>
        <v>388496.603237</v>
      </c>
      <c r="N13" s="109">
        <f>M13*0.97</f>
        <v>376841.70513988996</v>
      </c>
      <c r="O13" s="109">
        <f>N13*0.97</f>
        <v>365536.45398569328</v>
      </c>
    </row>
    <row r="14" spans="1:15" ht="25.5" x14ac:dyDescent="0.2">
      <c r="A14" s="7" t="s">
        <v>301</v>
      </c>
      <c r="D14" s="9">
        <v>1.5E-3</v>
      </c>
      <c r="E14" s="9">
        <v>2.5000000000000001E-3</v>
      </c>
      <c r="F14" s="9">
        <v>1.4E-3</v>
      </c>
      <c r="G14" s="9">
        <v>3.8E-3</v>
      </c>
      <c r="H14" s="9">
        <v>4.1000000000000003E-3</v>
      </c>
      <c r="I14" s="9">
        <v>4.1000000000000003E-3</v>
      </c>
      <c r="J14" s="9">
        <v>4.4000000000000003E-3</v>
      </c>
      <c r="K14" s="9">
        <v>4.4000000000000003E-3</v>
      </c>
      <c r="L14" s="9">
        <v>5.1999999999999998E-3</v>
      </c>
      <c r="M14" s="9">
        <v>5.1999999999999998E-3</v>
      </c>
      <c r="N14" s="9">
        <v>5.1999999999999998E-3</v>
      </c>
      <c r="O14" s="9">
        <v>5.1999999999999998E-3</v>
      </c>
    </row>
    <row r="20" spans="4:6" x14ac:dyDescent="0.2">
      <c r="D20" s="90"/>
      <c r="E20" s="90"/>
      <c r="F20" s="90"/>
    </row>
  </sheetData>
  <mergeCells count="4">
    <mergeCell ref="A2:O2"/>
    <mergeCell ref="A3:O3"/>
    <mergeCell ref="A4:O4"/>
    <mergeCell ref="A5:O5"/>
  </mergeCells>
  <pageMargins left="0.7" right="0.7" top="0.75" bottom="0.75" header="0.3" footer="0.3"/>
  <pageSetup scale="8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66FFFF"/>
  </sheetPr>
  <dimension ref="A1:F87"/>
  <sheetViews>
    <sheetView showGridLines="0" zoomScaleNormal="100" workbookViewId="0">
      <selection activeCell="A15" sqref="A15"/>
    </sheetView>
  </sheetViews>
  <sheetFormatPr defaultRowHeight="12.75" x14ac:dyDescent="0.2"/>
  <cols>
    <col min="1" max="1" width="44.140625" style="16" customWidth="1"/>
    <col min="2" max="2" width="23.5703125" style="16" customWidth="1"/>
    <col min="3" max="3" width="1.85546875" style="16" customWidth="1"/>
    <col min="4" max="4" width="9.85546875" style="16" customWidth="1"/>
    <col min="5" max="5" width="0.28515625" style="16" customWidth="1"/>
    <col min="6" max="16384" width="9.140625" style="16"/>
  </cols>
  <sheetData>
    <row r="1" spans="1:6" ht="15.75" x14ac:dyDescent="0.25">
      <c r="A1" s="128"/>
      <c r="B1" s="129"/>
      <c r="C1" s="129"/>
      <c r="D1" s="129"/>
    </row>
    <row r="2" spans="1:6" ht="15.75" x14ac:dyDescent="0.25">
      <c r="A2" s="130"/>
      <c r="B2" s="129"/>
      <c r="C2" s="129"/>
      <c r="D2" s="129"/>
    </row>
    <row r="3" spans="1:6" ht="15.75" x14ac:dyDescent="0.25">
      <c r="A3" s="130"/>
      <c r="B3" s="129"/>
      <c r="C3" s="129"/>
      <c r="D3" s="129"/>
    </row>
    <row r="4" spans="1:6" ht="15.75" x14ac:dyDescent="0.25">
      <c r="A4" s="131"/>
      <c r="B4" s="132"/>
      <c r="C4" s="129"/>
      <c r="D4" s="129"/>
    </row>
    <row r="5" spans="1:6" ht="15.75" x14ac:dyDescent="0.25">
      <c r="A5" s="133"/>
      <c r="B5" s="133"/>
      <c r="C5" s="134"/>
      <c r="D5" s="134"/>
      <c r="E5" s="21"/>
      <c r="F5" s="21"/>
    </row>
    <row r="6" spans="1:6" ht="15.75" x14ac:dyDescent="0.25">
      <c r="A6" s="133"/>
      <c r="B6" s="133"/>
      <c r="C6" s="134"/>
      <c r="D6" s="134"/>
      <c r="E6" s="21"/>
      <c r="F6" s="21"/>
    </row>
    <row r="7" spans="1:6" ht="109.5" customHeight="1" x14ac:dyDescent="0.2">
      <c r="A7" s="510" t="s">
        <v>671</v>
      </c>
      <c r="B7" s="510"/>
      <c r="C7" s="510"/>
      <c r="D7" s="510"/>
      <c r="E7" s="510"/>
      <c r="F7" s="510"/>
    </row>
    <row r="8" spans="1:6" x14ac:dyDescent="0.2">
      <c r="A8" s="448"/>
      <c r="B8" s="448"/>
      <c r="C8" s="448"/>
      <c r="D8" s="448"/>
      <c r="E8" s="104"/>
      <c r="F8" s="104"/>
    </row>
    <row r="9" spans="1:6" x14ac:dyDescent="0.2">
      <c r="A9" s="461" t="s">
        <v>674</v>
      </c>
      <c r="B9" s="448"/>
      <c r="C9" s="448"/>
      <c r="D9" s="448"/>
      <c r="E9" s="104"/>
      <c r="F9" s="104"/>
    </row>
    <row r="10" spans="1:6" x14ac:dyDescent="0.2">
      <c r="A10" s="448"/>
      <c r="B10" s="448"/>
      <c r="C10" s="448"/>
      <c r="D10" s="448"/>
      <c r="E10" s="104"/>
      <c r="F10" s="104"/>
    </row>
    <row r="11" spans="1:6" x14ac:dyDescent="0.2">
      <c r="A11" s="448"/>
      <c r="B11" s="448"/>
      <c r="C11" s="448"/>
      <c r="D11" s="448"/>
      <c r="E11" s="104"/>
      <c r="F11" s="104"/>
    </row>
    <row r="12" spans="1:6" x14ac:dyDescent="0.2">
      <c r="A12" s="448"/>
      <c r="B12" s="448"/>
      <c r="C12" s="448"/>
      <c r="D12" s="448"/>
      <c r="E12" s="104"/>
      <c r="F12" s="104"/>
    </row>
    <row r="13" spans="1:6" x14ac:dyDescent="0.2">
      <c r="A13" s="448"/>
      <c r="B13" s="448"/>
      <c r="C13" s="448"/>
      <c r="D13" s="448"/>
      <c r="E13" s="104"/>
      <c r="F13" s="104"/>
    </row>
    <row r="14" spans="1:6" x14ac:dyDescent="0.2">
      <c r="A14" s="135"/>
      <c r="B14" s="135"/>
      <c r="C14" s="135"/>
      <c r="D14" s="135"/>
      <c r="E14" s="21"/>
      <c r="F14" s="21"/>
    </row>
    <row r="15" spans="1:6" x14ac:dyDescent="0.2">
      <c r="A15" s="135"/>
      <c r="B15" s="135"/>
      <c r="C15" s="135"/>
      <c r="D15" s="135"/>
      <c r="E15" s="21"/>
      <c r="F15" s="21"/>
    </row>
    <row r="16" spans="1:6" x14ac:dyDescent="0.2">
      <c r="A16" s="135"/>
      <c r="B16" s="135"/>
      <c r="C16" s="135"/>
      <c r="D16" s="135"/>
      <c r="E16" s="21"/>
      <c r="F16" s="21"/>
    </row>
    <row r="17" spans="1:6" x14ac:dyDescent="0.2">
      <c r="A17" s="136"/>
      <c r="B17" s="136"/>
      <c r="C17" s="137"/>
      <c r="D17" s="138"/>
      <c r="E17" s="21"/>
      <c r="F17" s="21"/>
    </row>
    <row r="18" spans="1:6" x14ac:dyDescent="0.2">
      <c r="A18" s="139"/>
      <c r="B18" s="139"/>
      <c r="C18" s="137"/>
      <c r="D18" s="138"/>
      <c r="E18" s="21"/>
      <c r="F18" s="21"/>
    </row>
    <row r="19" spans="1:6" x14ac:dyDescent="0.2">
      <c r="A19" s="136"/>
      <c r="B19" s="136"/>
      <c r="C19" s="140"/>
      <c r="D19" s="141"/>
      <c r="E19" s="21"/>
      <c r="F19" s="21"/>
    </row>
    <row r="20" spans="1:6" x14ac:dyDescent="0.2">
      <c r="A20" s="136"/>
      <c r="B20" s="136"/>
      <c r="C20" s="137"/>
      <c r="D20" s="138"/>
      <c r="E20" s="21"/>
      <c r="F20" s="21"/>
    </row>
    <row r="21" spans="1:6" x14ac:dyDescent="0.2">
      <c r="A21" s="142"/>
      <c r="B21" s="142"/>
      <c r="C21" s="21"/>
      <c r="D21" s="143"/>
      <c r="E21" s="21"/>
      <c r="F21" s="21"/>
    </row>
    <row r="22" spans="1:6" x14ac:dyDescent="0.2">
      <c r="A22" s="142"/>
      <c r="B22" s="142"/>
      <c r="C22" s="21"/>
      <c r="D22" s="143"/>
      <c r="E22" s="21"/>
      <c r="F22" s="21"/>
    </row>
    <row r="23" spans="1:6" x14ac:dyDescent="0.2">
      <c r="A23" s="144"/>
      <c r="B23" s="144"/>
      <c r="C23" s="21"/>
      <c r="D23" s="143"/>
      <c r="E23" s="21"/>
      <c r="F23" s="21"/>
    </row>
    <row r="24" spans="1:6" x14ac:dyDescent="0.2">
      <c r="A24" s="145"/>
      <c r="B24" s="145"/>
      <c r="C24" s="21"/>
      <c r="D24" s="143"/>
      <c r="E24" s="21"/>
      <c r="F24" s="21"/>
    </row>
    <row r="25" spans="1:6" x14ac:dyDescent="0.2">
      <c r="A25" s="21"/>
      <c r="B25" s="21"/>
      <c r="C25" s="140"/>
      <c r="D25" s="143"/>
      <c r="E25" s="21"/>
      <c r="F25" s="21"/>
    </row>
    <row r="26" spans="1:6" x14ac:dyDescent="0.2">
      <c r="A26" s="21"/>
      <c r="B26" s="21"/>
      <c r="C26" s="21"/>
      <c r="D26" s="21"/>
      <c r="E26" s="21"/>
      <c r="F26" s="21"/>
    </row>
    <row r="87" ht="16.149999999999999" customHeight="1" x14ac:dyDescent="0.2"/>
  </sheetData>
  <mergeCells count="1">
    <mergeCell ref="A7:F7"/>
  </mergeCells>
  <printOptions horizontalCentered="1"/>
  <pageMargins left="0.75" right="0.75" top="1" bottom="1" header="0.5" footer="0.5"/>
  <pageSetup firstPageNumber="19" fitToHeight="0"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K79"/>
  <sheetViews>
    <sheetView showGridLines="0" zoomScaleNormal="100" workbookViewId="0"/>
  </sheetViews>
  <sheetFormatPr defaultRowHeight="12.75" x14ac:dyDescent="0.2"/>
  <cols>
    <col min="1" max="1" width="46.28515625" style="16" customWidth="1"/>
    <col min="2" max="5" width="15.7109375" style="16" customWidth="1"/>
    <col min="6" max="6" width="12.42578125" style="16" bestFit="1" customWidth="1"/>
    <col min="7" max="7" width="10.42578125" style="16" bestFit="1" customWidth="1"/>
    <col min="8" max="16384" width="9.140625" style="16"/>
  </cols>
  <sheetData>
    <row r="1" spans="1:5" x14ac:dyDescent="0.2">
      <c r="A1" s="20"/>
      <c r="B1" s="20"/>
      <c r="C1" s="20"/>
      <c r="D1" s="49" t="s">
        <v>56</v>
      </c>
    </row>
    <row r="2" spans="1:5" x14ac:dyDescent="0.2">
      <c r="A2" s="472" t="s">
        <v>0</v>
      </c>
      <c r="B2" s="472"/>
      <c r="C2" s="472"/>
      <c r="D2" s="472"/>
      <c r="E2" s="371"/>
    </row>
    <row r="3" spans="1:5" x14ac:dyDescent="0.2">
      <c r="A3" s="472" t="s">
        <v>57</v>
      </c>
      <c r="B3" s="472"/>
      <c r="C3" s="472"/>
      <c r="D3" s="472"/>
      <c r="E3" s="371"/>
    </row>
    <row r="4" spans="1:5" x14ac:dyDescent="0.2">
      <c r="A4" s="473" t="s">
        <v>511</v>
      </c>
      <c r="B4" s="473"/>
      <c r="C4" s="473"/>
      <c r="D4" s="473"/>
      <c r="E4" s="371"/>
    </row>
    <row r="5" spans="1:5" x14ac:dyDescent="0.2">
      <c r="A5" s="20"/>
      <c r="B5" s="20"/>
      <c r="C5" s="20"/>
      <c r="D5" s="20"/>
      <c r="E5" s="20"/>
    </row>
    <row r="6" spans="1:5" ht="15" x14ac:dyDescent="0.35">
      <c r="A6" s="20"/>
      <c r="B6" s="462" t="s">
        <v>58</v>
      </c>
      <c r="C6" s="462"/>
      <c r="D6" s="462"/>
    </row>
    <row r="7" spans="1:5" ht="30" x14ac:dyDescent="0.35">
      <c r="A7" s="20"/>
      <c r="B7" s="196" t="s">
        <v>59</v>
      </c>
      <c r="C7" s="196" t="s">
        <v>60</v>
      </c>
      <c r="D7" s="196" t="s">
        <v>17</v>
      </c>
    </row>
    <row r="8" spans="1:5" x14ac:dyDescent="0.2">
      <c r="A8" s="372" t="s">
        <v>552</v>
      </c>
      <c r="B8" s="372"/>
      <c r="C8" s="372"/>
      <c r="D8" s="372"/>
    </row>
    <row r="9" spans="1:5" x14ac:dyDescent="0.2">
      <c r="A9" s="76" t="s">
        <v>61</v>
      </c>
      <c r="B9" s="381">
        <f>ROUND(387500+40000-(0.8*48500)-(0.8*27219)-(0.8*0.5*1260)-(0.8*50000)-(0.8*30000)-(560),0)</f>
        <v>301861</v>
      </c>
      <c r="C9" s="381">
        <f>ROUND(348444-(0.2*48500)-(0.2*27219)-(0.2*1260*0.5)-(0.2*50000)-(0.2*30000)-(140),0)</f>
        <v>317034</v>
      </c>
      <c r="D9" s="381">
        <f t="shared" ref="D9:D15" si="0">+B9+C9</f>
        <v>618895</v>
      </c>
    </row>
    <row r="10" spans="1:5" x14ac:dyDescent="0.2">
      <c r="A10" s="76" t="s">
        <v>62</v>
      </c>
      <c r="B10" s="373">
        <f>406472-15150-25000+(200000)</f>
        <v>566322</v>
      </c>
      <c r="C10" s="373">
        <v>143714</v>
      </c>
      <c r="D10" s="373">
        <f t="shared" si="0"/>
        <v>710036</v>
      </c>
    </row>
    <row r="11" spans="1:5" x14ac:dyDescent="0.2">
      <c r="A11" s="76" t="s">
        <v>655</v>
      </c>
      <c r="B11" s="373">
        <v>1430</v>
      </c>
      <c r="C11" s="373">
        <v>4500</v>
      </c>
      <c r="D11" s="373">
        <f t="shared" si="0"/>
        <v>5930</v>
      </c>
    </row>
    <row r="12" spans="1:5" ht="12.75" customHeight="1" x14ac:dyDescent="0.2">
      <c r="A12" s="76" t="s">
        <v>651</v>
      </c>
      <c r="B12" s="373">
        <f>ROUND((1821*0.8*0.5)-(453),0)</f>
        <v>275</v>
      </c>
      <c r="C12" s="373">
        <f>ROUND((0.2*1821*0.5)-(113),0)</f>
        <v>69</v>
      </c>
      <c r="D12" s="373">
        <f>SUM(B12:C12)</f>
        <v>344</v>
      </c>
      <c r="E12" s="56"/>
    </row>
    <row r="13" spans="1:5" x14ac:dyDescent="0.2">
      <c r="A13" s="76" t="s">
        <v>65</v>
      </c>
      <c r="B13" s="373">
        <v>7700</v>
      </c>
      <c r="C13" s="373">
        <v>-7700</v>
      </c>
      <c r="D13" s="373">
        <f t="shared" si="0"/>
        <v>0</v>
      </c>
    </row>
    <row r="14" spans="1:5" x14ac:dyDescent="0.2">
      <c r="A14" s="76" t="s">
        <v>66</v>
      </c>
      <c r="B14" s="373">
        <v>14200</v>
      </c>
      <c r="C14" s="373">
        <v>42660</v>
      </c>
      <c r="D14" s="373">
        <f t="shared" si="0"/>
        <v>56860</v>
      </c>
    </row>
    <row r="15" spans="1:5" x14ac:dyDescent="0.2">
      <c r="A15" s="76" t="s">
        <v>67</v>
      </c>
      <c r="B15" s="373">
        <v>11580</v>
      </c>
      <c r="C15" s="373">
        <v>0</v>
      </c>
      <c r="D15" s="373">
        <f t="shared" si="0"/>
        <v>11580</v>
      </c>
    </row>
    <row r="16" spans="1:5" x14ac:dyDescent="0.2">
      <c r="A16" s="375" t="s">
        <v>68</v>
      </c>
      <c r="B16" s="373"/>
      <c r="C16" s="373"/>
      <c r="D16" s="373"/>
    </row>
    <row r="17" spans="1:11" ht="12.75" customHeight="1" x14ac:dyDescent="0.2">
      <c r="A17" s="383" t="s">
        <v>653</v>
      </c>
      <c r="B17" s="373">
        <v>3857000</v>
      </c>
      <c r="C17" s="373">
        <v>0</v>
      </c>
      <c r="D17" s="373">
        <f>+B17+C17</f>
        <v>3857000</v>
      </c>
    </row>
    <row r="18" spans="1:11" ht="15" x14ac:dyDescent="0.2">
      <c r="A18" s="384" t="s">
        <v>69</v>
      </c>
      <c r="B18" s="374">
        <f>4302293+1100910+6001882</f>
        <v>11405085</v>
      </c>
      <c r="C18" s="374">
        <v>49170</v>
      </c>
      <c r="D18" s="374">
        <f>SUM(B18:C18)</f>
        <v>11454255</v>
      </c>
    </row>
    <row r="19" spans="1:11" ht="15" x14ac:dyDescent="0.2">
      <c r="A19" s="384" t="s">
        <v>70</v>
      </c>
      <c r="B19" s="374">
        <f>SUM(B17:B18)</f>
        <v>15262085</v>
      </c>
      <c r="C19" s="374">
        <f>SUM(C17:C18)</f>
        <v>49170</v>
      </c>
      <c r="D19" s="374">
        <f>SUM(D17:D18)</f>
        <v>15311255</v>
      </c>
    </row>
    <row r="20" spans="1:11" ht="15" x14ac:dyDescent="0.2">
      <c r="A20" s="385" t="s">
        <v>71</v>
      </c>
      <c r="B20" s="374">
        <f>B19+SUM(B9:B15)</f>
        <v>16165453</v>
      </c>
      <c r="C20" s="374">
        <f>C19+SUM(C9:C15)</f>
        <v>549447</v>
      </c>
      <c r="D20" s="374">
        <f>D19+SUM(D9:D15)</f>
        <v>16714900</v>
      </c>
    </row>
    <row r="21" spans="1:11" ht="8.1" customHeight="1" x14ac:dyDescent="0.2">
      <c r="A21" s="377"/>
      <c r="B21" s="378"/>
      <c r="C21" s="378"/>
      <c r="D21" s="378"/>
    </row>
    <row r="22" spans="1:11" hidden="1" x14ac:dyDescent="0.2">
      <c r="A22" s="375" t="s">
        <v>640</v>
      </c>
      <c r="B22" s="378">
        <f>ROUND(0.8*((38325-38325-1668+348+26105-5450+39000)+(-39000+25830-5102+7152-5551+129867-25973-7394-103894+45000)+(523-45523+2314-5102-26552-5551+171895+72020-34379-16040+46000+22095)+(6003-12232-97898-10652+48500-46000)+(23715+1331+37967+6848+50000-48500)),0)</f>
        <v>176042</v>
      </c>
      <c r="C22" s="378">
        <f>ROUND(0.25*B22,0)</f>
        <v>44011</v>
      </c>
      <c r="D22" s="378">
        <f>SUM(B22:C22)</f>
        <v>220053</v>
      </c>
      <c r="F22" s="56"/>
      <c r="G22" s="56"/>
      <c r="H22" s="56"/>
      <c r="K22" s="56"/>
    </row>
    <row r="23" spans="1:11" hidden="1" x14ac:dyDescent="0.2">
      <c r="A23" s="375" t="s">
        <v>641</v>
      </c>
      <c r="B23" s="378">
        <f>ROUND(0.8*(27219)+(0.8*(30000+118+57630-27219)),0)</f>
        <v>70198</v>
      </c>
      <c r="C23" s="378">
        <f>ROUND(0.2*27219+(0.2*(30000+118+57630-27219)),0)</f>
        <v>17550</v>
      </c>
      <c r="D23" s="378">
        <f>SUM(B23:C23)</f>
        <v>87748</v>
      </c>
      <c r="F23" s="56"/>
      <c r="G23" s="56"/>
      <c r="H23" s="56"/>
      <c r="K23" s="56"/>
    </row>
    <row r="24" spans="1:11" hidden="1" x14ac:dyDescent="0.2">
      <c r="A24" s="375" t="s">
        <v>642</v>
      </c>
      <c r="B24" s="378">
        <f>ROUND(0.8*(499+399+227+1260)*0.5+(378+65+92+126+560-504),0)</f>
        <v>1671</v>
      </c>
      <c r="C24" s="378">
        <f>ROUND(B24*0.25,0)</f>
        <v>418</v>
      </c>
      <c r="D24" s="378">
        <f>SUM(B24:C24)</f>
        <v>2089</v>
      </c>
      <c r="F24" s="56"/>
      <c r="G24" s="56"/>
      <c r="H24" s="56"/>
      <c r="K24" s="56"/>
    </row>
    <row r="25" spans="1:11" ht="15" x14ac:dyDescent="0.2">
      <c r="A25" s="382" t="s">
        <v>496</v>
      </c>
      <c r="B25" s="374">
        <f>SUM(B22:B24)</f>
        <v>247911</v>
      </c>
      <c r="C25" s="374">
        <f>SUM(C22:C24)</f>
        <v>61979</v>
      </c>
      <c r="D25" s="374">
        <f>SUM(D22:D24)</f>
        <v>309890</v>
      </c>
      <c r="F25" s="56"/>
      <c r="G25" s="56"/>
      <c r="H25" s="56"/>
      <c r="K25" s="56"/>
    </row>
    <row r="26" spans="1:11" ht="8.1" customHeight="1" x14ac:dyDescent="0.2">
      <c r="A26" s="377"/>
      <c r="B26" s="378"/>
      <c r="C26" s="378"/>
      <c r="D26" s="378"/>
      <c r="F26" s="56"/>
    </row>
    <row r="27" spans="1:11" x14ac:dyDescent="0.2">
      <c r="A27" s="372" t="s">
        <v>553</v>
      </c>
      <c r="B27" s="102"/>
      <c r="C27" s="102"/>
      <c r="D27" s="102"/>
      <c r="H27" s="56"/>
    </row>
    <row r="28" spans="1:11" x14ac:dyDescent="0.2">
      <c r="A28" s="76" t="s">
        <v>72</v>
      </c>
      <c r="B28" s="378">
        <v>80300</v>
      </c>
      <c r="C28" s="378">
        <v>5200</v>
      </c>
      <c r="D28" s="378">
        <f>SUM(B28:C28)</f>
        <v>85500</v>
      </c>
      <c r="F28" s="56"/>
    </row>
    <row r="29" spans="1:11" ht="12.75" customHeight="1" x14ac:dyDescent="0.2">
      <c r="A29" s="76" t="s">
        <v>73</v>
      </c>
      <c r="B29" s="378">
        <f>305000</f>
        <v>305000</v>
      </c>
      <c r="C29" s="378">
        <v>0</v>
      </c>
      <c r="D29" s="378">
        <f>SUM(B29:C29)</f>
        <v>305000</v>
      </c>
      <c r="G29" s="51"/>
    </row>
    <row r="30" spans="1:11" x14ac:dyDescent="0.2">
      <c r="A30" s="375" t="s">
        <v>74</v>
      </c>
      <c r="B30" s="378">
        <f>831</f>
        <v>831</v>
      </c>
      <c r="C30" s="378">
        <v>0</v>
      </c>
      <c r="D30" s="378">
        <f>SUM(B30:C30)</f>
        <v>831</v>
      </c>
    </row>
    <row r="31" spans="1:11" x14ac:dyDescent="0.2">
      <c r="A31" s="375" t="s">
        <v>75</v>
      </c>
      <c r="B31" s="378"/>
      <c r="C31" s="378"/>
      <c r="D31" s="378"/>
    </row>
    <row r="32" spans="1:11" x14ac:dyDescent="0.2">
      <c r="A32" s="384" t="s">
        <v>76</v>
      </c>
      <c r="B32" s="378">
        <f>109536-2000</f>
        <v>107536</v>
      </c>
      <c r="C32" s="378">
        <v>5000</v>
      </c>
      <c r="D32" s="378">
        <f>SUM(B32:C32)</f>
        <v>112536</v>
      </c>
    </row>
    <row r="33" spans="1:8" x14ac:dyDescent="0.2">
      <c r="A33" s="384" t="s">
        <v>77</v>
      </c>
      <c r="B33" s="378">
        <f>ROUND(0.8*((182131-38325-1668+26105-11847-169836+53655)+(-43612+7152-7394-11238+129867+33892)+(-45523+3317-7019-7854+171895+72020+43872)+(-102678)+(130292))-1,0)</f>
        <v>325762</v>
      </c>
      <c r="C33" s="378">
        <f>ROUND(0.25*B33,0)</f>
        <v>81441</v>
      </c>
      <c r="D33" s="378">
        <f>SUM(B33:C33)</f>
        <v>407203</v>
      </c>
    </row>
    <row r="34" spans="1:8" x14ac:dyDescent="0.2">
      <c r="A34" s="383" t="s">
        <v>652</v>
      </c>
      <c r="B34" s="378">
        <f>ROUND(0.8*(1204359)-(0.8*(110972)),0)</f>
        <v>874710</v>
      </c>
      <c r="C34" s="378">
        <f>ROUND(0.25*B34,0)</f>
        <v>218678</v>
      </c>
      <c r="D34" s="378">
        <f>SUM(B34:C34)</f>
        <v>1093388</v>
      </c>
    </row>
    <row r="35" spans="1:8" ht="15" x14ac:dyDescent="0.2">
      <c r="A35" s="384" t="s">
        <v>78</v>
      </c>
      <c r="B35" s="374">
        <f>24377-7840+164000+120000-54000-45696</f>
        <v>200841</v>
      </c>
      <c r="C35" s="374">
        <f>13016-5000</f>
        <v>8016</v>
      </c>
      <c r="D35" s="374">
        <f>SUM(B35:C35)</f>
        <v>208857</v>
      </c>
      <c r="F35" s="57"/>
    </row>
    <row r="36" spans="1:8" ht="15" x14ac:dyDescent="0.2">
      <c r="A36" s="385" t="s">
        <v>79</v>
      </c>
      <c r="B36" s="374">
        <f>SUM(B28:B35)</f>
        <v>1894980</v>
      </c>
      <c r="C36" s="374">
        <f>SUM(C28:C35)</f>
        <v>318335</v>
      </c>
      <c r="D36" s="374">
        <f>SUM(B36:C36)</f>
        <v>2213315</v>
      </c>
      <c r="F36" s="57"/>
    </row>
    <row r="37" spans="1:8" ht="8.1" customHeight="1" x14ac:dyDescent="0.2">
      <c r="A37" s="377"/>
      <c r="B37" s="378"/>
      <c r="C37" s="378"/>
      <c r="D37" s="378"/>
      <c r="F37" s="57"/>
    </row>
    <row r="38" spans="1:8" hidden="1" x14ac:dyDescent="0.2">
      <c r="A38" s="375" t="s">
        <v>646</v>
      </c>
      <c r="B38" s="378">
        <v>16100</v>
      </c>
      <c r="C38" s="378">
        <v>0</v>
      </c>
      <c r="D38" s="378">
        <f>SUM(B38:C38)</f>
        <v>16100</v>
      </c>
    </row>
    <row r="39" spans="1:8" hidden="1" x14ac:dyDescent="0.2">
      <c r="A39" s="375" t="s">
        <v>643</v>
      </c>
      <c r="B39" s="378">
        <f>ROUND(56250-15150-25000+0.8*((11847+169836-2473-33967)+(1667+24163-2913-40008+7394+11238-2438-7394-103894)+(-12811)+(-8881+26291)+(-4972-9642))-12880-3222,0)</f>
        <v>18432</v>
      </c>
      <c r="C39" s="378">
        <f>ROUND(0.2*((11847+169836-2473-33967)+(1667+24163-2913-40008+7394+11238-2438-7394-103894)+(-12811)+(-8881+26291)+(-4972-9642)-16101-1)+3222,0)</f>
        <v>4610</v>
      </c>
      <c r="D39" s="378">
        <f>SUM(B39:C39)</f>
        <v>23042</v>
      </c>
      <c r="G39" s="56"/>
      <c r="H39" s="56"/>
    </row>
    <row r="40" spans="1:8" hidden="1" x14ac:dyDescent="0.2">
      <c r="A40" s="375" t="s">
        <v>644</v>
      </c>
      <c r="B40" s="378">
        <f>ROUND(0.8*(86355+331675+448+5865)+(0.8*(-11584-448-1173+142005)),0)</f>
        <v>442514</v>
      </c>
      <c r="C40" s="378">
        <f>ROUND(0.2*(424343)+(0.2*(-11584-448-1173+142005)),0)</f>
        <v>110629</v>
      </c>
      <c r="D40" s="378">
        <f>SUM(B40:C40)</f>
        <v>553143</v>
      </c>
      <c r="G40" s="56"/>
      <c r="H40" s="56"/>
    </row>
    <row r="41" spans="1:8" hidden="1" x14ac:dyDescent="0.2">
      <c r="A41" s="375" t="s">
        <v>645</v>
      </c>
      <c r="B41" s="378">
        <v>0</v>
      </c>
      <c r="C41" s="378">
        <f>0</f>
        <v>0</v>
      </c>
      <c r="D41" s="378">
        <f>SUM(B41:C41)</f>
        <v>0</v>
      </c>
      <c r="G41" s="56"/>
      <c r="H41" s="56"/>
    </row>
    <row r="42" spans="1:8" ht="15" x14ac:dyDescent="0.2">
      <c r="A42" s="372" t="s">
        <v>499</v>
      </c>
      <c r="B42" s="374">
        <f>SUM(B38:B41)</f>
        <v>477046</v>
      </c>
      <c r="C42" s="374">
        <f>SUM(C38:C41)</f>
        <v>115239</v>
      </c>
      <c r="D42" s="374">
        <f>SUM(D38:D41)</f>
        <v>592285</v>
      </c>
    </row>
    <row r="43" spans="1:8" ht="8.1" customHeight="1" x14ac:dyDescent="0.2">
      <c r="A43" s="372"/>
      <c r="B43" s="374"/>
      <c r="C43" s="374"/>
      <c r="D43" s="374"/>
      <c r="G43" s="56"/>
    </row>
    <row r="44" spans="1:8" x14ac:dyDescent="0.2">
      <c r="A44" s="372" t="s">
        <v>561</v>
      </c>
      <c r="B44" s="378"/>
      <c r="C44" s="378"/>
      <c r="D44" s="378"/>
      <c r="F44" s="56"/>
    </row>
    <row r="45" spans="1:8" x14ac:dyDescent="0.2">
      <c r="A45" s="76" t="s">
        <v>80</v>
      </c>
      <c r="B45" s="378">
        <f>8159293-24377-164000+1100910+6001882</f>
        <v>15073708</v>
      </c>
      <c r="C45" s="378">
        <v>49170</v>
      </c>
      <c r="D45" s="378">
        <f>SUM(B45:C45)</f>
        <v>15122878</v>
      </c>
    </row>
    <row r="46" spans="1:8" x14ac:dyDescent="0.2">
      <c r="A46" s="76" t="s">
        <v>81</v>
      </c>
      <c r="B46" s="378"/>
      <c r="C46" s="378"/>
      <c r="D46" s="378"/>
      <c r="F46" s="58"/>
    </row>
    <row r="47" spans="1:8" x14ac:dyDescent="0.2">
      <c r="A47" s="383" t="s">
        <v>647</v>
      </c>
      <c r="B47" s="378">
        <v>100072</v>
      </c>
      <c r="C47" s="378">
        <v>0</v>
      </c>
      <c r="D47" s="378">
        <f>SUM(B47:C47)</f>
        <v>100072</v>
      </c>
    </row>
    <row r="48" spans="1:8" x14ac:dyDescent="0.2">
      <c r="A48" s="383" t="s">
        <v>153</v>
      </c>
      <c r="B48" s="378">
        <v>14650</v>
      </c>
      <c r="C48" s="378">
        <v>0</v>
      </c>
      <c r="D48" s="378">
        <f>SUM(B48:C48)</f>
        <v>14650</v>
      </c>
    </row>
    <row r="49" spans="1:7" x14ac:dyDescent="0.2">
      <c r="A49" s="383" t="s">
        <v>573</v>
      </c>
      <c r="B49" s="378">
        <v>226000</v>
      </c>
      <c r="C49" s="378">
        <v>0</v>
      </c>
      <c r="D49" s="378">
        <f>SUM(B49:C49)</f>
        <v>226000</v>
      </c>
    </row>
    <row r="50" spans="1:7" x14ac:dyDescent="0.2">
      <c r="A50" s="383" t="s">
        <v>654</v>
      </c>
      <c r="B50" s="378">
        <f>B12+B24-B41</f>
        <v>1946</v>
      </c>
      <c r="C50" s="378">
        <f>C12+C24-C41</f>
        <v>487</v>
      </c>
      <c r="D50" s="378">
        <f>SUM(B50:C50)</f>
        <v>2433</v>
      </c>
    </row>
    <row r="51" spans="1:7" ht="15" x14ac:dyDescent="0.2">
      <c r="A51" s="375" t="s">
        <v>82</v>
      </c>
      <c r="B51" s="374">
        <v>-1375038</v>
      </c>
      <c r="C51" s="374">
        <v>128195</v>
      </c>
      <c r="D51" s="374">
        <v>-1246843</v>
      </c>
    </row>
    <row r="52" spans="1:7" ht="15" x14ac:dyDescent="0.2">
      <c r="A52" s="385" t="s">
        <v>83</v>
      </c>
      <c r="B52" s="380">
        <f>SUM(B45:B51)</f>
        <v>14041338</v>
      </c>
      <c r="C52" s="380">
        <f>SUM(C45:C51)</f>
        <v>177852</v>
      </c>
      <c r="D52" s="380">
        <f>SUM(D45:D51)</f>
        <v>14219190</v>
      </c>
      <c r="F52" s="56"/>
      <c r="G52" s="56"/>
    </row>
    <row r="53" spans="1:7" ht="15" x14ac:dyDescent="0.2">
      <c r="A53" s="385"/>
      <c r="B53" s="380"/>
      <c r="C53" s="380"/>
      <c r="D53" s="380"/>
      <c r="F53" s="56"/>
      <c r="G53" s="56"/>
    </row>
    <row r="54" spans="1:7" ht="13.5" thickBot="1" x14ac:dyDescent="0.25">
      <c r="B54" s="56"/>
      <c r="C54" s="56"/>
      <c r="D54" s="56"/>
    </row>
    <row r="55" spans="1:7" ht="39.950000000000003" customHeight="1" thickBot="1" x14ac:dyDescent="0.25">
      <c r="A55" s="469" t="s">
        <v>656</v>
      </c>
      <c r="B55" s="470"/>
      <c r="C55" s="470"/>
      <c r="D55" s="471"/>
      <c r="E55" s="440"/>
    </row>
    <row r="56" spans="1:7" x14ac:dyDescent="0.2">
      <c r="A56" s="386"/>
      <c r="B56" s="386"/>
      <c r="C56" s="386"/>
      <c r="D56" s="386"/>
      <c r="E56" s="386"/>
    </row>
    <row r="57" spans="1:7" x14ac:dyDescent="0.2">
      <c r="A57" s="59"/>
      <c r="B57" s="59"/>
      <c r="C57" s="59"/>
      <c r="D57" s="59"/>
      <c r="E57" s="59"/>
    </row>
    <row r="58" spans="1:7" x14ac:dyDescent="0.2">
      <c r="A58" s="16" t="s">
        <v>84</v>
      </c>
    </row>
    <row r="60" spans="1:7" x14ac:dyDescent="0.2">
      <c r="A60" s="31"/>
      <c r="B60" s="56"/>
      <c r="C60" s="56"/>
      <c r="D60" s="56"/>
    </row>
    <row r="61" spans="1:7" x14ac:dyDescent="0.2">
      <c r="B61" s="57"/>
      <c r="C61" s="57"/>
      <c r="D61" s="57"/>
    </row>
    <row r="63" spans="1:7" x14ac:dyDescent="0.2">
      <c r="B63" s="56"/>
      <c r="C63" s="56"/>
      <c r="D63" s="56"/>
    </row>
    <row r="64" spans="1:7" ht="20.25" x14ac:dyDescent="0.55000000000000004">
      <c r="A64" s="280" t="s">
        <v>513</v>
      </c>
      <c r="B64" s="276"/>
      <c r="C64" s="276"/>
      <c r="D64" s="276"/>
    </row>
    <row r="65" spans="1:4" ht="31.5" x14ac:dyDescent="0.25">
      <c r="A65" s="278" t="s">
        <v>514</v>
      </c>
      <c r="B65" s="281" t="str">
        <f>IF(B20+B25-B36-B42-B52=0,"Yes",B20+B25-B36-B42-B52)</f>
        <v>Yes</v>
      </c>
      <c r="C65" s="281" t="str">
        <f>IF(C20+C25-C36-C42-C52=0,"Yes",C20+C25-C36-C42-C52)</f>
        <v>Yes</v>
      </c>
      <c r="D65" s="281" t="str">
        <f>IF(D20+D25-D36-D42-D52=0,"Yes",D20+D25-D36-D42-D52)</f>
        <v>Yes</v>
      </c>
    </row>
    <row r="66" spans="1:4" ht="31.5" x14ac:dyDescent="0.25">
      <c r="A66" s="279" t="s">
        <v>515</v>
      </c>
      <c r="B66" s="225" t="str">
        <f>IF(ROUND(B52,0)-ROUND(GWStmtAct!G56,0)=0,"Yes",B52-GWStmtAct!G56)</f>
        <v>Yes</v>
      </c>
      <c r="C66" s="225" t="str">
        <f>IF(ROUND(C52,0)-ROUND(GWStmtAct!H56,0)=0,"Yes",C52-GWStmtAct!H56)</f>
        <v>Yes</v>
      </c>
      <c r="D66" s="225" t="str">
        <f>IF(ROUND(D52,0)-ROUND(GWStmtAct!I56,0)=0,"Yes",D52-GWStmtAct!I56)</f>
        <v>Yes</v>
      </c>
    </row>
    <row r="67" spans="1:4" ht="15.75" x14ac:dyDescent="0.25">
      <c r="A67" s="279" t="s">
        <v>516</v>
      </c>
      <c r="B67" s="282" t="str">
        <f>IF(B9-GASB34GovtFundsBS!G10=0,"Yes",B9-GASB34GovtFundsBS!G10)</f>
        <v>Yes</v>
      </c>
      <c r="C67" s="282" t="str">
        <f>IF(C9-'Net Pos-Prop'!D12=0,"Yes",C9-'Net Pos-Prop'!D12)</f>
        <v>Yes</v>
      </c>
      <c r="D67" s="283"/>
    </row>
    <row r="68" spans="1:4" ht="15.75" x14ac:dyDescent="0.25">
      <c r="B68" s="304"/>
    </row>
    <row r="79" spans="1:4" x14ac:dyDescent="0.2">
      <c r="B79" s="20"/>
    </row>
  </sheetData>
  <mergeCells count="5">
    <mergeCell ref="B6:D6"/>
    <mergeCell ref="A55:D55"/>
    <mergeCell ref="A2:D2"/>
    <mergeCell ref="A3:D3"/>
    <mergeCell ref="A4:D4"/>
  </mergeCells>
  <conditionalFormatting sqref="B67:C67 B65:D66">
    <cfRule type="cellIs" dxfId="21" priority="1" operator="notEqual">
      <formula>"Yes"</formula>
    </cfRule>
  </conditionalFormatting>
  <printOptions horizontalCentered="1"/>
  <pageMargins left="0.5" right="0.5" top="0.5" bottom="0.5" header="0.5" footer="0.5"/>
  <pageSetup orientation="portrait" r:id="rId1"/>
  <ignoredErrors>
    <ignoredError sqref="D12" formula="1"/>
  </ignoredErrors>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66FFFF"/>
  </sheetPr>
  <dimension ref="A1:M141"/>
  <sheetViews>
    <sheetView showGridLines="0" zoomScaleNormal="100" zoomScalePageLayoutView="80" workbookViewId="0">
      <selection activeCell="E12" sqref="E12"/>
    </sheetView>
  </sheetViews>
  <sheetFormatPr defaultRowHeight="12.75" x14ac:dyDescent="0.2"/>
  <cols>
    <col min="1" max="4" width="1.7109375" style="51" customWidth="1"/>
    <col min="5" max="5" width="43.7109375" style="51" customWidth="1"/>
    <col min="6" max="8" width="12.7109375" style="51" customWidth="1"/>
    <col min="9" max="9" width="3.28515625" style="51" customWidth="1"/>
    <col min="10" max="16384" width="9.140625" style="51"/>
  </cols>
  <sheetData>
    <row r="1" spans="1:9" s="444" customFormat="1" x14ac:dyDescent="0.2">
      <c r="H1" s="438" t="s">
        <v>672</v>
      </c>
    </row>
    <row r="2" spans="1:9" s="114" customFormat="1" x14ac:dyDescent="0.2">
      <c r="A2" s="522" t="s">
        <v>0</v>
      </c>
      <c r="B2" s="522"/>
      <c r="C2" s="522"/>
      <c r="D2" s="522"/>
      <c r="E2" s="522"/>
      <c r="F2" s="522"/>
      <c r="G2" s="522"/>
      <c r="H2" s="522"/>
      <c r="I2" s="113"/>
    </row>
    <row r="3" spans="1:9" s="114" customFormat="1" x14ac:dyDescent="0.2">
      <c r="A3" s="522" t="s">
        <v>217</v>
      </c>
      <c r="B3" s="522"/>
      <c r="C3" s="522"/>
      <c r="D3" s="522"/>
      <c r="E3" s="522"/>
      <c r="F3" s="522"/>
      <c r="G3" s="522"/>
      <c r="H3" s="522"/>
      <c r="I3" s="269"/>
    </row>
    <row r="4" spans="1:9" s="114" customFormat="1" x14ac:dyDescent="0.2">
      <c r="A4" s="522" t="s">
        <v>309</v>
      </c>
      <c r="B4" s="522"/>
      <c r="C4" s="522"/>
      <c r="D4" s="522"/>
      <c r="E4" s="522"/>
      <c r="F4" s="522"/>
      <c r="G4" s="522"/>
      <c r="H4" s="522"/>
      <c r="I4" s="113"/>
    </row>
    <row r="5" spans="1:9" s="114" customFormat="1" x14ac:dyDescent="0.2">
      <c r="A5" s="522" t="s">
        <v>310</v>
      </c>
      <c r="B5" s="522"/>
      <c r="C5" s="522"/>
      <c r="D5" s="522"/>
      <c r="E5" s="522"/>
      <c r="F5" s="522"/>
      <c r="G5" s="522"/>
      <c r="H5" s="522"/>
      <c r="I5" s="113"/>
    </row>
    <row r="6" spans="1:9" s="114" customFormat="1" x14ac:dyDescent="0.2">
      <c r="A6" s="522" t="str">
        <f>GWStmtAct!A4</f>
        <v>For the Year Ended June 30, 2021</v>
      </c>
      <c r="B6" s="522"/>
      <c r="C6" s="522"/>
      <c r="D6" s="522"/>
      <c r="E6" s="522"/>
      <c r="F6" s="522"/>
      <c r="G6" s="522"/>
      <c r="H6" s="522"/>
      <c r="I6" s="113"/>
    </row>
    <row r="7" spans="1:9" x14ac:dyDescent="0.2">
      <c r="A7" s="521"/>
      <c r="B7" s="521"/>
      <c r="C7" s="521"/>
      <c r="D7" s="521"/>
      <c r="E7" s="443"/>
      <c r="F7" s="443"/>
      <c r="G7" s="151"/>
      <c r="H7" s="151"/>
      <c r="I7" s="151"/>
    </row>
    <row r="8" spans="1:9" x14ac:dyDescent="0.2">
      <c r="A8" s="152"/>
      <c r="B8" s="152"/>
      <c r="C8" s="152"/>
      <c r="D8" s="152"/>
      <c r="E8" s="152"/>
      <c r="F8" s="42"/>
      <c r="G8" s="16"/>
      <c r="H8" s="116" t="s">
        <v>311</v>
      </c>
    </row>
    <row r="9" spans="1:9" x14ac:dyDescent="0.2">
      <c r="A9" s="152"/>
      <c r="B9" s="152"/>
      <c r="C9" s="152"/>
      <c r="D9" s="152"/>
      <c r="E9" s="117"/>
      <c r="F9" s="447"/>
      <c r="G9" s="115"/>
      <c r="H9" s="118" t="s">
        <v>312</v>
      </c>
    </row>
    <row r="10" spans="1:9" ht="15" x14ac:dyDescent="0.35">
      <c r="A10" s="42"/>
      <c r="B10" s="152"/>
      <c r="C10" s="152"/>
      <c r="D10" s="152"/>
      <c r="E10" s="152"/>
      <c r="F10" s="253" t="s">
        <v>313</v>
      </c>
      <c r="G10" s="253" t="s">
        <v>314</v>
      </c>
      <c r="H10" s="253" t="s">
        <v>315</v>
      </c>
    </row>
    <row r="11" spans="1:9" x14ac:dyDescent="0.2">
      <c r="A11" s="445" t="s">
        <v>223</v>
      </c>
      <c r="B11" s="152"/>
      <c r="C11" s="152"/>
      <c r="D11" s="152"/>
      <c r="E11" s="152"/>
      <c r="F11" s="443"/>
      <c r="G11" s="119"/>
      <c r="H11" s="119"/>
    </row>
    <row r="12" spans="1:9" x14ac:dyDescent="0.2">
      <c r="A12" s="152"/>
      <c r="B12" s="152" t="s">
        <v>316</v>
      </c>
      <c r="C12" s="152"/>
      <c r="D12" s="152"/>
      <c r="E12" s="152"/>
      <c r="F12" s="447"/>
      <c r="G12" s="115"/>
      <c r="H12" s="115"/>
    </row>
    <row r="13" spans="1:9" ht="15" x14ac:dyDescent="0.35">
      <c r="A13" s="152"/>
      <c r="B13" s="152"/>
      <c r="C13" s="152" t="s">
        <v>172</v>
      </c>
      <c r="D13" s="152"/>
      <c r="E13" s="42"/>
      <c r="F13" s="459">
        <f>ROUND(685275+45000*0.8+0.8*27219+3304+(50000*0.8)+(30000*0.8)+(1400*0.8*0.5),0)</f>
        <v>810914</v>
      </c>
      <c r="G13" s="209">
        <f>35000+667640</f>
        <v>702640</v>
      </c>
      <c r="H13" s="209">
        <f>G13-F13</f>
        <v>-108274</v>
      </c>
      <c r="I13" s="57"/>
    </row>
    <row r="14" spans="1:9" ht="5.0999999999999996" customHeight="1" x14ac:dyDescent="0.2">
      <c r="F14" s="55"/>
      <c r="G14" s="55"/>
      <c r="H14" s="55"/>
    </row>
    <row r="15" spans="1:9" x14ac:dyDescent="0.2">
      <c r="B15" s="51" t="s">
        <v>317</v>
      </c>
      <c r="F15" s="55"/>
      <c r="G15" s="55"/>
      <c r="H15" s="55"/>
    </row>
    <row r="16" spans="1:9" x14ac:dyDescent="0.2">
      <c r="C16" s="51" t="s">
        <v>171</v>
      </c>
      <c r="F16" s="55">
        <f>1980000+30119059+20000+200000</f>
        <v>32319059</v>
      </c>
      <c r="G16" s="55">
        <f>1980000+30119059+20000+200000</f>
        <v>32319059</v>
      </c>
      <c r="H16" s="55">
        <f>F16-G16</f>
        <v>0</v>
      </c>
    </row>
    <row r="17" spans="1:9" ht="15" x14ac:dyDescent="0.35">
      <c r="C17" s="51" t="s">
        <v>172</v>
      </c>
      <c r="F17" s="195">
        <v>0</v>
      </c>
      <c r="G17" s="195">
        <v>1032</v>
      </c>
      <c r="H17" s="195">
        <f>G17-F17</f>
        <v>1032</v>
      </c>
    </row>
    <row r="18" spans="1:9" ht="15" x14ac:dyDescent="0.35">
      <c r="D18" s="51" t="s">
        <v>17</v>
      </c>
      <c r="F18" s="195">
        <f>SUM(F16:F17)</f>
        <v>32319059</v>
      </c>
      <c r="G18" s="195">
        <f>SUM(G16:G17)</f>
        <v>32320091</v>
      </c>
      <c r="H18" s="195">
        <f>SUM(H16:H17)</f>
        <v>1032</v>
      </c>
    </row>
    <row r="19" spans="1:9" ht="5.0999999999999996" customHeight="1" x14ac:dyDescent="0.2">
      <c r="H19" s="56"/>
    </row>
    <row r="20" spans="1:9" x14ac:dyDescent="0.2">
      <c r="B20" s="51" t="s">
        <v>318</v>
      </c>
      <c r="H20" s="56"/>
    </row>
    <row r="21" spans="1:9" x14ac:dyDescent="0.2">
      <c r="C21" s="51" t="s">
        <v>319</v>
      </c>
      <c r="F21" s="51">
        <f>12000+15000</f>
        <v>27000</v>
      </c>
      <c r="G21" s="51">
        <f>12000+9900</f>
        <v>21900</v>
      </c>
      <c r="H21" s="55">
        <f>G21-F21</f>
        <v>-5100</v>
      </c>
    </row>
    <row r="22" spans="1:9" x14ac:dyDescent="0.2">
      <c r="C22" s="51" t="s">
        <v>320</v>
      </c>
      <c r="F22" s="51">
        <v>6200</v>
      </c>
      <c r="G22" s="51">
        <v>6600</v>
      </c>
      <c r="H22" s="55">
        <v>400</v>
      </c>
    </row>
    <row r="23" spans="1:9" x14ac:dyDescent="0.2">
      <c r="C23" s="51" t="s">
        <v>321</v>
      </c>
      <c r="F23" s="51">
        <v>4800</v>
      </c>
      <c r="G23" s="51">
        <f>5000+40000</f>
        <v>45000</v>
      </c>
      <c r="H23" s="55">
        <f>G23-F23</f>
        <v>40200</v>
      </c>
    </row>
    <row r="24" spans="1:9" x14ac:dyDescent="0.2">
      <c r="C24" s="51" t="s">
        <v>322</v>
      </c>
      <c r="F24" s="51">
        <v>5200</v>
      </c>
      <c r="G24" s="51">
        <v>3438</v>
      </c>
      <c r="H24" s="55">
        <v>-1762</v>
      </c>
    </row>
    <row r="25" spans="1:9" x14ac:dyDescent="0.2">
      <c r="C25" s="51" t="s">
        <v>323</v>
      </c>
      <c r="F25" s="51">
        <f>4000-1500+468</f>
        <v>2968</v>
      </c>
      <c r="G25" s="51">
        <f>4000-1032</f>
        <v>2968</v>
      </c>
      <c r="H25" s="55">
        <f>G25-F25</f>
        <v>0</v>
      </c>
    </row>
    <row r="26" spans="1:9" ht="15" x14ac:dyDescent="0.35">
      <c r="C26" s="51" t="s">
        <v>324</v>
      </c>
      <c r="F26" s="195">
        <v>3600</v>
      </c>
      <c r="G26" s="195">
        <v>1900</v>
      </c>
      <c r="H26" s="195">
        <v>-1700</v>
      </c>
    </row>
    <row r="27" spans="1:9" ht="15" x14ac:dyDescent="0.35">
      <c r="D27" s="51" t="s">
        <v>17</v>
      </c>
      <c r="F27" s="195">
        <f>SUM(F21:F26)</f>
        <v>49768</v>
      </c>
      <c r="G27" s="195">
        <f>SUM(G21:G26)</f>
        <v>81806</v>
      </c>
      <c r="H27" s="195">
        <f>SUM(H21:H26)</f>
        <v>32038</v>
      </c>
    </row>
    <row r="28" spans="1:9" ht="5.0999999999999996" customHeight="1" x14ac:dyDescent="0.2">
      <c r="F28" s="55"/>
      <c r="G28" s="55"/>
      <c r="H28" s="37"/>
    </row>
    <row r="29" spans="1:9" ht="15" customHeight="1" x14ac:dyDescent="0.35">
      <c r="D29" s="114" t="s">
        <v>325</v>
      </c>
      <c r="E29" s="120"/>
      <c r="F29" s="260">
        <f>F13+F18+F27</f>
        <v>33179741</v>
      </c>
      <c r="G29" s="260">
        <f>G13+G18+G27</f>
        <v>33104537</v>
      </c>
      <c r="H29" s="260">
        <f>H13+H18+H27</f>
        <v>-75204</v>
      </c>
      <c r="I29" s="121"/>
    </row>
    <row r="30" spans="1:9" ht="5.0999999999999996" customHeight="1" x14ac:dyDescent="0.2"/>
    <row r="31" spans="1:9" x14ac:dyDescent="0.2">
      <c r="A31" s="114" t="s">
        <v>226</v>
      </c>
    </row>
    <row r="32" spans="1:9" x14ac:dyDescent="0.2">
      <c r="B32" s="51" t="s">
        <v>96</v>
      </c>
    </row>
    <row r="33" spans="3:8" x14ac:dyDescent="0.2">
      <c r="C33" s="51" t="s">
        <v>326</v>
      </c>
      <c r="G33" s="56"/>
    </row>
    <row r="34" spans="3:8" x14ac:dyDescent="0.2">
      <c r="D34" s="51" t="s">
        <v>327</v>
      </c>
      <c r="G34" s="122">
        <f>ROUND(599182+2500000+48500*0.8+27219*0.8+0.8*0.5*1260+(0.8*50000)+(0.8*30000)+560,0)</f>
        <v>3224821</v>
      </c>
      <c r="H34" s="122"/>
    </row>
    <row r="35" spans="3:8" ht="15" x14ac:dyDescent="0.35">
      <c r="C35" s="16"/>
      <c r="D35" s="51" t="s">
        <v>328</v>
      </c>
      <c r="F35" s="195" t="s">
        <v>151</v>
      </c>
      <c r="G35" s="256">
        <f>339160+2500000</f>
        <v>2839160</v>
      </c>
      <c r="H35" s="256" t="s">
        <v>151</v>
      </c>
    </row>
    <row r="36" spans="3:8" ht="15" x14ac:dyDescent="0.35">
      <c r="D36" s="16"/>
      <c r="E36" s="51" t="s">
        <v>17</v>
      </c>
      <c r="F36" s="195">
        <f>ROUND(939113+5000000+48500*0.8+0.8*27219+0.8*0.5*1260+(50000*0.8)+(30000*0.8)+(1400*0.8*0.5),0)</f>
        <v>6064752</v>
      </c>
      <c r="G36" s="256">
        <f>SUM(G34:G35)</f>
        <v>6063981</v>
      </c>
      <c r="H36" s="256">
        <f>F36-G36</f>
        <v>771</v>
      </c>
    </row>
    <row r="37" spans="3:8" ht="5.0999999999999996" customHeight="1" x14ac:dyDescent="0.2">
      <c r="G37" s="122"/>
      <c r="H37" s="122"/>
    </row>
    <row r="38" spans="3:8" x14ac:dyDescent="0.2">
      <c r="C38" s="51" t="s">
        <v>329</v>
      </c>
      <c r="G38" s="122"/>
      <c r="H38" s="122"/>
    </row>
    <row r="39" spans="3:8" x14ac:dyDescent="0.2">
      <c r="D39" s="51" t="s">
        <v>330</v>
      </c>
      <c r="G39" s="122">
        <f>78941+1250000</f>
        <v>1328941</v>
      </c>
      <c r="H39" s="122"/>
    </row>
    <row r="40" spans="3:8" x14ac:dyDescent="0.2">
      <c r="D40" s="51" t="s">
        <v>331</v>
      </c>
      <c r="G40" s="122">
        <f>54817+500000</f>
        <v>554817</v>
      </c>
      <c r="H40" s="122"/>
    </row>
    <row r="41" spans="3:8" ht="15" x14ac:dyDescent="0.35">
      <c r="D41" s="51" t="s">
        <v>332</v>
      </c>
      <c r="F41" s="195" t="s">
        <v>151</v>
      </c>
      <c r="G41" s="256">
        <f>12739+250000</f>
        <v>262739</v>
      </c>
      <c r="H41" s="256" t="s">
        <v>542</v>
      </c>
    </row>
    <row r="42" spans="3:8" ht="15" x14ac:dyDescent="0.35">
      <c r="E42" s="51" t="s">
        <v>17</v>
      </c>
      <c r="F42" s="195">
        <f>146900+2000000</f>
        <v>2146900</v>
      </c>
      <c r="G42" s="256">
        <f>SUM(G39:G41)</f>
        <v>2146497</v>
      </c>
      <c r="H42" s="256">
        <f>F42-G42</f>
        <v>403</v>
      </c>
    </row>
    <row r="43" spans="3:8" ht="5.0999999999999996" customHeight="1" x14ac:dyDescent="0.2">
      <c r="G43" s="122"/>
      <c r="H43" s="122"/>
    </row>
    <row r="44" spans="3:8" x14ac:dyDescent="0.2">
      <c r="C44" s="51" t="s">
        <v>333</v>
      </c>
      <c r="G44" s="122"/>
      <c r="H44" s="122"/>
    </row>
    <row r="45" spans="3:8" x14ac:dyDescent="0.2">
      <c r="D45" s="51" t="s">
        <v>334</v>
      </c>
      <c r="G45" s="122">
        <f>34689+1000000</f>
        <v>1034689</v>
      </c>
      <c r="H45" s="122"/>
    </row>
    <row r="46" spans="3:8" ht="15" x14ac:dyDescent="0.35">
      <c r="D46" s="51" t="s">
        <v>335</v>
      </c>
      <c r="F46" s="195" t="s">
        <v>151</v>
      </c>
      <c r="G46" s="256">
        <f>73214+1000000</f>
        <v>1073214</v>
      </c>
      <c r="H46" s="256" t="s">
        <v>151</v>
      </c>
    </row>
    <row r="47" spans="3:8" ht="15" x14ac:dyDescent="0.35">
      <c r="E47" s="51" t="s">
        <v>17</v>
      </c>
      <c r="F47" s="195">
        <f>108125+2000000+198968</f>
        <v>2307093</v>
      </c>
      <c r="G47" s="256">
        <f>SUM(G44:G46)</f>
        <v>2107903</v>
      </c>
      <c r="H47" s="256">
        <f>F47-G47</f>
        <v>199190</v>
      </c>
    </row>
    <row r="48" spans="3:8" ht="5.0999999999999996" customHeight="1" x14ac:dyDescent="0.2">
      <c r="G48" s="122"/>
      <c r="H48" s="122"/>
    </row>
    <row r="49" spans="2:8" ht="15" x14ac:dyDescent="0.35">
      <c r="C49" s="51" t="s">
        <v>336</v>
      </c>
      <c r="F49" s="195">
        <f>22975+1000000</f>
        <v>1022975</v>
      </c>
      <c r="G49" s="256">
        <f>22316+1000000</f>
        <v>1022316</v>
      </c>
      <c r="H49" s="256">
        <f>F49-G49</f>
        <v>659</v>
      </c>
    </row>
    <row r="50" spans="2:8" ht="5.0999999999999996" customHeight="1" x14ac:dyDescent="0.2">
      <c r="G50" s="122"/>
      <c r="H50" s="122"/>
    </row>
    <row r="51" spans="2:8" ht="15" x14ac:dyDescent="0.35">
      <c r="C51" s="51" t="s">
        <v>337</v>
      </c>
      <c r="F51" s="195">
        <f>38000+1000000</f>
        <v>1038000</v>
      </c>
      <c r="G51" s="256">
        <f>37981+1000000</f>
        <v>1037981</v>
      </c>
      <c r="H51" s="256">
        <f>F51-G51</f>
        <v>19</v>
      </c>
    </row>
    <row r="52" spans="2:8" s="270" customFormat="1" x14ac:dyDescent="0.2">
      <c r="B52" s="51"/>
      <c r="C52" s="51"/>
      <c r="D52" s="51"/>
      <c r="E52" s="51"/>
      <c r="F52" s="51"/>
      <c r="G52" s="51"/>
      <c r="H52" s="123" t="s">
        <v>51</v>
      </c>
    </row>
    <row r="53" spans="2:8" s="270" customFormat="1" x14ac:dyDescent="0.2">
      <c r="H53" s="123" t="s">
        <v>51</v>
      </c>
    </row>
    <row r="54" spans="2:8" s="270" customFormat="1" ht="5.0999999999999996" customHeight="1" x14ac:dyDescent="0.2"/>
    <row r="55" spans="2:8" s="270" customFormat="1" x14ac:dyDescent="0.2">
      <c r="F55" s="16"/>
      <c r="G55" s="16"/>
      <c r="H55" s="116" t="s">
        <v>311</v>
      </c>
    </row>
    <row r="56" spans="2:8" s="270" customFormat="1" x14ac:dyDescent="0.2">
      <c r="F56" s="115"/>
      <c r="G56" s="115"/>
      <c r="H56" s="118" t="s">
        <v>312</v>
      </c>
    </row>
    <row r="57" spans="2:8" s="270" customFormat="1" ht="15" x14ac:dyDescent="0.35">
      <c r="F57" s="253" t="s">
        <v>313</v>
      </c>
      <c r="G57" s="253" t="s">
        <v>314</v>
      </c>
      <c r="H57" s="253" t="s">
        <v>315</v>
      </c>
    </row>
    <row r="58" spans="2:8" x14ac:dyDescent="0.2">
      <c r="C58" s="51" t="s">
        <v>338</v>
      </c>
      <c r="G58" s="122"/>
      <c r="H58" s="122"/>
    </row>
    <row r="59" spans="2:8" ht="12.75" customHeight="1" x14ac:dyDescent="0.2">
      <c r="D59" s="51" t="s">
        <v>339</v>
      </c>
      <c r="G59" s="122">
        <f>34698+250000</f>
        <v>284698</v>
      </c>
      <c r="H59" s="122"/>
    </row>
    <row r="60" spans="2:8" x14ac:dyDescent="0.2">
      <c r="D60" s="51" t="s">
        <v>340</v>
      </c>
      <c r="G60" s="122">
        <f>15632+250000</f>
        <v>265632</v>
      </c>
      <c r="H60" s="122"/>
    </row>
    <row r="61" spans="2:8" x14ac:dyDescent="0.2">
      <c r="D61" s="51" t="s">
        <v>341</v>
      </c>
      <c r="G61" s="122">
        <f>15216+250000</f>
        <v>265216</v>
      </c>
      <c r="H61" s="122"/>
    </row>
    <row r="62" spans="2:8" ht="15" x14ac:dyDescent="0.35">
      <c r="D62" s="51" t="s">
        <v>342</v>
      </c>
      <c r="F62" s="195" t="s">
        <v>151</v>
      </c>
      <c r="G62" s="256">
        <f>29406+250000</f>
        <v>279406</v>
      </c>
      <c r="H62" s="256" t="s">
        <v>151</v>
      </c>
    </row>
    <row r="63" spans="2:8" ht="15" x14ac:dyDescent="0.35">
      <c r="E63" s="51" t="s">
        <v>17</v>
      </c>
      <c r="F63" s="195">
        <f>95000+1000000</f>
        <v>1095000</v>
      </c>
      <c r="G63" s="256">
        <f>SUM(G59:G62)</f>
        <v>1094952</v>
      </c>
      <c r="H63" s="256">
        <f>F63-G63</f>
        <v>48</v>
      </c>
    </row>
    <row r="64" spans="2:8" ht="5.0999999999999996" customHeight="1" x14ac:dyDescent="0.35">
      <c r="F64" s="55"/>
      <c r="G64" s="55"/>
      <c r="H64" s="195"/>
    </row>
    <row r="65" spans="2:13" x14ac:dyDescent="0.2">
      <c r="B65" s="51" t="s">
        <v>103</v>
      </c>
    </row>
    <row r="66" spans="2:13" x14ac:dyDescent="0.2">
      <c r="C66" s="51" t="s">
        <v>343</v>
      </c>
      <c r="G66" s="56"/>
    </row>
    <row r="67" spans="2:13" x14ac:dyDescent="0.2">
      <c r="D67" s="51" t="s">
        <v>344</v>
      </c>
      <c r="G67" s="51">
        <f>4689+500000</f>
        <v>504689</v>
      </c>
    </row>
    <row r="68" spans="2:13" ht="15" x14ac:dyDescent="0.35">
      <c r="D68" s="51" t="s">
        <v>345</v>
      </c>
      <c r="F68" s="195" t="s">
        <v>151</v>
      </c>
      <c r="G68" s="195">
        <f>10301+500000</f>
        <v>510301</v>
      </c>
      <c r="H68" s="195" t="s">
        <v>151</v>
      </c>
    </row>
    <row r="69" spans="2:13" ht="15" x14ac:dyDescent="0.35">
      <c r="E69" s="51" t="s">
        <v>17</v>
      </c>
      <c r="F69" s="195">
        <f>15000+1000000</f>
        <v>1015000</v>
      </c>
      <c r="G69" s="195">
        <f>SUM(G67:G68)</f>
        <v>1014990</v>
      </c>
      <c r="H69" s="256">
        <f>F69-G69</f>
        <v>10</v>
      </c>
    </row>
    <row r="70" spans="2:13" s="270" customFormat="1" ht="5.0999999999999996" customHeight="1" x14ac:dyDescent="0.2"/>
    <row r="71" spans="2:13" ht="15" x14ac:dyDescent="0.35">
      <c r="C71" s="51" t="s">
        <v>346</v>
      </c>
      <c r="F71" s="195">
        <f>60000+1000000</f>
        <v>1060000</v>
      </c>
      <c r="G71" s="195">
        <f>59684+1000000</f>
        <v>1059684</v>
      </c>
      <c r="H71" s="195">
        <f>F71-G71</f>
        <v>316</v>
      </c>
    </row>
    <row r="72" spans="2:13" ht="5.0999999999999996" customHeight="1" x14ac:dyDescent="0.2"/>
    <row r="73" spans="2:13" ht="32.1" customHeight="1" x14ac:dyDescent="0.35">
      <c r="C73" s="511" t="s">
        <v>347</v>
      </c>
      <c r="D73" s="511"/>
      <c r="E73" s="511"/>
      <c r="F73" s="195">
        <f>37000+1000000</f>
        <v>1037000</v>
      </c>
      <c r="G73" s="256">
        <f>36850+1000000</f>
        <v>1036850</v>
      </c>
      <c r="H73" s="256">
        <f>F73-G73</f>
        <v>150</v>
      </c>
    </row>
    <row r="74" spans="2:13" ht="5.0999999999999996" customHeight="1" x14ac:dyDescent="0.35">
      <c r="F74" s="55"/>
      <c r="G74" s="55"/>
      <c r="H74" s="195"/>
    </row>
    <row r="75" spans="2:13" ht="15" x14ac:dyDescent="0.35">
      <c r="C75" s="51" t="s">
        <v>348</v>
      </c>
      <c r="F75" s="195">
        <v>170000</v>
      </c>
      <c r="G75" s="195">
        <v>165487</v>
      </c>
      <c r="H75" s="195">
        <f>F75-G75</f>
        <v>4513</v>
      </c>
    </row>
    <row r="76" spans="2:13" ht="5.0999999999999996" customHeight="1" x14ac:dyDescent="0.2">
      <c r="F76" s="55"/>
      <c r="G76" s="55"/>
    </row>
    <row r="77" spans="2:13" x14ac:dyDescent="0.2">
      <c r="C77" s="51" t="s">
        <v>349</v>
      </c>
      <c r="H77" s="123"/>
    </row>
    <row r="78" spans="2:13" x14ac:dyDescent="0.2">
      <c r="D78" s="51" t="s">
        <v>350</v>
      </c>
      <c r="G78" s="51">
        <f>29477+1000000</f>
        <v>1029477</v>
      </c>
      <c r="M78" s="51" t="s">
        <v>151</v>
      </c>
    </row>
    <row r="79" spans="2:13" x14ac:dyDescent="0.2">
      <c r="D79" s="51" t="s">
        <v>351</v>
      </c>
      <c r="G79" s="51">
        <f>16050+1000000</f>
        <v>1016050</v>
      </c>
    </row>
    <row r="80" spans="2:13" x14ac:dyDescent="0.2">
      <c r="D80" s="51" t="s">
        <v>352</v>
      </c>
      <c r="G80" s="51">
        <f>67998+1000000</f>
        <v>1067998</v>
      </c>
    </row>
    <row r="81" spans="1:9" x14ac:dyDescent="0.2">
      <c r="D81" s="51" t="s">
        <v>353</v>
      </c>
      <c r="G81" s="51">
        <f>45681+500000</f>
        <v>545681</v>
      </c>
    </row>
    <row r="82" spans="1:9" ht="15" x14ac:dyDescent="0.35">
      <c r="D82" s="51" t="s">
        <v>354</v>
      </c>
      <c r="F82" s="195" t="s">
        <v>151</v>
      </c>
      <c r="G82" s="195">
        <f>133850+500000</f>
        <v>633850</v>
      </c>
      <c r="H82" s="195" t="s">
        <v>151</v>
      </c>
    </row>
    <row r="83" spans="1:9" ht="15" x14ac:dyDescent="0.35">
      <c r="D83" s="124" t="s">
        <v>355</v>
      </c>
      <c r="E83" s="51" t="s">
        <v>17</v>
      </c>
      <c r="F83" s="195">
        <f>300000+4000000</f>
        <v>4300000</v>
      </c>
      <c r="G83" s="195">
        <f>SUM(G78:G82)</f>
        <v>4293056</v>
      </c>
      <c r="H83" s="256">
        <f>F83-G83</f>
        <v>6944</v>
      </c>
    </row>
    <row r="84" spans="1:9" ht="5.0999999999999996" customHeight="1" x14ac:dyDescent="0.2">
      <c r="F84" s="55"/>
      <c r="G84" s="55"/>
      <c r="H84" s="55"/>
    </row>
    <row r="85" spans="1:9" x14ac:dyDescent="0.2">
      <c r="C85" s="51" t="s">
        <v>356</v>
      </c>
      <c r="F85" s="55"/>
      <c r="G85" s="55"/>
      <c r="H85" s="55"/>
    </row>
    <row r="86" spans="1:9" x14ac:dyDescent="0.2">
      <c r="D86" s="51" t="s">
        <v>357</v>
      </c>
      <c r="F86" s="55"/>
      <c r="G86" s="55">
        <f>245708+3500000</f>
        <v>3745708</v>
      </c>
      <c r="H86" s="55"/>
    </row>
    <row r="87" spans="1:9" ht="15" x14ac:dyDescent="0.35">
      <c r="D87" s="51" t="s">
        <v>358</v>
      </c>
      <c r="F87" s="195" t="s">
        <v>151</v>
      </c>
      <c r="G87" s="195">
        <f>35840+500000</f>
        <v>535840</v>
      </c>
      <c r="H87" s="195" t="s">
        <v>151</v>
      </c>
    </row>
    <row r="88" spans="1:9" ht="15" x14ac:dyDescent="0.35">
      <c r="E88" s="51" t="s">
        <v>17</v>
      </c>
      <c r="F88" s="195">
        <f>281000+4000000</f>
        <v>4281000</v>
      </c>
      <c r="G88" s="195">
        <f>SUM(G86:G87)</f>
        <v>4281548</v>
      </c>
      <c r="H88" s="256">
        <f>F88-G88</f>
        <v>-548</v>
      </c>
    </row>
    <row r="89" spans="1:9" ht="5.0999999999999996" customHeight="1" x14ac:dyDescent="0.35">
      <c r="A89" s="16"/>
      <c r="F89" s="253"/>
      <c r="G89" s="253"/>
      <c r="H89" s="253"/>
    </row>
    <row r="90" spans="1:9" x14ac:dyDescent="0.2">
      <c r="C90" s="51" t="s">
        <v>359</v>
      </c>
      <c r="F90" s="55"/>
      <c r="G90" s="125"/>
      <c r="H90" s="125"/>
      <c r="I90" s="55"/>
    </row>
    <row r="91" spans="1:9" x14ac:dyDescent="0.2">
      <c r="D91" s="51" t="s">
        <v>360</v>
      </c>
      <c r="F91" s="55"/>
      <c r="G91" s="125">
        <f>22431+60000</f>
        <v>82431</v>
      </c>
      <c r="H91" s="125"/>
      <c r="I91" s="55"/>
    </row>
    <row r="92" spans="1:9" ht="15" x14ac:dyDescent="0.35">
      <c r="D92" s="51" t="s">
        <v>361</v>
      </c>
      <c r="F92" s="195" t="s">
        <v>151</v>
      </c>
      <c r="G92" s="256">
        <f>15550+59059</f>
        <v>74609</v>
      </c>
      <c r="H92" s="256" t="s">
        <v>151</v>
      </c>
      <c r="I92" s="55"/>
    </row>
    <row r="93" spans="1:9" ht="15" x14ac:dyDescent="0.35">
      <c r="E93" s="51" t="s">
        <v>17</v>
      </c>
      <c r="F93" s="195">
        <f>38500+119059</f>
        <v>157559</v>
      </c>
      <c r="G93" s="256">
        <f>SUM(G91:G92)</f>
        <v>157040</v>
      </c>
      <c r="H93" s="256">
        <v>519</v>
      </c>
      <c r="I93" s="55"/>
    </row>
    <row r="94" spans="1:9" ht="5.0999999999999996" customHeight="1" x14ac:dyDescent="0.2">
      <c r="F94" s="55"/>
      <c r="G94" s="55"/>
      <c r="H94" s="55"/>
      <c r="I94" s="55"/>
    </row>
    <row r="95" spans="1:9" x14ac:dyDescent="0.2">
      <c r="C95" s="51" t="s">
        <v>362</v>
      </c>
      <c r="F95" s="55"/>
      <c r="G95" s="55"/>
      <c r="H95" s="55"/>
      <c r="I95" s="55"/>
    </row>
    <row r="96" spans="1:9" x14ac:dyDescent="0.2">
      <c r="D96" s="51" t="s">
        <v>363</v>
      </c>
      <c r="F96" s="55"/>
      <c r="G96" s="55">
        <f>36850+1000000</f>
        <v>1036850</v>
      </c>
      <c r="H96" s="55"/>
      <c r="I96" s="55"/>
    </row>
    <row r="97" spans="3:10" x14ac:dyDescent="0.2">
      <c r="D97" s="51" t="s">
        <v>364</v>
      </c>
      <c r="F97" s="55"/>
      <c r="G97" s="55">
        <f>45894+1000000</f>
        <v>1045894</v>
      </c>
      <c r="H97" s="55"/>
      <c r="I97" s="55"/>
    </row>
    <row r="98" spans="3:10" ht="15" x14ac:dyDescent="0.35">
      <c r="D98" s="51" t="s">
        <v>365</v>
      </c>
      <c r="F98" s="195" t="s">
        <v>151</v>
      </c>
      <c r="G98" s="195">
        <f>78452+1000000</f>
        <v>1078452</v>
      </c>
      <c r="H98" s="195" t="s">
        <v>151</v>
      </c>
      <c r="I98" s="55"/>
    </row>
    <row r="99" spans="3:10" ht="15" x14ac:dyDescent="0.35">
      <c r="E99" s="51" t="s">
        <v>17</v>
      </c>
      <c r="F99" s="195">
        <f>169962+3000000</f>
        <v>3169962</v>
      </c>
      <c r="G99" s="195">
        <f>SUM(G96:G98)</f>
        <v>3161196</v>
      </c>
      <c r="H99" s="256">
        <f>F99-G99</f>
        <v>8766</v>
      </c>
      <c r="I99" s="55"/>
    </row>
    <row r="100" spans="3:10" x14ac:dyDescent="0.2">
      <c r="F100" s="55"/>
      <c r="G100" s="55"/>
      <c r="H100" s="123" t="s">
        <v>51</v>
      </c>
      <c r="I100" s="55"/>
    </row>
    <row r="101" spans="3:10" s="270" customFormat="1" x14ac:dyDescent="0.2">
      <c r="H101" s="123" t="s">
        <v>51</v>
      </c>
      <c r="I101" s="55"/>
    </row>
    <row r="102" spans="3:10" s="270" customFormat="1" ht="5.0999999999999996" customHeight="1" x14ac:dyDescent="0.2">
      <c r="I102" s="55"/>
    </row>
    <row r="103" spans="3:10" s="270" customFormat="1" x14ac:dyDescent="0.2">
      <c r="F103" s="16"/>
      <c r="G103" s="16"/>
      <c r="H103" s="116" t="s">
        <v>311</v>
      </c>
      <c r="I103" s="55"/>
    </row>
    <row r="104" spans="3:10" s="270" customFormat="1" x14ac:dyDescent="0.2">
      <c r="F104" s="115"/>
      <c r="G104" s="115"/>
      <c r="H104" s="118" t="s">
        <v>312</v>
      </c>
      <c r="I104" s="55"/>
    </row>
    <row r="105" spans="3:10" s="270" customFormat="1" ht="15" x14ac:dyDescent="0.35">
      <c r="F105" s="253" t="s">
        <v>313</v>
      </c>
      <c r="G105" s="253" t="s">
        <v>314</v>
      </c>
      <c r="H105" s="253" t="s">
        <v>315</v>
      </c>
      <c r="I105" s="55"/>
    </row>
    <row r="106" spans="3:10" x14ac:dyDescent="0.2">
      <c r="C106" s="51" t="s">
        <v>366</v>
      </c>
      <c r="I106" s="55"/>
    </row>
    <row r="107" spans="3:10" x14ac:dyDescent="0.2">
      <c r="D107" s="51" t="s">
        <v>367</v>
      </c>
      <c r="F107" s="55"/>
      <c r="G107" s="55">
        <f>121026+35000+2000000</f>
        <v>2156026</v>
      </c>
      <c r="H107" s="55"/>
    </row>
    <row r="108" spans="3:10" x14ac:dyDescent="0.2">
      <c r="D108" s="51" t="s">
        <v>368</v>
      </c>
      <c r="F108" s="55"/>
      <c r="G108" s="55">
        <f>37799+500000</f>
        <v>537799</v>
      </c>
      <c r="H108" s="55"/>
    </row>
    <row r="109" spans="3:10" x14ac:dyDescent="0.2">
      <c r="D109" s="51" t="s">
        <v>369</v>
      </c>
      <c r="F109" s="55"/>
      <c r="G109" s="55">
        <f>48196+400000</f>
        <v>448196</v>
      </c>
      <c r="H109" s="55"/>
    </row>
    <row r="110" spans="3:10" ht="15" x14ac:dyDescent="0.35">
      <c r="D110" s="51" t="s">
        <v>370</v>
      </c>
      <c r="F110" s="195" t="s">
        <v>151</v>
      </c>
      <c r="G110" s="195">
        <f>12746+100000</f>
        <v>112746</v>
      </c>
      <c r="H110" s="195" t="s">
        <v>151</v>
      </c>
      <c r="I110" s="16"/>
      <c r="J110" s="16"/>
    </row>
    <row r="111" spans="3:10" ht="15" x14ac:dyDescent="0.35">
      <c r="E111" s="51" t="s">
        <v>17</v>
      </c>
      <c r="F111" s="195">
        <f>220000+3000000+35000</f>
        <v>3255000</v>
      </c>
      <c r="G111" s="195">
        <f>SUM(G107:G110)</f>
        <v>3254767</v>
      </c>
      <c r="H111" s="256">
        <f>F111-G111</f>
        <v>233</v>
      </c>
    </row>
    <row r="112" spans="3:10" ht="5.0999999999999996" customHeight="1" x14ac:dyDescent="0.35">
      <c r="F112" s="195"/>
    </row>
    <row r="113" spans="1:10" x14ac:dyDescent="0.2">
      <c r="B113" s="51" t="s">
        <v>371</v>
      </c>
      <c r="F113" s="55"/>
      <c r="G113" s="55"/>
      <c r="H113" s="55"/>
    </row>
    <row r="114" spans="1:10" x14ac:dyDescent="0.2">
      <c r="D114" s="51" t="s">
        <v>372</v>
      </c>
      <c r="F114" s="55"/>
      <c r="G114" s="55">
        <f>16000+30000+900000</f>
        <v>946000</v>
      </c>
      <c r="H114" s="55"/>
    </row>
    <row r="115" spans="1:10" ht="15" x14ac:dyDescent="0.35">
      <c r="D115" s="51" t="s">
        <v>373</v>
      </c>
      <c r="F115" s="195" t="s">
        <v>151</v>
      </c>
      <c r="G115" s="195">
        <f>2990+100000</f>
        <v>102990</v>
      </c>
      <c r="H115" s="195" t="s">
        <v>151</v>
      </c>
    </row>
    <row r="116" spans="1:10" ht="15" customHeight="1" x14ac:dyDescent="0.35">
      <c r="E116" s="51" t="s">
        <v>17</v>
      </c>
      <c r="F116" s="195">
        <f>19000+1030000</f>
        <v>1049000</v>
      </c>
      <c r="G116" s="195">
        <f>SUM(G114:G115)</f>
        <v>1048990</v>
      </c>
      <c r="H116" s="195">
        <v>10</v>
      </c>
    </row>
    <row r="117" spans="1:10" ht="5.0999999999999996" customHeight="1" x14ac:dyDescent="0.2">
      <c r="F117" s="55"/>
      <c r="G117" s="55"/>
      <c r="H117" s="55"/>
    </row>
    <row r="118" spans="1:10" x14ac:dyDescent="0.2">
      <c r="B118" s="51" t="s">
        <v>114</v>
      </c>
      <c r="J118" s="51" t="s">
        <v>151</v>
      </c>
    </row>
    <row r="119" spans="1:10" x14ac:dyDescent="0.2">
      <c r="D119" s="51" t="s">
        <v>374</v>
      </c>
      <c r="G119" s="51">
        <f>75000-65000</f>
        <v>10000</v>
      </c>
    </row>
    <row r="120" spans="1:10" ht="15" x14ac:dyDescent="0.35">
      <c r="D120" s="51" t="s">
        <v>375</v>
      </c>
      <c r="F120" s="195" t="s">
        <v>151</v>
      </c>
      <c r="G120" s="195">
        <v>363</v>
      </c>
      <c r="H120" s="195" t="s">
        <v>151</v>
      </c>
    </row>
    <row r="121" spans="1:10" ht="15" customHeight="1" x14ac:dyDescent="0.35">
      <c r="E121" s="51" t="s">
        <v>17</v>
      </c>
      <c r="F121" s="195">
        <v>10500</v>
      </c>
      <c r="G121" s="195">
        <f>SUM(G119:G120)</f>
        <v>10363</v>
      </c>
      <c r="H121" s="256">
        <f>F121-G121</f>
        <v>137</v>
      </c>
    </row>
    <row r="122" spans="1:10" ht="5.0999999999999996" customHeight="1" x14ac:dyDescent="0.2"/>
    <row r="123" spans="1:10" ht="15" x14ac:dyDescent="0.35">
      <c r="C123" s="114" t="s">
        <v>186</v>
      </c>
      <c r="F123" s="195">
        <f>F121+F116+F111+F99+F93+F88+F83+F75+F73+F71+F69+F63+F51+F49+F47+F42+F36</f>
        <v>33179741</v>
      </c>
      <c r="G123" s="195">
        <f>G121+G116+G111+G99+G93+G88+G83+G75+G73+G71+G69+G63+G51+G49+G47+G42+G36</f>
        <v>32957601</v>
      </c>
      <c r="H123" s="195">
        <f>H121+H116+H111+H99+H93+H88+H83+H75+H73+H71+H69+H63+H51+H49+H47+H42+H36</f>
        <v>222140</v>
      </c>
    </row>
    <row r="124" spans="1:10" ht="5.0999999999999996" customHeight="1" x14ac:dyDescent="0.2">
      <c r="H124" s="126"/>
    </row>
    <row r="125" spans="1:10" ht="15" x14ac:dyDescent="0.35">
      <c r="C125" s="114" t="s">
        <v>376</v>
      </c>
      <c r="D125" s="114"/>
      <c r="F125" s="257">
        <f>F29-F123</f>
        <v>0</v>
      </c>
      <c r="G125" s="51">
        <f>G29-G123</f>
        <v>146936</v>
      </c>
      <c r="H125" s="257">
        <f>H29+H123</f>
        <v>146936</v>
      </c>
    </row>
    <row r="126" spans="1:10" ht="5.0999999999999996" customHeight="1" x14ac:dyDescent="0.2"/>
    <row r="127" spans="1:10" x14ac:dyDescent="0.2">
      <c r="A127" s="114" t="s">
        <v>377</v>
      </c>
      <c r="G127" s="51">
        <v>26055</v>
      </c>
    </row>
    <row r="128" spans="1:10" ht="15" x14ac:dyDescent="0.35">
      <c r="B128" s="51" t="s">
        <v>378</v>
      </c>
      <c r="G128" s="195">
        <v>1200</v>
      </c>
    </row>
    <row r="129" spans="1:11" ht="15" x14ac:dyDescent="0.35">
      <c r="A129" s="114" t="s">
        <v>379</v>
      </c>
      <c r="G129" s="257">
        <f>G125+G127+G128</f>
        <v>174191</v>
      </c>
    </row>
    <row r="130" spans="1:11" ht="13.5" thickBot="1" x14ac:dyDescent="0.25">
      <c r="G130" s="55"/>
    </row>
    <row r="131" spans="1:11" ht="13.5" thickTop="1" x14ac:dyDescent="0.2">
      <c r="A131" s="16"/>
      <c r="B131" s="512" t="s">
        <v>380</v>
      </c>
      <c r="C131" s="513"/>
      <c r="D131" s="513"/>
      <c r="E131" s="513"/>
      <c r="F131" s="513"/>
      <c r="G131" s="513"/>
      <c r="H131" s="514"/>
    </row>
    <row r="132" spans="1:11" x14ac:dyDescent="0.2">
      <c r="B132" s="515"/>
      <c r="C132" s="516"/>
      <c r="D132" s="516"/>
      <c r="E132" s="516"/>
      <c r="F132" s="516"/>
      <c r="G132" s="516"/>
      <c r="H132" s="517"/>
    </row>
    <row r="133" spans="1:11" x14ac:dyDescent="0.2">
      <c r="B133" s="515"/>
      <c r="C133" s="516"/>
      <c r="D133" s="516"/>
      <c r="E133" s="516"/>
      <c r="F133" s="516"/>
      <c r="G133" s="516"/>
      <c r="H133" s="517"/>
    </row>
    <row r="134" spans="1:11" ht="13.5" thickBot="1" x14ac:dyDescent="0.25">
      <c r="B134" s="518"/>
      <c r="C134" s="519"/>
      <c r="D134" s="519"/>
      <c r="E134" s="519"/>
      <c r="F134" s="519"/>
      <c r="G134" s="519"/>
      <c r="H134" s="520"/>
    </row>
    <row r="135" spans="1:11" ht="13.5" thickTop="1" x14ac:dyDescent="0.2"/>
    <row r="137" spans="1:11" x14ac:dyDescent="0.2">
      <c r="K137" s="127"/>
    </row>
    <row r="138" spans="1:11" ht="20.25" x14ac:dyDescent="0.55000000000000004">
      <c r="C138" s="491" t="s">
        <v>513</v>
      </c>
      <c r="D138" s="491"/>
      <c r="E138" s="491"/>
    </row>
    <row r="139" spans="1:11" ht="15.75" x14ac:dyDescent="0.25">
      <c r="D139" s="295" t="s">
        <v>670</v>
      </c>
      <c r="E139" s="293"/>
      <c r="F139" s="296" t="str">
        <f>IF(F125=0,"Yes",F125)</f>
        <v>Yes</v>
      </c>
      <c r="G139" s="293"/>
      <c r="H139" s="293"/>
    </row>
    <row r="140" spans="1:11" ht="15.75" x14ac:dyDescent="0.25">
      <c r="D140" s="293" t="s">
        <v>540</v>
      </c>
      <c r="E140" s="293"/>
      <c r="F140" s="293"/>
      <c r="G140" s="297" t="str">
        <f>IF(G129-GASB34GovtFundsIS!D58=0,"Yes",G129-GASB34GovtFundsIS!D58)</f>
        <v>Yes</v>
      </c>
      <c r="H140" s="293"/>
    </row>
    <row r="141" spans="1:11" ht="15.75" x14ac:dyDescent="0.25">
      <c r="D141" s="293" t="s">
        <v>541</v>
      </c>
      <c r="E141" s="293"/>
      <c r="F141" s="293"/>
      <c r="G141" s="293"/>
      <c r="H141" s="297" t="str">
        <f>IF(H125-GASB34GovtFundsBudget!G57=0,"Yes",H125-GASB34GovtFundsBudget!G57)</f>
        <v>Yes</v>
      </c>
    </row>
  </sheetData>
  <mergeCells count="9">
    <mergeCell ref="C138:E138"/>
    <mergeCell ref="C73:E73"/>
    <mergeCell ref="B131:H134"/>
    <mergeCell ref="A7:D7"/>
    <mergeCell ref="A2:H2"/>
    <mergeCell ref="A3:H3"/>
    <mergeCell ref="A4:H4"/>
    <mergeCell ref="A5:H5"/>
    <mergeCell ref="A6:H6"/>
  </mergeCells>
  <conditionalFormatting sqref="G140 H141">
    <cfRule type="cellIs" dxfId="7" priority="2" operator="notEqual">
      <formula>"Yes"</formula>
    </cfRule>
  </conditionalFormatting>
  <conditionalFormatting sqref="F139">
    <cfRule type="cellIs" dxfId="6" priority="1" operator="notEqual">
      <formula>"Yes"</formula>
    </cfRule>
  </conditionalFormatting>
  <printOptions horizontalCentered="1"/>
  <pageMargins left="0.5" right="0.5" top="0.5" bottom="0.5" header="0.5" footer="0.5"/>
  <pageSetup firstPageNumber="19" fitToWidth="0" orientation="portrait" useFirstPageNumber="1" r:id="rId1"/>
  <headerFooter alignWithMargins="0"/>
  <rowBreaks count="2" manualBreakCount="2">
    <brk id="52" max="7" man="1"/>
    <brk id="100" max="7"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66FFFF"/>
  </sheetPr>
  <dimension ref="A1:F83"/>
  <sheetViews>
    <sheetView showGridLines="0" zoomScaleNormal="100" workbookViewId="0">
      <selection activeCell="E12" sqref="E12"/>
    </sheetView>
  </sheetViews>
  <sheetFormatPr defaultRowHeight="12" x14ac:dyDescent="0.2"/>
  <cols>
    <col min="1" max="2" width="1.7109375" style="36" customWidth="1"/>
    <col min="3" max="3" width="30.7109375" style="36" customWidth="1"/>
    <col min="4" max="6" width="12.7109375" style="36" customWidth="1"/>
    <col min="7" max="16384" width="9.140625" style="36"/>
  </cols>
  <sheetData>
    <row r="1" spans="1:6" ht="12.75" x14ac:dyDescent="0.2">
      <c r="E1" s="16"/>
      <c r="F1" s="68" t="s">
        <v>673</v>
      </c>
    </row>
    <row r="2" spans="1:6" s="146" customFormat="1" ht="12.75" x14ac:dyDescent="0.2">
      <c r="A2" s="472" t="s">
        <v>0</v>
      </c>
      <c r="B2" s="472"/>
      <c r="C2" s="472"/>
      <c r="D2" s="472"/>
      <c r="E2" s="472"/>
      <c r="F2" s="472"/>
    </row>
    <row r="3" spans="1:6" s="146" customFormat="1" ht="12.75" customHeight="1" x14ac:dyDescent="0.2">
      <c r="A3" s="523" t="s">
        <v>381</v>
      </c>
      <c r="B3" s="523"/>
      <c r="C3" s="523"/>
      <c r="D3" s="523"/>
      <c r="E3" s="523"/>
      <c r="F3" s="523"/>
    </row>
    <row r="4" spans="1:6" s="146" customFormat="1" ht="12.75" customHeight="1" x14ac:dyDescent="0.2">
      <c r="A4" s="522" t="s">
        <v>309</v>
      </c>
      <c r="B4" s="522"/>
      <c r="C4" s="522"/>
      <c r="D4" s="522"/>
      <c r="E4" s="522"/>
      <c r="F4" s="522"/>
    </row>
    <row r="5" spans="1:6" s="146" customFormat="1" ht="12.75" customHeight="1" x14ac:dyDescent="0.2">
      <c r="A5" s="522" t="s">
        <v>310</v>
      </c>
      <c r="B5" s="522"/>
      <c r="C5" s="522"/>
      <c r="D5" s="522"/>
      <c r="E5" s="522"/>
      <c r="F5" s="522"/>
    </row>
    <row r="6" spans="1:6" s="146" customFormat="1" ht="12.75" customHeight="1" x14ac:dyDescent="0.2">
      <c r="A6" s="522" t="str">
        <f>GWStmtAct!A4</f>
        <v>For the Year Ended June 30, 2021</v>
      </c>
      <c r="B6" s="522"/>
      <c r="C6" s="522"/>
      <c r="D6" s="522"/>
      <c r="E6" s="522"/>
      <c r="F6" s="522"/>
    </row>
    <row r="7" spans="1:6" ht="12.75" x14ac:dyDescent="0.2">
      <c r="A7" s="521"/>
      <c r="B7" s="521"/>
      <c r="C7" s="521"/>
      <c r="D7" s="521"/>
      <c r="E7" s="443"/>
      <c r="F7" s="443"/>
    </row>
    <row r="8" spans="1:6" ht="12.75" x14ac:dyDescent="0.2">
      <c r="A8" s="118"/>
      <c r="B8" s="118"/>
      <c r="C8" s="118"/>
      <c r="D8" s="42"/>
      <c r="E8" s="42"/>
      <c r="F8" s="116" t="s">
        <v>315</v>
      </c>
    </row>
    <row r="9" spans="1:6" ht="12.75" x14ac:dyDescent="0.2">
      <c r="A9" s="118"/>
      <c r="B9" s="118"/>
      <c r="C9" s="118"/>
      <c r="D9" s="42"/>
      <c r="E9" s="42"/>
      <c r="F9" s="116" t="s">
        <v>311</v>
      </c>
    </row>
    <row r="10" spans="1:6" ht="15" x14ac:dyDescent="0.35">
      <c r="A10" s="443"/>
      <c r="B10" s="443"/>
      <c r="C10" s="443"/>
      <c r="D10" s="254" t="s">
        <v>313</v>
      </c>
      <c r="E10" s="254" t="s">
        <v>314</v>
      </c>
      <c r="F10" s="254" t="s">
        <v>312</v>
      </c>
    </row>
    <row r="11" spans="1:6" ht="12.75" x14ac:dyDescent="0.2">
      <c r="A11" s="147" t="s">
        <v>223</v>
      </c>
      <c r="B11" s="152"/>
      <c r="C11" s="152"/>
      <c r="D11" s="152"/>
      <c r="E11" s="42"/>
      <c r="F11" s="42"/>
    </row>
    <row r="12" spans="1:6" ht="15" x14ac:dyDescent="0.35">
      <c r="A12" s="152"/>
      <c r="B12" s="147" t="s">
        <v>382</v>
      </c>
      <c r="C12" s="152"/>
      <c r="D12" s="457">
        <v>197924</v>
      </c>
      <c r="E12" s="458">
        <f>GASB34GovtFundsIS!H14</f>
        <v>197774</v>
      </c>
      <c r="F12" s="459">
        <f>E12-D12</f>
        <v>-150</v>
      </c>
    </row>
    <row r="13" spans="1:6" ht="15" x14ac:dyDescent="0.35">
      <c r="A13" s="42"/>
      <c r="B13" s="42"/>
      <c r="C13" s="42" t="s">
        <v>175</v>
      </c>
      <c r="D13" s="460">
        <f>D12</f>
        <v>197924</v>
      </c>
      <c r="E13" s="460">
        <f>E12</f>
        <v>197774</v>
      </c>
      <c r="F13" s="460">
        <f>F12</f>
        <v>-150</v>
      </c>
    </row>
    <row r="14" spans="1:6" ht="5.0999999999999996" customHeight="1" x14ac:dyDescent="0.2">
      <c r="A14" s="16"/>
      <c r="B14" s="16"/>
      <c r="C14" s="16"/>
      <c r="D14" s="16"/>
      <c r="E14" s="16"/>
      <c r="F14" s="16"/>
    </row>
    <row r="15" spans="1:6" ht="12.75" x14ac:dyDescent="0.2">
      <c r="A15" s="147" t="s">
        <v>226</v>
      </c>
      <c r="B15" s="51"/>
      <c r="C15" s="51"/>
      <c r="D15" s="51"/>
      <c r="E15" s="148"/>
      <c r="F15" s="148"/>
    </row>
    <row r="16" spans="1:6" ht="12.75" x14ac:dyDescent="0.2">
      <c r="A16" s="147"/>
      <c r="B16" s="147" t="s">
        <v>177</v>
      </c>
      <c r="C16" s="51"/>
      <c r="D16" s="270">
        <v>108677</v>
      </c>
      <c r="E16" s="272">
        <f>SUM(GASB34GovtFundsIS!H22:H23)</f>
        <v>134374</v>
      </c>
      <c r="F16" s="79">
        <f>D16-E16</f>
        <v>-25697</v>
      </c>
    </row>
    <row r="17" spans="1:6" ht="12.75" x14ac:dyDescent="0.2">
      <c r="A17" s="51"/>
      <c r="B17" s="51" t="s">
        <v>383</v>
      </c>
      <c r="C17" s="147"/>
      <c r="D17" s="270">
        <v>65847</v>
      </c>
      <c r="E17" s="272">
        <f>SUM(GASB34GovtFundsIS!H29:H37)</f>
        <v>40000</v>
      </c>
      <c r="F17" s="79">
        <f>D17-E17</f>
        <v>25847</v>
      </c>
    </row>
    <row r="18" spans="1:6" ht="12.75" x14ac:dyDescent="0.2">
      <c r="A18" s="51"/>
      <c r="B18" s="51" t="s">
        <v>113</v>
      </c>
      <c r="C18" s="51"/>
      <c r="D18" s="147">
        <v>0</v>
      </c>
      <c r="E18" s="79">
        <v>0</v>
      </c>
      <c r="F18" s="79">
        <f>D18-E18</f>
        <v>0</v>
      </c>
    </row>
    <row r="19" spans="1:6" ht="12.75" x14ac:dyDescent="0.2">
      <c r="A19" s="51"/>
      <c r="B19" s="51" t="s">
        <v>384</v>
      </c>
      <c r="C19" s="51"/>
      <c r="D19" s="147">
        <v>0</v>
      </c>
      <c r="E19" s="79">
        <v>0</v>
      </c>
      <c r="F19" s="79">
        <f>D19-E19</f>
        <v>0</v>
      </c>
    </row>
    <row r="20" spans="1:6" ht="15" x14ac:dyDescent="0.35">
      <c r="A20" s="16"/>
      <c r="B20" s="51" t="s">
        <v>114</v>
      </c>
      <c r="C20" s="16"/>
      <c r="D20" s="195">
        <v>23400</v>
      </c>
      <c r="E20" s="207">
        <v>23400</v>
      </c>
      <c r="F20" s="207">
        <f>D20-E20</f>
        <v>0</v>
      </c>
    </row>
    <row r="21" spans="1:6" ht="15" x14ac:dyDescent="0.35">
      <c r="A21" s="16"/>
      <c r="B21" s="16"/>
      <c r="C21" s="16" t="s">
        <v>186</v>
      </c>
      <c r="D21" s="259">
        <f>SUM(D16:D20)</f>
        <v>197924</v>
      </c>
      <c r="E21" s="259">
        <f>SUM(E16:E20)</f>
        <v>197774</v>
      </c>
      <c r="F21" s="259">
        <f>SUM(F16:F20)</f>
        <v>150</v>
      </c>
    </row>
    <row r="22" spans="1:6" ht="5.0999999999999996" customHeight="1" x14ac:dyDescent="0.35">
      <c r="A22" s="16"/>
      <c r="B22" s="16"/>
      <c r="C22" s="16"/>
      <c r="D22" s="16"/>
      <c r="E22" s="149"/>
      <c r="F22" s="255"/>
    </row>
    <row r="23" spans="1:6" ht="15" x14ac:dyDescent="0.35">
      <c r="A23" s="147" t="s">
        <v>192</v>
      </c>
      <c r="B23" s="51"/>
      <c r="C23" s="51"/>
      <c r="D23" s="208">
        <f>+D13-D21</f>
        <v>0</v>
      </c>
      <c r="E23" s="79">
        <f>+E13-E21</f>
        <v>0</v>
      </c>
      <c r="F23" s="208">
        <f>+F13+F21</f>
        <v>0</v>
      </c>
    </row>
    <row r="24" spans="1:6" ht="5.0999999999999996" customHeight="1" x14ac:dyDescent="0.2">
      <c r="A24" s="16"/>
      <c r="B24" s="16"/>
      <c r="C24" s="16"/>
      <c r="D24" s="16"/>
      <c r="E24" s="16"/>
      <c r="F24" s="149"/>
    </row>
    <row r="25" spans="1:6" ht="15" x14ac:dyDescent="0.35">
      <c r="A25" s="147" t="s">
        <v>377</v>
      </c>
      <c r="B25" s="147"/>
      <c r="C25" s="51"/>
      <c r="D25" s="78"/>
      <c r="E25" s="207">
        <v>0</v>
      </c>
      <c r="F25" s="16"/>
    </row>
    <row r="26" spans="1:6" ht="15" x14ac:dyDescent="0.35">
      <c r="A26" s="147" t="s">
        <v>379</v>
      </c>
      <c r="B26" s="147"/>
      <c r="C26" s="51"/>
      <c r="D26" s="78"/>
      <c r="E26" s="257">
        <f>+E23+E25</f>
        <v>0</v>
      </c>
      <c r="F26" s="16"/>
    </row>
    <row r="27" spans="1:6" ht="12.75" x14ac:dyDescent="0.2">
      <c r="A27" s="16"/>
      <c r="B27" s="16"/>
      <c r="C27" s="16"/>
      <c r="D27" s="16"/>
      <c r="E27" s="16"/>
      <c r="F27" s="16"/>
    </row>
    <row r="28" spans="1:6" ht="12.75" thickBot="1" x14ac:dyDescent="0.25"/>
    <row r="29" spans="1:6" ht="41.25" customHeight="1" thickBot="1" x14ac:dyDescent="0.25">
      <c r="B29" s="524" t="s">
        <v>543</v>
      </c>
      <c r="C29" s="525"/>
      <c r="D29" s="525"/>
      <c r="E29" s="525"/>
      <c r="F29" s="526"/>
    </row>
    <row r="30" spans="1:6" ht="14.45" customHeight="1" x14ac:dyDescent="0.2">
      <c r="B30" s="442"/>
      <c r="C30" s="442"/>
      <c r="D30" s="442"/>
      <c r="E30" s="442"/>
    </row>
    <row r="34" spans="2:6" ht="20.25" x14ac:dyDescent="0.55000000000000004">
      <c r="B34" s="491" t="s">
        <v>513</v>
      </c>
      <c r="C34" s="491"/>
      <c r="D34" s="491"/>
      <c r="E34" s="276"/>
      <c r="F34" s="276"/>
    </row>
    <row r="35" spans="2:6" ht="15.75" x14ac:dyDescent="0.25">
      <c r="B35" s="276"/>
      <c r="C35" s="295" t="s">
        <v>670</v>
      </c>
      <c r="D35" s="296" t="str">
        <f>IF(D23=0,"Yes",D23)</f>
        <v>Yes</v>
      </c>
      <c r="E35" s="276"/>
      <c r="F35" s="276"/>
    </row>
    <row r="36" spans="2:6" ht="15.75" x14ac:dyDescent="0.25">
      <c r="B36" s="276"/>
      <c r="C36" s="293" t="s">
        <v>540</v>
      </c>
      <c r="D36" s="293"/>
      <c r="E36" s="297" t="str">
        <f>IF(E26-GASB34GovtFundsIS!H58=0,"Yes",E26-GASB34GovtFundsIS!H58)</f>
        <v>Yes</v>
      </c>
      <c r="F36" s="276"/>
    </row>
    <row r="37" spans="2:6" ht="15.75" x14ac:dyDescent="0.25">
      <c r="B37" s="276"/>
      <c r="C37" s="293"/>
      <c r="D37" s="293"/>
      <c r="E37" s="293"/>
      <c r="F37" s="276"/>
    </row>
    <row r="83" ht="16.149999999999999" customHeight="1" x14ac:dyDescent="0.2"/>
  </sheetData>
  <mergeCells count="8">
    <mergeCell ref="B34:D34"/>
    <mergeCell ref="A2:F2"/>
    <mergeCell ref="A3:F3"/>
    <mergeCell ref="A4:F4"/>
    <mergeCell ref="A5:F5"/>
    <mergeCell ref="A6:F6"/>
    <mergeCell ref="B29:F29"/>
    <mergeCell ref="A7:D7"/>
  </mergeCells>
  <conditionalFormatting sqref="E36">
    <cfRule type="cellIs" dxfId="5" priority="2" operator="notEqual">
      <formula>"Yes"</formula>
    </cfRule>
  </conditionalFormatting>
  <conditionalFormatting sqref="D35">
    <cfRule type="cellIs" dxfId="4" priority="1" operator="notEqual">
      <formula>"Yes"</formula>
    </cfRule>
  </conditionalFormatting>
  <printOptions horizontalCentered="1"/>
  <pageMargins left="0.75" right="0.75" top="1" bottom="1" header="0.5" footer="0.5"/>
  <pageSetup firstPageNumber="19" fitToHeight="0" orientation="portrait" useFirstPageNumber="1" r:id="rId1"/>
  <headerFooter alignWithMargins="0"/>
  <ignoredErrors>
    <ignoredError sqref="E16" formulaRange="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66FFFF"/>
  </sheetPr>
  <dimension ref="A1:I79"/>
  <sheetViews>
    <sheetView showGridLines="0" zoomScale="85" zoomScaleNormal="85" workbookViewId="0">
      <selection activeCell="E12" sqref="E12"/>
    </sheetView>
  </sheetViews>
  <sheetFormatPr defaultRowHeight="12.75" x14ac:dyDescent="0.2"/>
  <cols>
    <col min="1" max="3" width="1.7109375" style="51" customWidth="1"/>
    <col min="4" max="4" width="15.7109375" style="51" customWidth="1"/>
    <col min="5" max="5" width="19.7109375" style="51" customWidth="1"/>
    <col min="6" max="6" width="13.85546875" style="51" customWidth="1"/>
    <col min="7" max="9" width="12.7109375" style="51" customWidth="1"/>
    <col min="10" max="10" width="9.140625" style="51"/>
    <col min="11" max="11" width="12.7109375" style="51" customWidth="1"/>
    <col min="12" max="16384" width="9.140625" style="51"/>
  </cols>
  <sheetData>
    <row r="1" spans="1:9" s="444" customFormat="1" x14ac:dyDescent="0.2">
      <c r="I1" s="438" t="s">
        <v>667</v>
      </c>
    </row>
    <row r="2" spans="1:9" s="114" customFormat="1" x14ac:dyDescent="0.2">
      <c r="A2" s="113" t="s">
        <v>0</v>
      </c>
      <c r="B2" s="113"/>
      <c r="C2" s="113"/>
      <c r="D2" s="113"/>
      <c r="E2" s="113"/>
      <c r="F2" s="113"/>
      <c r="G2" s="113"/>
      <c r="H2" s="113"/>
      <c r="I2" s="113"/>
    </row>
    <row r="3" spans="1:9" s="114" customFormat="1" x14ac:dyDescent="0.2">
      <c r="A3" s="113" t="s">
        <v>385</v>
      </c>
      <c r="B3" s="113"/>
      <c r="C3" s="113"/>
      <c r="D3" s="113"/>
      <c r="E3" s="113"/>
      <c r="F3" s="113"/>
      <c r="G3" s="113"/>
      <c r="H3" s="113"/>
      <c r="I3" s="113"/>
    </row>
    <row r="4" spans="1:9" s="114" customFormat="1" x14ac:dyDescent="0.2">
      <c r="A4" s="113" t="s">
        <v>386</v>
      </c>
      <c r="B4" s="113"/>
      <c r="C4" s="113"/>
      <c r="D4" s="113"/>
      <c r="E4" s="113"/>
      <c r="F4" s="113"/>
      <c r="G4" s="113"/>
      <c r="H4" s="113"/>
      <c r="I4" s="113"/>
    </row>
    <row r="5" spans="1:9" s="114" customFormat="1" x14ac:dyDescent="0.2">
      <c r="A5" s="113" t="s">
        <v>310</v>
      </c>
      <c r="B5" s="113"/>
      <c r="C5" s="113"/>
      <c r="D5" s="113"/>
      <c r="E5" s="113"/>
      <c r="F5" s="113"/>
      <c r="G5" s="113"/>
      <c r="H5" s="113"/>
      <c r="I5" s="113"/>
    </row>
    <row r="6" spans="1:9" s="114" customFormat="1" x14ac:dyDescent="0.2">
      <c r="A6" s="113" t="str">
        <f>GWStmtAct!A4</f>
        <v>For the Year Ended June 30, 2021</v>
      </c>
      <c r="B6" s="113"/>
      <c r="C6" s="113"/>
      <c r="D6" s="113"/>
      <c r="E6" s="113"/>
      <c r="F6" s="113"/>
      <c r="G6" s="113"/>
      <c r="H6" s="113"/>
      <c r="I6" s="113"/>
    </row>
    <row r="7" spans="1:9" x14ac:dyDescent="0.2">
      <c r="A7" s="521"/>
      <c r="B7" s="521"/>
      <c r="C7" s="521"/>
      <c r="D7" s="521"/>
      <c r="E7" s="443"/>
      <c r="F7" s="443"/>
      <c r="G7" s="151"/>
      <c r="H7" s="151"/>
      <c r="I7" s="151"/>
    </row>
    <row r="8" spans="1:9" x14ac:dyDescent="0.2">
      <c r="A8" s="152"/>
      <c r="B8" s="152"/>
      <c r="C8" s="152"/>
      <c r="D8" s="152"/>
      <c r="E8" s="152"/>
      <c r="F8" s="152"/>
      <c r="G8" s="150"/>
      <c r="H8" s="151"/>
      <c r="I8" s="119" t="s">
        <v>315</v>
      </c>
    </row>
    <row r="9" spans="1:9" x14ac:dyDescent="0.2">
      <c r="A9" s="152"/>
      <c r="B9" s="152"/>
      <c r="C9" s="152"/>
      <c r="D9" s="152"/>
      <c r="E9" s="152"/>
      <c r="F9" s="152"/>
      <c r="G9" s="150"/>
      <c r="H9" s="151"/>
      <c r="I9" s="151" t="s">
        <v>311</v>
      </c>
    </row>
    <row r="10" spans="1:9" ht="15" x14ac:dyDescent="0.35">
      <c r="A10" s="152"/>
      <c r="B10" s="152"/>
      <c r="C10" s="152"/>
      <c r="D10" s="152"/>
      <c r="E10" s="152"/>
      <c r="F10" s="152"/>
      <c r="G10" s="253" t="s">
        <v>313</v>
      </c>
      <c r="H10" s="253" t="s">
        <v>314</v>
      </c>
      <c r="I10" s="253" t="s">
        <v>312</v>
      </c>
    </row>
    <row r="11" spans="1:9" x14ac:dyDescent="0.2">
      <c r="A11" s="152" t="s">
        <v>223</v>
      </c>
      <c r="B11" s="152"/>
      <c r="C11" s="152"/>
      <c r="D11" s="152"/>
      <c r="E11" s="152"/>
      <c r="F11" s="152"/>
    </row>
    <row r="12" spans="1:9" x14ac:dyDescent="0.2">
      <c r="A12" s="152"/>
      <c r="B12" s="152" t="s">
        <v>316</v>
      </c>
      <c r="C12" s="152"/>
      <c r="D12" s="152"/>
      <c r="E12" s="152"/>
      <c r="F12" s="152"/>
    </row>
    <row r="13" spans="1:9" x14ac:dyDescent="0.2">
      <c r="A13" s="152"/>
      <c r="B13" s="152"/>
      <c r="C13" s="152" t="s">
        <v>387</v>
      </c>
      <c r="D13" s="152"/>
      <c r="E13" s="152"/>
      <c r="F13" s="152"/>
      <c r="G13" s="50">
        <f>197000-39400</f>
        <v>157600</v>
      </c>
      <c r="H13" s="50">
        <f>302000-60400</f>
        <v>241600</v>
      </c>
      <c r="I13" s="50">
        <f>H13-G13</f>
        <v>84000</v>
      </c>
    </row>
    <row r="14" spans="1:9" x14ac:dyDescent="0.2">
      <c r="C14" s="51" t="s">
        <v>388</v>
      </c>
      <c r="D14" s="16"/>
      <c r="G14" s="55">
        <v>15000</v>
      </c>
      <c r="H14" s="55">
        <v>14000</v>
      </c>
      <c r="I14" s="55">
        <f>H14-G14</f>
        <v>-1000</v>
      </c>
    </row>
    <row r="15" spans="1:9" x14ac:dyDescent="0.2">
      <c r="C15" s="51" t="s">
        <v>389</v>
      </c>
      <c r="D15" s="16"/>
      <c r="E15" s="16"/>
      <c r="F15" s="16"/>
      <c r="G15" s="37">
        <v>63000</v>
      </c>
      <c r="H15" s="37">
        <v>59000</v>
      </c>
      <c r="I15" s="55">
        <f>H15-G15</f>
        <v>-4000</v>
      </c>
    </row>
    <row r="16" spans="1:9" x14ac:dyDescent="0.2">
      <c r="C16" s="16" t="s">
        <v>390</v>
      </c>
      <c r="E16" s="16"/>
      <c r="F16" s="16"/>
      <c r="G16" s="37">
        <v>39400</v>
      </c>
      <c r="H16" s="37">
        <v>60400</v>
      </c>
      <c r="I16" s="55">
        <f>H16-G16</f>
        <v>21000</v>
      </c>
    </row>
    <row r="17" spans="1:9" ht="15" x14ac:dyDescent="0.35">
      <c r="C17" s="51" t="s">
        <v>391</v>
      </c>
      <c r="D17" s="16"/>
      <c r="E17" s="16"/>
      <c r="F17" s="16"/>
      <c r="G17" s="241">
        <v>36000</v>
      </c>
      <c r="H17" s="241">
        <v>36000</v>
      </c>
      <c r="I17" s="195">
        <f>H17-G17</f>
        <v>0</v>
      </c>
    </row>
    <row r="18" spans="1:9" ht="15" x14ac:dyDescent="0.35">
      <c r="D18" s="51" t="s">
        <v>392</v>
      </c>
      <c r="G18" s="195">
        <f>SUM(G13:G17)</f>
        <v>311000</v>
      </c>
      <c r="H18" s="195">
        <f>SUM(H13:H17)</f>
        <v>411000</v>
      </c>
      <c r="I18" s="195">
        <f>SUM(I13:I17)</f>
        <v>100000</v>
      </c>
    </row>
    <row r="19" spans="1:9" ht="5.0999999999999996" customHeight="1" x14ac:dyDescent="0.2"/>
    <row r="20" spans="1:9" x14ac:dyDescent="0.2">
      <c r="B20" s="51" t="s">
        <v>317</v>
      </c>
    </row>
    <row r="21" spans="1:9" x14ac:dyDescent="0.2">
      <c r="C21" s="51" t="s">
        <v>393</v>
      </c>
      <c r="G21" s="56"/>
      <c r="H21" s="56"/>
      <c r="I21" s="56"/>
    </row>
    <row r="22" spans="1:9" x14ac:dyDescent="0.2">
      <c r="C22" s="16" t="s">
        <v>394</v>
      </c>
      <c r="D22" s="16"/>
      <c r="E22" s="16"/>
      <c r="F22" s="16"/>
      <c r="G22" s="51">
        <v>1075000</v>
      </c>
      <c r="H22" s="51">
        <v>1200000</v>
      </c>
      <c r="I22" s="51">
        <f>H22-G22</f>
        <v>125000</v>
      </c>
    </row>
    <row r="23" spans="1:9" x14ac:dyDescent="0.2">
      <c r="C23" s="51" t="s">
        <v>395</v>
      </c>
      <c r="G23" s="51">
        <v>149480</v>
      </c>
      <c r="H23" s="51">
        <v>184600</v>
      </c>
      <c r="I23" s="51">
        <f>H23-G23</f>
        <v>35120</v>
      </c>
    </row>
    <row r="24" spans="1:9" ht="15" x14ac:dyDescent="0.35">
      <c r="C24" s="51" t="s">
        <v>396</v>
      </c>
      <c r="G24" s="195">
        <f>163075+950000+6001882</f>
        <v>7114957</v>
      </c>
      <c r="H24" s="195">
        <f>163075+950000+6001882</f>
        <v>7114957</v>
      </c>
      <c r="I24" s="195">
        <f>H24-G24</f>
        <v>0</v>
      </c>
    </row>
    <row r="25" spans="1:9" ht="15" x14ac:dyDescent="0.35">
      <c r="D25" s="51" t="s">
        <v>397</v>
      </c>
      <c r="G25" s="195">
        <f>SUM(G22:G24)</f>
        <v>8339437</v>
      </c>
      <c r="H25" s="195">
        <f>SUM(H22:H24)</f>
        <v>8499557</v>
      </c>
      <c r="I25" s="195">
        <f>SUM(I22:I24)</f>
        <v>160120</v>
      </c>
    </row>
    <row r="26" spans="1:9" ht="5.0999999999999996" customHeight="1" x14ac:dyDescent="0.2">
      <c r="B26" s="16"/>
    </row>
    <row r="27" spans="1:9" ht="15" x14ac:dyDescent="0.35">
      <c r="D27" s="51" t="s">
        <v>175</v>
      </c>
      <c r="G27" s="195">
        <f>G18+G25</f>
        <v>8650437</v>
      </c>
      <c r="H27" s="195">
        <f>H18+H25</f>
        <v>8910557</v>
      </c>
      <c r="I27" s="195">
        <f>I18+I25</f>
        <v>260120</v>
      </c>
    </row>
    <row r="28" spans="1:9" ht="5.0999999999999996" customHeight="1" x14ac:dyDescent="0.2">
      <c r="A28" s="16"/>
    </row>
    <row r="29" spans="1:9" x14ac:dyDescent="0.2">
      <c r="A29" s="51" t="s">
        <v>226</v>
      </c>
      <c r="B29" s="16"/>
    </row>
    <row r="30" spans="1:9" x14ac:dyDescent="0.2">
      <c r="B30" s="16" t="s">
        <v>227</v>
      </c>
    </row>
    <row r="31" spans="1:9" x14ac:dyDescent="0.2">
      <c r="B31" s="16"/>
      <c r="C31" s="51" t="s">
        <v>398</v>
      </c>
    </row>
    <row r="32" spans="1:9" x14ac:dyDescent="0.2">
      <c r="C32" s="16"/>
      <c r="D32" s="51" t="s">
        <v>399</v>
      </c>
      <c r="E32" s="16"/>
      <c r="F32" s="16"/>
      <c r="H32" s="152">
        <f>61000+2001882</f>
        <v>2062882</v>
      </c>
      <c r="I32" s="55"/>
    </row>
    <row r="33" spans="1:9" x14ac:dyDescent="0.2">
      <c r="C33" s="16"/>
      <c r="D33" s="51" t="s">
        <v>400</v>
      </c>
      <c r="H33" s="51">
        <f>812071+2000000</f>
        <v>2812071</v>
      </c>
      <c r="I33" s="55"/>
    </row>
    <row r="34" spans="1:9" x14ac:dyDescent="0.2">
      <c r="C34" s="16"/>
      <c r="D34" s="51" t="s">
        <v>401</v>
      </c>
      <c r="H34" s="51">
        <v>30000</v>
      </c>
      <c r="I34" s="55"/>
    </row>
    <row r="35" spans="1:9" x14ac:dyDescent="0.2">
      <c r="D35" s="51" t="s">
        <v>402</v>
      </c>
      <c r="H35" s="51">
        <f>874400-7000-60400+2000000</f>
        <v>2807000</v>
      </c>
      <c r="I35" s="55"/>
    </row>
    <row r="36" spans="1:9" x14ac:dyDescent="0.2">
      <c r="D36" s="51" t="s">
        <v>403</v>
      </c>
      <c r="H36" s="51">
        <v>30400</v>
      </c>
      <c r="I36" s="55"/>
    </row>
    <row r="37" spans="1:9" ht="15" x14ac:dyDescent="0.35">
      <c r="D37" s="51" t="s">
        <v>404</v>
      </c>
      <c r="G37" s="195" t="s">
        <v>151</v>
      </c>
      <c r="H37" s="195">
        <v>950000</v>
      </c>
      <c r="I37" s="195" t="s">
        <v>151</v>
      </c>
    </row>
    <row r="38" spans="1:9" ht="13.5" customHeight="1" x14ac:dyDescent="0.35">
      <c r="D38" s="51" t="s">
        <v>405</v>
      </c>
      <c r="G38" s="195">
        <f>1549480-7000+950000+6001882</f>
        <v>8494362</v>
      </c>
      <c r="H38" s="195">
        <f>SUM(H32:H37)</f>
        <v>8692353</v>
      </c>
      <c r="I38" s="195">
        <f>G38-H38</f>
        <v>-197991</v>
      </c>
    </row>
    <row r="39" spans="1:9" ht="5.0999999999999996" customHeight="1" x14ac:dyDescent="0.2">
      <c r="I39" s="55"/>
    </row>
    <row r="40" spans="1:9" x14ac:dyDescent="0.2">
      <c r="C40" s="51" t="s">
        <v>406</v>
      </c>
      <c r="I40" s="55"/>
    </row>
    <row r="41" spans="1:9" ht="15" x14ac:dyDescent="0.35">
      <c r="B41" s="16"/>
      <c r="D41" s="51" t="s">
        <v>402</v>
      </c>
      <c r="G41" s="195">
        <v>216000</v>
      </c>
      <c r="H41" s="195">
        <v>214000</v>
      </c>
      <c r="I41" s="195">
        <v>2000</v>
      </c>
    </row>
    <row r="42" spans="1:9" ht="15" x14ac:dyDescent="0.35">
      <c r="B42" s="16"/>
      <c r="D42" s="51" t="s">
        <v>407</v>
      </c>
      <c r="G42" s="195">
        <v>216000</v>
      </c>
      <c r="H42" s="195">
        <v>214000</v>
      </c>
      <c r="I42" s="195">
        <f>G42-H42</f>
        <v>2000</v>
      </c>
    </row>
    <row r="43" spans="1:9" ht="5.0999999999999996" customHeight="1" x14ac:dyDescent="0.35">
      <c r="B43" s="16"/>
      <c r="I43" s="195"/>
    </row>
    <row r="44" spans="1:9" x14ac:dyDescent="0.2">
      <c r="A44" s="16"/>
      <c r="B44" s="16"/>
      <c r="C44" s="51" t="s">
        <v>408</v>
      </c>
      <c r="G44" s="55"/>
      <c r="H44" s="55"/>
      <c r="I44" s="55"/>
    </row>
    <row r="45" spans="1:9" ht="15" x14ac:dyDescent="0.35">
      <c r="A45" s="16"/>
      <c r="B45" s="16"/>
      <c r="D45" s="51" t="s">
        <v>409</v>
      </c>
      <c r="G45" s="195">
        <f>103000+7000</f>
        <v>110000</v>
      </c>
      <c r="H45" s="195">
        <f>101000+7000</f>
        <v>108000</v>
      </c>
      <c r="I45" s="195">
        <f>G45-H45</f>
        <v>2000</v>
      </c>
    </row>
    <row r="46" spans="1:9" ht="5.0999999999999996" customHeight="1" x14ac:dyDescent="0.2">
      <c r="A46" s="16"/>
      <c r="B46" s="16"/>
      <c r="G46" s="55"/>
      <c r="H46" s="55"/>
      <c r="I46" s="55"/>
    </row>
    <row r="47" spans="1:9" x14ac:dyDescent="0.2">
      <c r="A47" s="16"/>
      <c r="B47" s="16"/>
      <c r="C47" s="51" t="s">
        <v>180</v>
      </c>
      <c r="G47" s="55"/>
      <c r="H47" s="55"/>
      <c r="I47" s="55"/>
    </row>
    <row r="48" spans="1:9" x14ac:dyDescent="0.2">
      <c r="A48" s="16"/>
      <c r="B48" s="16"/>
      <c r="D48" s="51" t="s">
        <v>181</v>
      </c>
      <c r="G48" s="55">
        <f>11975+36000</f>
        <v>47975</v>
      </c>
      <c r="H48" s="55">
        <f>11975+36000</f>
        <v>47975</v>
      </c>
      <c r="I48" s="55">
        <f>G48-H48</f>
        <v>0</v>
      </c>
    </row>
    <row r="49" spans="1:9" ht="15" x14ac:dyDescent="0.35">
      <c r="A49" s="16"/>
      <c r="B49" s="16"/>
      <c r="D49" s="51" t="s">
        <v>410</v>
      </c>
      <c r="G49" s="195">
        <v>1100</v>
      </c>
      <c r="H49" s="195">
        <v>1100</v>
      </c>
      <c r="I49" s="195">
        <f>G49-H49</f>
        <v>0</v>
      </c>
    </row>
    <row r="50" spans="1:9" ht="15" x14ac:dyDescent="0.35">
      <c r="A50" s="16"/>
      <c r="B50" s="16"/>
      <c r="G50" s="195">
        <f>SUM(G48:G49)</f>
        <v>49075</v>
      </c>
      <c r="H50" s="195">
        <f>SUM(H48:H49)</f>
        <v>49075</v>
      </c>
      <c r="I50" s="195">
        <f>H50-G50</f>
        <v>0</v>
      </c>
    </row>
    <row r="51" spans="1:9" ht="5.25" customHeight="1" x14ac:dyDescent="0.2">
      <c r="A51" s="16"/>
      <c r="B51" s="16"/>
      <c r="G51" s="55"/>
      <c r="H51" s="55"/>
      <c r="I51" s="55"/>
    </row>
    <row r="52" spans="1:9" ht="15.95" customHeight="1" x14ac:dyDescent="0.35">
      <c r="D52" s="51" t="s">
        <v>186</v>
      </c>
      <c r="G52" s="195">
        <f>G38+G42+G45+G50</f>
        <v>8869437</v>
      </c>
      <c r="H52" s="195">
        <f>H38+H42+H45+H50</f>
        <v>9063428</v>
      </c>
      <c r="I52" s="195">
        <f>G52-H52</f>
        <v>-193991</v>
      </c>
    </row>
    <row r="53" spans="1:9" ht="6" customHeight="1" x14ac:dyDescent="0.2">
      <c r="A53" s="16"/>
    </row>
    <row r="54" spans="1:9" ht="15" x14ac:dyDescent="0.35">
      <c r="A54" s="51" t="s">
        <v>411</v>
      </c>
      <c r="G54" s="195">
        <f>G27-G52</f>
        <v>-219000</v>
      </c>
      <c r="H54" s="195">
        <f>H27-H52</f>
        <v>-152871</v>
      </c>
      <c r="I54" s="195">
        <f>I27+I52</f>
        <v>66129</v>
      </c>
    </row>
    <row r="55" spans="1:9" ht="6" customHeight="1" x14ac:dyDescent="0.35">
      <c r="G55" s="55"/>
      <c r="H55" s="55"/>
      <c r="I55" s="195"/>
    </row>
    <row r="56" spans="1:9" x14ac:dyDescent="0.2">
      <c r="G56" s="55"/>
      <c r="H56" s="55"/>
      <c r="I56" s="123" t="s">
        <v>51</v>
      </c>
    </row>
    <row r="57" spans="1:9" x14ac:dyDescent="0.2">
      <c r="A57" s="51" t="s">
        <v>412</v>
      </c>
      <c r="G57" s="55"/>
      <c r="H57" s="55"/>
      <c r="I57" s="55"/>
    </row>
    <row r="58" spans="1:9" x14ac:dyDescent="0.2">
      <c r="B58" s="51" t="s">
        <v>189</v>
      </c>
      <c r="G58" s="55">
        <v>200000</v>
      </c>
      <c r="H58" s="55">
        <v>200000</v>
      </c>
      <c r="I58" s="55">
        <f>G58-H58</f>
        <v>0</v>
      </c>
    </row>
    <row r="59" spans="1:9" ht="15" x14ac:dyDescent="0.35">
      <c r="B59" s="51" t="s">
        <v>190</v>
      </c>
      <c r="G59" s="195">
        <v>19000</v>
      </c>
      <c r="H59" s="195">
        <v>19000</v>
      </c>
      <c r="I59" s="195">
        <f>G59-H59</f>
        <v>0</v>
      </c>
    </row>
    <row r="60" spans="1:9" ht="15" x14ac:dyDescent="0.35">
      <c r="D60" s="51" t="s">
        <v>413</v>
      </c>
      <c r="G60" s="195">
        <v>219000</v>
      </c>
      <c r="H60" s="195">
        <f>SUM(H58:H59)</f>
        <v>219000</v>
      </c>
      <c r="I60" s="195">
        <f>H60-G60</f>
        <v>0</v>
      </c>
    </row>
    <row r="61" spans="1:9" ht="5.0999999999999996" customHeight="1" x14ac:dyDescent="0.2">
      <c r="D61" s="16"/>
      <c r="G61" s="56"/>
      <c r="H61" s="56"/>
      <c r="I61" s="56"/>
    </row>
    <row r="62" spans="1:9" ht="15" x14ac:dyDescent="0.35">
      <c r="A62" s="51" t="s">
        <v>192</v>
      </c>
      <c r="G62" s="198">
        <f>+G54+G60</f>
        <v>0</v>
      </c>
      <c r="H62" s="55">
        <f>H60+H54</f>
        <v>66129</v>
      </c>
      <c r="I62" s="198">
        <f>+I54+I60</f>
        <v>66129</v>
      </c>
    </row>
    <row r="63" spans="1:9" ht="5.0999999999999996" customHeight="1" x14ac:dyDescent="0.2">
      <c r="G63" s="56"/>
      <c r="H63" s="56"/>
      <c r="I63" s="56"/>
    </row>
    <row r="64" spans="1:9" ht="15" x14ac:dyDescent="0.35">
      <c r="A64" s="51" t="s">
        <v>377</v>
      </c>
      <c r="H64" s="195">
        <v>159871</v>
      </c>
      <c r="I64" s="55"/>
    </row>
    <row r="65" spans="1:9" ht="6" customHeight="1" x14ac:dyDescent="0.2">
      <c r="H65" s="55"/>
      <c r="I65" s="55"/>
    </row>
    <row r="66" spans="1:9" ht="15" x14ac:dyDescent="0.35">
      <c r="A66" s="51" t="s">
        <v>379</v>
      </c>
      <c r="H66" s="198">
        <f>H62+H64</f>
        <v>226000</v>
      </c>
    </row>
    <row r="67" spans="1:9" x14ac:dyDescent="0.2">
      <c r="H67" s="16"/>
      <c r="I67" s="16"/>
    </row>
    <row r="68" spans="1:9" ht="13.5" thickBot="1" x14ac:dyDescent="0.25"/>
    <row r="69" spans="1:9" ht="51.75" customHeight="1" x14ac:dyDescent="0.2">
      <c r="C69" s="527" t="s">
        <v>544</v>
      </c>
      <c r="D69" s="528"/>
      <c r="E69" s="528"/>
      <c r="F69" s="528"/>
      <c r="G69" s="528"/>
      <c r="H69" s="528"/>
      <c r="I69" s="529"/>
    </row>
    <row r="70" spans="1:9" ht="270.75" customHeight="1" x14ac:dyDescent="0.2">
      <c r="C70" s="530" t="s">
        <v>547</v>
      </c>
      <c r="D70" s="531"/>
      <c r="E70" s="531"/>
      <c r="F70" s="531"/>
      <c r="G70" s="531"/>
      <c r="H70" s="531"/>
      <c r="I70" s="532"/>
    </row>
    <row r="71" spans="1:9" ht="62.25" customHeight="1" x14ac:dyDescent="0.2">
      <c r="C71" s="530" t="s">
        <v>545</v>
      </c>
      <c r="D71" s="531"/>
      <c r="E71" s="531"/>
      <c r="F71" s="531"/>
      <c r="G71" s="531"/>
      <c r="H71" s="531"/>
      <c r="I71" s="532"/>
    </row>
    <row r="72" spans="1:9" ht="65.25" customHeight="1" thickBot="1" x14ac:dyDescent="0.25">
      <c r="C72" s="533" t="s">
        <v>546</v>
      </c>
      <c r="D72" s="534"/>
      <c r="E72" s="534"/>
      <c r="F72" s="534"/>
      <c r="G72" s="534"/>
      <c r="H72" s="534"/>
      <c r="I72" s="535"/>
    </row>
    <row r="73" spans="1:9" x14ac:dyDescent="0.2">
      <c r="C73" s="536"/>
      <c r="D73" s="536"/>
      <c r="E73" s="536"/>
      <c r="F73" s="536"/>
      <c r="G73" s="536"/>
      <c r="H73" s="536"/>
      <c r="I73" s="536"/>
    </row>
    <row r="77" spans="1:9" ht="20.25" x14ac:dyDescent="0.55000000000000004">
      <c r="D77" s="491" t="s">
        <v>513</v>
      </c>
      <c r="E77" s="491"/>
      <c r="F77" s="491"/>
      <c r="G77" s="293"/>
      <c r="H77" s="293"/>
    </row>
    <row r="78" spans="1:9" ht="15.75" x14ac:dyDescent="0.25">
      <c r="D78" s="293"/>
      <c r="E78" s="295" t="s">
        <v>670</v>
      </c>
      <c r="F78" s="293"/>
      <c r="G78" s="296" t="str">
        <f>IF(G62=0,"Yes",G62)</f>
        <v>Yes</v>
      </c>
      <c r="H78" s="293"/>
    </row>
    <row r="79" spans="1:9" ht="15.75" x14ac:dyDescent="0.25">
      <c r="D79" s="293"/>
      <c r="E79" s="293" t="s">
        <v>540</v>
      </c>
      <c r="F79" s="293"/>
      <c r="G79" s="293"/>
      <c r="H79" s="297" t="str">
        <f>IF(H66-GASB34GovtFundsIS!G58=0,"Yes",H66-GASB34GovtFundsIS!G58)</f>
        <v>Yes</v>
      </c>
    </row>
  </sheetData>
  <mergeCells count="7">
    <mergeCell ref="A7:D7"/>
    <mergeCell ref="D77:F77"/>
    <mergeCell ref="C69:I69"/>
    <mergeCell ref="C70:I70"/>
    <mergeCell ref="C71:I71"/>
    <mergeCell ref="C72:I72"/>
    <mergeCell ref="C73:I73"/>
  </mergeCells>
  <conditionalFormatting sqref="G78 H79">
    <cfRule type="cellIs" dxfId="3" priority="1" operator="notEqual">
      <formula>"Yes"</formula>
    </cfRule>
  </conditionalFormatting>
  <printOptions horizontalCentered="1"/>
  <pageMargins left="0.5" right="0.5" top="0.5" bottom="0.5" header="0.5" footer="0.5"/>
  <pageSetup scale="91" firstPageNumber="19" fitToHeight="2" orientation="portrait" useFirstPageNumber="1" r:id="rId1"/>
  <headerFooter alignWithMargins="0"/>
  <rowBreaks count="1" manualBreakCount="1">
    <brk id="55" max="8" man="1"/>
  </rowBreaks>
  <ignoredErrors>
    <ignoredError sqref="H62" formula="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66FFFF"/>
    <pageSetUpPr fitToPage="1"/>
  </sheetPr>
  <dimension ref="A1:M96"/>
  <sheetViews>
    <sheetView showGridLines="0" showWhiteSpace="0" zoomScaleNormal="100" workbookViewId="0">
      <selection activeCell="E12" sqref="E12"/>
    </sheetView>
  </sheetViews>
  <sheetFormatPr defaultColWidth="8" defaultRowHeight="12.75" x14ac:dyDescent="0.2"/>
  <cols>
    <col min="1" max="3" width="1.7109375" style="155" customWidth="1"/>
    <col min="4" max="4" width="33.42578125" style="155" customWidth="1"/>
    <col min="5" max="7" width="12.7109375" style="155" customWidth="1"/>
    <col min="8" max="9" width="8.28515625" style="155" bestFit="1" customWidth="1"/>
    <col min="10" max="10" width="8" style="155"/>
    <col min="11" max="11" width="9" style="155" bestFit="1" customWidth="1"/>
    <col min="12" max="16384" width="8" style="155"/>
  </cols>
  <sheetData>
    <row r="1" spans="1:10" x14ac:dyDescent="0.2">
      <c r="G1" s="438" t="s">
        <v>668</v>
      </c>
    </row>
    <row r="2" spans="1:10" s="154" customFormat="1" ht="12" customHeight="1" x14ac:dyDescent="0.2">
      <c r="A2" s="153" t="s">
        <v>0</v>
      </c>
      <c r="B2" s="153"/>
      <c r="C2" s="153"/>
      <c r="D2" s="153"/>
      <c r="E2" s="153"/>
      <c r="F2" s="153"/>
      <c r="G2" s="153"/>
    </row>
    <row r="3" spans="1:10" s="154" customFormat="1" ht="12" customHeight="1" x14ac:dyDescent="0.2">
      <c r="A3" s="153" t="s">
        <v>414</v>
      </c>
      <c r="B3" s="153"/>
      <c r="C3" s="153"/>
      <c r="D3" s="153"/>
      <c r="E3" s="153"/>
      <c r="F3" s="153"/>
      <c r="G3" s="153"/>
    </row>
    <row r="4" spans="1:10" s="154" customFormat="1" ht="12" customHeight="1" x14ac:dyDescent="0.2">
      <c r="A4" s="153" t="s">
        <v>415</v>
      </c>
      <c r="B4" s="153"/>
      <c r="C4" s="153"/>
      <c r="D4" s="153"/>
      <c r="E4" s="153"/>
      <c r="F4" s="153"/>
      <c r="G4" s="153"/>
    </row>
    <row r="5" spans="1:10" s="154" customFormat="1" ht="12" customHeight="1" x14ac:dyDescent="0.2">
      <c r="A5" s="153" t="s">
        <v>416</v>
      </c>
      <c r="B5" s="153"/>
      <c r="C5" s="153"/>
      <c r="D5" s="153"/>
      <c r="E5" s="153"/>
      <c r="F5" s="153"/>
      <c r="G5" s="153"/>
    </row>
    <row r="6" spans="1:10" s="154" customFormat="1" ht="12" customHeight="1" x14ac:dyDescent="0.2">
      <c r="A6" s="153" t="str">
        <f>GWStmtAct!A4</f>
        <v>For the Year Ended June 30, 2021</v>
      </c>
      <c r="B6" s="153"/>
      <c r="C6" s="153"/>
      <c r="D6" s="153"/>
      <c r="E6" s="153"/>
      <c r="F6" s="153"/>
      <c r="G6" s="153"/>
    </row>
    <row r="7" spans="1:10" x14ac:dyDescent="0.2">
      <c r="A7" s="537"/>
      <c r="B7" s="537"/>
      <c r="C7" s="537"/>
      <c r="D7" s="537"/>
      <c r="E7" s="446"/>
      <c r="F7" s="446"/>
      <c r="G7" s="251"/>
    </row>
    <row r="8" spans="1:10" ht="12" customHeight="1" x14ac:dyDescent="0.2">
      <c r="A8" s="453"/>
      <c r="B8" s="453"/>
      <c r="C8" s="453"/>
      <c r="D8" s="453"/>
      <c r="E8" s="156" t="s">
        <v>151</v>
      </c>
      <c r="F8" s="156" t="s">
        <v>151</v>
      </c>
      <c r="G8" s="156" t="s">
        <v>315</v>
      </c>
    </row>
    <row r="9" spans="1:10" ht="12" customHeight="1" x14ac:dyDescent="0.2">
      <c r="A9" s="453"/>
      <c r="B9" s="453"/>
      <c r="C9" s="453"/>
      <c r="D9" s="453"/>
      <c r="E9" s="156"/>
      <c r="F9" s="156"/>
      <c r="G9" s="156" t="s">
        <v>311</v>
      </c>
    </row>
    <row r="10" spans="1:10" ht="12" customHeight="1" x14ac:dyDescent="0.35">
      <c r="A10" s="453"/>
      <c r="B10" s="453"/>
      <c r="C10" s="453"/>
      <c r="D10" s="453"/>
      <c r="E10" s="252" t="s">
        <v>313</v>
      </c>
      <c r="F10" s="252" t="s">
        <v>314</v>
      </c>
      <c r="G10" s="252" t="s">
        <v>312</v>
      </c>
    </row>
    <row r="11" spans="1:10" ht="8.25" customHeight="1" x14ac:dyDescent="0.2">
      <c r="A11" s="453"/>
      <c r="B11" s="453"/>
      <c r="C11" s="453"/>
      <c r="D11" s="453"/>
      <c r="E11" s="454"/>
      <c r="F11" s="454"/>
      <c r="G11" s="243"/>
    </row>
    <row r="12" spans="1:10" ht="15" customHeight="1" x14ac:dyDescent="0.35">
      <c r="A12" s="453" t="s">
        <v>417</v>
      </c>
      <c r="B12" s="453"/>
      <c r="C12" s="453"/>
      <c r="D12" s="453"/>
      <c r="E12" s="455">
        <v>407600</v>
      </c>
      <c r="F12" s="455">
        <f>'Rev, exp-Prop'!B11</f>
        <v>406290</v>
      </c>
      <c r="G12" s="267">
        <f>+F12-E12</f>
        <v>-1310</v>
      </c>
      <c r="J12" s="162"/>
    </row>
    <row r="13" spans="1:10" ht="7.5" customHeight="1" x14ac:dyDescent="0.35">
      <c r="A13" s="453"/>
      <c r="B13" s="453"/>
      <c r="C13" s="453"/>
      <c r="D13" s="453"/>
      <c r="E13" s="456"/>
      <c r="F13" s="456"/>
      <c r="G13" s="261"/>
    </row>
    <row r="14" spans="1:10" ht="12" customHeight="1" x14ac:dyDescent="0.35">
      <c r="A14" s="157" t="s">
        <v>418</v>
      </c>
      <c r="E14" s="243"/>
      <c r="F14" s="243"/>
      <c r="G14" s="262"/>
    </row>
    <row r="15" spans="1:10" ht="12" customHeight="1" x14ac:dyDescent="0.35">
      <c r="A15" s="157"/>
      <c r="B15" s="155" t="s">
        <v>419</v>
      </c>
      <c r="E15" s="243"/>
      <c r="F15" s="243"/>
      <c r="G15" s="262"/>
    </row>
    <row r="16" spans="1:10" ht="12" customHeight="1" x14ac:dyDescent="0.2">
      <c r="C16" s="155" t="s">
        <v>257</v>
      </c>
      <c r="E16" s="18"/>
      <c r="F16" s="18">
        <v>830000</v>
      </c>
      <c r="G16" s="18"/>
      <c r="J16" s="243"/>
    </row>
    <row r="17" spans="2:10" ht="12" customHeight="1" x14ac:dyDescent="0.2">
      <c r="C17" s="155" t="s">
        <v>258</v>
      </c>
      <c r="E17" s="18"/>
      <c r="F17" s="18">
        <v>19641</v>
      </c>
      <c r="G17" s="18"/>
      <c r="J17" s="243"/>
    </row>
    <row r="18" spans="2:10" ht="12" customHeight="1" x14ac:dyDescent="0.2">
      <c r="C18" s="155" t="s">
        <v>259</v>
      </c>
      <c r="E18" s="18"/>
      <c r="F18" s="18">
        <f>ROUND(54000+0.2*0.7*48500+(27219*0.2*0.7)+(0.2*0.7*0.5*1260)+(50000*0.2*0.7)+(30000*0.2*0.7)+(1400*0.5*0.2*0.7),0)</f>
        <v>75987</v>
      </c>
      <c r="G18" s="18"/>
      <c r="J18" s="243"/>
    </row>
    <row r="19" spans="2:10" ht="12" customHeight="1" x14ac:dyDescent="0.2">
      <c r="C19" s="155" t="s">
        <v>260</v>
      </c>
      <c r="E19" s="18"/>
      <c r="F19" s="18">
        <v>57000</v>
      </c>
      <c r="G19" s="18"/>
      <c r="J19" s="243"/>
    </row>
    <row r="20" spans="2:10" ht="12" customHeight="1" x14ac:dyDescent="0.2">
      <c r="C20" s="155" t="s">
        <v>261</v>
      </c>
      <c r="E20" s="18"/>
      <c r="F20" s="18">
        <v>7557</v>
      </c>
      <c r="G20" s="18"/>
      <c r="J20" s="243"/>
    </row>
    <row r="21" spans="2:10" ht="12" customHeight="1" x14ac:dyDescent="0.2">
      <c r="C21" s="157" t="s">
        <v>262</v>
      </c>
      <c r="E21" s="18"/>
      <c r="F21" s="18">
        <v>1886</v>
      </c>
      <c r="G21" s="18"/>
      <c r="J21" s="243"/>
    </row>
    <row r="22" spans="2:10" ht="12" customHeight="1" x14ac:dyDescent="0.2">
      <c r="C22" s="155" t="s">
        <v>263</v>
      </c>
      <c r="E22" s="18"/>
      <c r="F22" s="18">
        <v>7600</v>
      </c>
      <c r="G22" s="18"/>
      <c r="J22" s="243"/>
    </row>
    <row r="23" spans="2:10" ht="15" customHeight="1" x14ac:dyDescent="0.35">
      <c r="C23" s="155" t="s">
        <v>172</v>
      </c>
      <c r="E23" s="248" t="s">
        <v>151</v>
      </c>
      <c r="F23" s="248">
        <v>7000</v>
      </c>
      <c r="G23" s="248" t="s">
        <v>151</v>
      </c>
      <c r="J23" s="243"/>
    </row>
    <row r="24" spans="2:10" ht="15" customHeight="1" x14ac:dyDescent="0.35">
      <c r="C24" s="155" t="s">
        <v>420</v>
      </c>
      <c r="E24" s="248">
        <f>ROUND(1047600+0.7*0.2*48500+(20000*0.7*0.2)+(1260*0.5*0.7*0.2)-6440+(50000*0.7*0.2)+(30000*0.7*0.2)+(1400*0.5*0.7*0.2),0)</f>
        <v>1062136</v>
      </c>
      <c r="F24" s="258">
        <f>SUM(F16:F23)</f>
        <v>1006671</v>
      </c>
      <c r="G24" s="248">
        <f>E24-F24</f>
        <v>55465</v>
      </c>
    </row>
    <row r="25" spans="2:10" ht="7.5" customHeight="1" x14ac:dyDescent="0.2">
      <c r="E25" s="18"/>
      <c r="F25" s="18"/>
      <c r="G25" s="18"/>
    </row>
    <row r="26" spans="2:10" ht="12" customHeight="1" x14ac:dyDescent="0.2">
      <c r="B26" s="155" t="s">
        <v>421</v>
      </c>
      <c r="E26" s="18"/>
      <c r="F26" s="18"/>
      <c r="G26" s="18"/>
    </row>
    <row r="27" spans="2:10" ht="12" customHeight="1" x14ac:dyDescent="0.2">
      <c r="C27" s="155" t="s">
        <v>259</v>
      </c>
      <c r="E27" s="18">
        <v>19000</v>
      </c>
      <c r="F27" s="18">
        <v>19000</v>
      </c>
      <c r="G27" s="27">
        <f>E27-F27</f>
        <v>0</v>
      </c>
      <c r="J27" s="243"/>
    </row>
    <row r="28" spans="2:10" ht="7.5" customHeight="1" x14ac:dyDescent="0.35">
      <c r="E28" s="18"/>
      <c r="F28" s="18"/>
      <c r="G28" s="248"/>
    </row>
    <row r="29" spans="2:10" ht="15" customHeight="1" x14ac:dyDescent="0.35">
      <c r="B29" s="155" t="s">
        <v>384</v>
      </c>
      <c r="E29" s="248">
        <v>10000</v>
      </c>
      <c r="F29" s="258">
        <f>-'Cash Flow-Prop'!B21</f>
        <v>9400</v>
      </c>
      <c r="G29" s="248">
        <f>E29-F29</f>
        <v>600</v>
      </c>
      <c r="J29" s="243"/>
    </row>
    <row r="30" spans="2:10" ht="15" customHeight="1" x14ac:dyDescent="0.35">
      <c r="C30" s="157" t="s">
        <v>422</v>
      </c>
      <c r="E30" s="248">
        <f>E24+E27+E29</f>
        <v>1091136</v>
      </c>
      <c r="F30" s="248">
        <f>F24+F27+F29</f>
        <v>1035071</v>
      </c>
      <c r="G30" s="248">
        <f>G24+G27+G29</f>
        <v>56065</v>
      </c>
      <c r="H30" s="243"/>
    </row>
    <row r="31" spans="2:10" ht="7.5" customHeight="1" x14ac:dyDescent="0.35">
      <c r="E31" s="243"/>
      <c r="F31" s="262"/>
      <c r="G31" s="262"/>
    </row>
    <row r="32" spans="2:10" ht="12" customHeight="1" x14ac:dyDescent="0.2">
      <c r="B32" s="155" t="s">
        <v>423</v>
      </c>
      <c r="E32" s="18">
        <f>+E12-E30</f>
        <v>-683536</v>
      </c>
      <c r="F32" s="18">
        <f>F12-F30</f>
        <v>-628781</v>
      </c>
      <c r="G32" s="18">
        <f>+G12+G30</f>
        <v>54755</v>
      </c>
      <c r="H32" s="243"/>
    </row>
    <row r="33" spans="1:10" ht="7.5" customHeight="1" x14ac:dyDescent="0.2">
      <c r="E33" s="243"/>
      <c r="F33" s="243"/>
      <c r="G33" s="243"/>
    </row>
    <row r="34" spans="1:10" ht="12" customHeight="1" x14ac:dyDescent="0.2">
      <c r="A34" s="157" t="s">
        <v>424</v>
      </c>
      <c r="E34" s="243"/>
      <c r="F34" s="243"/>
      <c r="G34" s="243"/>
    </row>
    <row r="35" spans="1:10" ht="12" customHeight="1" x14ac:dyDescent="0.2">
      <c r="B35" s="155" t="s">
        <v>23</v>
      </c>
      <c r="E35" s="18">
        <v>540000</v>
      </c>
      <c r="F35" s="18">
        <f>'Rev, exp-Prop'!B30</f>
        <v>552367</v>
      </c>
      <c r="G35" s="263">
        <f>+F35-E35</f>
        <v>12367</v>
      </c>
      <c r="J35" s="243"/>
    </row>
    <row r="36" spans="1:10" ht="12" customHeight="1" x14ac:dyDescent="0.2">
      <c r="B36" s="155" t="s">
        <v>265</v>
      </c>
      <c r="E36" s="18">
        <v>18000</v>
      </c>
      <c r="F36" s="18">
        <f>'Rev, exp-Prop'!B31</f>
        <v>20641</v>
      </c>
      <c r="G36" s="263">
        <f>+F36-E36</f>
        <v>2641</v>
      </c>
      <c r="J36" s="243"/>
    </row>
    <row r="37" spans="1:10" ht="15" customHeight="1" x14ac:dyDescent="0.35">
      <c r="B37" s="155" t="s">
        <v>425</v>
      </c>
      <c r="E37" s="248">
        <v>97000</v>
      </c>
      <c r="F37" s="258">
        <f>'Rev, exp-Prop'!B32</f>
        <v>120978</v>
      </c>
      <c r="G37" s="268">
        <f>+F37-E37</f>
        <v>23978</v>
      </c>
      <c r="J37" s="243"/>
    </row>
    <row r="38" spans="1:10" ht="15" customHeight="1" x14ac:dyDescent="0.35">
      <c r="C38" s="157" t="s">
        <v>426</v>
      </c>
      <c r="E38" s="248">
        <f>SUM(E35:E37)</f>
        <v>655000</v>
      </c>
      <c r="F38" s="248">
        <f>SUM(F35:F37)</f>
        <v>693986</v>
      </c>
      <c r="G38" s="248">
        <v>38986</v>
      </c>
    </row>
    <row r="39" spans="1:10" ht="7.5" customHeight="1" x14ac:dyDescent="0.35">
      <c r="E39" s="18"/>
      <c r="F39" s="18"/>
      <c r="G39" s="248"/>
    </row>
    <row r="40" spans="1:10" ht="12" customHeight="1" x14ac:dyDescent="0.2">
      <c r="A40" s="155" t="s">
        <v>427</v>
      </c>
      <c r="E40" s="243"/>
      <c r="F40" s="243"/>
      <c r="G40" s="243"/>
    </row>
    <row r="41" spans="1:10" ht="12" customHeight="1" x14ac:dyDescent="0.2">
      <c r="A41" s="155" t="s">
        <v>428</v>
      </c>
      <c r="E41" s="18">
        <f>E32+E38</f>
        <v>-28536</v>
      </c>
      <c r="F41" s="18">
        <f>F32+F38</f>
        <v>65205</v>
      </c>
      <c r="G41" s="18">
        <f>+G32+G38</f>
        <v>93741</v>
      </c>
      <c r="H41" s="243"/>
    </row>
    <row r="42" spans="1:10" ht="7.5" customHeight="1" x14ac:dyDescent="0.2">
      <c r="E42" s="18"/>
      <c r="F42" s="18"/>
      <c r="G42" s="18"/>
    </row>
    <row r="43" spans="1:10" ht="12" customHeight="1" x14ac:dyDescent="0.2">
      <c r="A43" s="155" t="s">
        <v>429</v>
      </c>
      <c r="E43" s="18"/>
      <c r="F43" s="18"/>
      <c r="G43" s="18"/>
    </row>
    <row r="44" spans="1:10" ht="15" customHeight="1" x14ac:dyDescent="0.35">
      <c r="B44" s="155" t="s">
        <v>233</v>
      </c>
      <c r="E44" s="248">
        <v>28536</v>
      </c>
      <c r="F44" s="248">
        <f>'Rev, exp-Prop'!B37</f>
        <v>14000</v>
      </c>
      <c r="G44" s="268">
        <f>+F44-E44</f>
        <v>-14536</v>
      </c>
      <c r="J44" s="243"/>
    </row>
    <row r="45" spans="1:10" ht="7.5" customHeight="1" x14ac:dyDescent="0.2">
      <c r="E45" s="18"/>
      <c r="F45" s="18"/>
      <c r="G45" s="18"/>
    </row>
    <row r="46" spans="1:10" ht="12" customHeight="1" x14ac:dyDescent="0.2">
      <c r="A46" s="155" t="s">
        <v>430</v>
      </c>
      <c r="E46" s="243"/>
      <c r="F46" s="243"/>
      <c r="G46" s="243"/>
    </row>
    <row r="47" spans="1:10" ht="15" x14ac:dyDescent="0.35">
      <c r="A47" s="155" t="s">
        <v>431</v>
      </c>
      <c r="E47" s="249">
        <f>+E41+E44</f>
        <v>0</v>
      </c>
      <c r="F47" s="158">
        <f>F41+F44</f>
        <v>79205</v>
      </c>
      <c r="G47" s="249">
        <f>+G41+G44</f>
        <v>79205</v>
      </c>
    </row>
    <row r="48" spans="1:10" ht="7.5" customHeight="1" x14ac:dyDescent="0.2">
      <c r="E48" s="243"/>
      <c r="F48" s="243"/>
      <c r="G48" s="243"/>
    </row>
    <row r="49" spans="1:13" ht="12" customHeight="1" x14ac:dyDescent="0.2">
      <c r="A49" s="155" t="s">
        <v>432</v>
      </c>
      <c r="E49" s="243"/>
      <c r="F49" s="243"/>
      <c r="G49" s="243"/>
    </row>
    <row r="50" spans="1:13" ht="12" customHeight="1" x14ac:dyDescent="0.2">
      <c r="B50" s="155" t="s">
        <v>433</v>
      </c>
      <c r="E50" s="243"/>
      <c r="F50" s="243"/>
      <c r="G50" s="243"/>
    </row>
    <row r="51" spans="1:13" ht="12" customHeight="1" x14ac:dyDescent="0.2">
      <c r="B51" s="155" t="s">
        <v>434</v>
      </c>
      <c r="E51" s="243"/>
      <c r="F51" s="263"/>
      <c r="G51" s="243"/>
    </row>
    <row r="52" spans="1:13" ht="12" customHeight="1" x14ac:dyDescent="0.2">
      <c r="C52" s="155" t="s">
        <v>32</v>
      </c>
      <c r="E52" s="243"/>
      <c r="F52" s="18">
        <f>-'Cash Flow-Prop'!B32</f>
        <v>-7765</v>
      </c>
      <c r="G52" s="243"/>
      <c r="J52" s="243"/>
    </row>
    <row r="53" spans="1:13" ht="12" customHeight="1" x14ac:dyDescent="0.2">
      <c r="C53" s="155" t="s">
        <v>64</v>
      </c>
      <c r="E53" s="243"/>
      <c r="F53" s="18">
        <f>'Cash Flow-Prop'!B39</f>
        <v>-20</v>
      </c>
      <c r="G53" s="243"/>
      <c r="K53" s="244"/>
    </row>
    <row r="54" spans="1:13" x14ac:dyDescent="0.2">
      <c r="C54" s="155" t="s">
        <v>435</v>
      </c>
      <c r="E54" s="243"/>
      <c r="F54" s="18">
        <f>'Cash Flow-Prop'!B41</f>
        <v>3866</v>
      </c>
      <c r="G54" s="243"/>
      <c r="M54" s="359"/>
    </row>
    <row r="55" spans="1:13" x14ac:dyDescent="0.2">
      <c r="C55" s="155" t="s">
        <v>436</v>
      </c>
      <c r="E55" s="243"/>
      <c r="F55" s="18">
        <f>'Cash Flow-Prop'!B42</f>
        <v>-70709</v>
      </c>
      <c r="G55" s="243"/>
      <c r="L55" s="243"/>
      <c r="M55" s="243"/>
    </row>
    <row r="56" spans="1:13" x14ac:dyDescent="0.2">
      <c r="C56" s="155" t="s">
        <v>437</v>
      </c>
      <c r="E56" s="243"/>
      <c r="F56" s="18">
        <f>'Cash Flow-Prop'!B43</f>
        <v>-2545</v>
      </c>
      <c r="G56" s="243"/>
      <c r="L56" s="243"/>
    </row>
    <row r="57" spans="1:13" hidden="1" x14ac:dyDescent="0.2">
      <c r="C57" s="160" t="s">
        <v>438</v>
      </c>
      <c r="D57" s="160"/>
      <c r="E57" s="264"/>
      <c r="F57" s="161">
        <v>-75.320000000000007</v>
      </c>
      <c r="G57" s="243"/>
    </row>
    <row r="58" spans="1:13" hidden="1" x14ac:dyDescent="0.2">
      <c r="C58" s="160" t="s">
        <v>439</v>
      </c>
      <c r="D58" s="160"/>
      <c r="E58" s="264"/>
      <c r="F58" s="161">
        <v>74.61999999999999</v>
      </c>
      <c r="G58" s="243"/>
    </row>
    <row r="59" spans="1:13" x14ac:dyDescent="0.2">
      <c r="C59" s="155" t="s">
        <v>440</v>
      </c>
      <c r="E59" s="243"/>
      <c r="F59" s="18">
        <f>'Cash Flow-Prop'!B46</f>
        <v>77832</v>
      </c>
      <c r="G59" s="243"/>
      <c r="L59" s="243"/>
    </row>
    <row r="60" spans="1:13" hidden="1" x14ac:dyDescent="0.2">
      <c r="C60" s="160" t="s">
        <v>441</v>
      </c>
      <c r="D60" s="160"/>
      <c r="E60" s="264"/>
      <c r="F60" s="161">
        <v>-59408.02</v>
      </c>
      <c r="G60" s="243"/>
    </row>
    <row r="61" spans="1:13" ht="12" customHeight="1" x14ac:dyDescent="0.2">
      <c r="C61" s="155" t="s">
        <v>260</v>
      </c>
      <c r="E61" s="243"/>
      <c r="F61" s="18">
        <v>-1000</v>
      </c>
      <c r="G61" s="243"/>
    </row>
    <row r="62" spans="1:13" ht="12" customHeight="1" x14ac:dyDescent="0.2">
      <c r="C62" s="155" t="s">
        <v>35</v>
      </c>
      <c r="E62" s="243"/>
      <c r="F62" s="18">
        <v>1000</v>
      </c>
      <c r="G62" s="243"/>
    </row>
    <row r="63" spans="1:13" ht="12" customHeight="1" x14ac:dyDescent="0.2">
      <c r="C63" s="155" t="s">
        <v>442</v>
      </c>
      <c r="E63" s="243"/>
      <c r="F63" s="18">
        <f>F29</f>
        <v>9400</v>
      </c>
      <c r="G63" s="243"/>
    </row>
    <row r="64" spans="1:13" ht="12" customHeight="1" x14ac:dyDescent="0.2">
      <c r="C64" s="155" t="s">
        <v>443</v>
      </c>
      <c r="E64" s="243"/>
      <c r="F64" s="18">
        <v>-5000</v>
      </c>
      <c r="G64" s="243"/>
    </row>
    <row r="65" spans="2:9" ht="15" customHeight="1" x14ac:dyDescent="0.35">
      <c r="C65" s="155" t="s">
        <v>444</v>
      </c>
      <c r="E65" s="243"/>
      <c r="F65" s="248">
        <v>-9290</v>
      </c>
      <c r="G65" s="243"/>
    </row>
    <row r="66" spans="2:9" ht="15" customHeight="1" x14ac:dyDescent="0.35">
      <c r="B66" s="155" t="s">
        <v>445</v>
      </c>
      <c r="E66" s="243"/>
      <c r="F66" s="249">
        <f>F47+SUM(F52:F65)-F57-F58-F60-13434</f>
        <v>61539.999999999985</v>
      </c>
      <c r="G66" s="243"/>
      <c r="I66" s="162"/>
    </row>
    <row r="67" spans="2:9" ht="12" customHeight="1" x14ac:dyDescent="0.2">
      <c r="E67" s="243"/>
      <c r="F67" s="243"/>
      <c r="G67" s="243"/>
    </row>
    <row r="68" spans="2:9" x14ac:dyDescent="0.2">
      <c r="F68" s="162"/>
    </row>
    <row r="71" spans="2:9" ht="20.25" x14ac:dyDescent="0.55000000000000004">
      <c r="C71" s="491" t="s">
        <v>513</v>
      </c>
      <c r="D71" s="491"/>
      <c r="E71" s="491"/>
      <c r="F71" s="298"/>
    </row>
    <row r="72" spans="2:9" ht="15.75" x14ac:dyDescent="0.25">
      <c r="C72" s="298"/>
      <c r="D72" s="295" t="s">
        <v>670</v>
      </c>
      <c r="E72" s="294" t="str">
        <f>IF(E47=0,"Yes",E47)</f>
        <v>Yes</v>
      </c>
      <c r="F72" s="298"/>
    </row>
    <row r="73" spans="2:9" ht="15.75" x14ac:dyDescent="0.25">
      <c r="C73" s="298"/>
      <c r="D73" s="293" t="s">
        <v>540</v>
      </c>
      <c r="E73" s="293"/>
      <c r="F73" s="299">
        <f>IF(F66-'Rev, exp-Prop'!B38=0,"Yes",F66-'Rev, exp-Prop'!B38)</f>
        <v>-1.4551915228366852E-11</v>
      </c>
    </row>
    <row r="96" ht="16.149999999999999" customHeight="1" x14ac:dyDescent="0.2"/>
  </sheetData>
  <mergeCells count="2">
    <mergeCell ref="C71:E71"/>
    <mergeCell ref="A7:D7"/>
  </mergeCells>
  <conditionalFormatting sqref="F73">
    <cfRule type="cellIs" dxfId="2" priority="2" operator="notEqual">
      <formula>"Yes"</formula>
    </cfRule>
  </conditionalFormatting>
  <conditionalFormatting sqref="E72">
    <cfRule type="cellIs" dxfId="1" priority="1" operator="notEqual">
      <formula>"Yes"</formula>
    </cfRule>
  </conditionalFormatting>
  <printOptions horizontalCentered="1"/>
  <pageMargins left="0.75" right="0.75" top="1" bottom="1" header="0.5" footer="0.5"/>
  <pageSetup scale="89" firstPageNumber="19" orientation="portrait" r:id="rId1"/>
  <headerFooter alignWithMargins="0"/>
  <ignoredErrors>
    <ignoredError sqref="F47" formula="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66FFFF"/>
  </sheetPr>
  <dimension ref="A1:G96"/>
  <sheetViews>
    <sheetView showGridLines="0" zoomScaleNormal="100" workbookViewId="0">
      <selection activeCell="E12" sqref="E12"/>
    </sheetView>
  </sheetViews>
  <sheetFormatPr defaultColWidth="8.42578125" defaultRowHeight="12.75" x14ac:dyDescent="0.2"/>
  <cols>
    <col min="1" max="3" width="1.7109375" style="18" customWidth="1"/>
    <col min="4" max="4" width="35.7109375" style="18" customWidth="1"/>
    <col min="5" max="7" width="12.7109375" style="18" customWidth="1"/>
    <col min="8" max="16384" width="8.42578125" style="18"/>
  </cols>
  <sheetData>
    <row r="1" spans="1:7" x14ac:dyDescent="0.2">
      <c r="G1" s="438" t="s">
        <v>669</v>
      </c>
    </row>
    <row r="2" spans="1:7" s="164" customFormat="1" x14ac:dyDescent="0.2">
      <c r="A2" s="163" t="s">
        <v>0</v>
      </c>
      <c r="B2" s="163"/>
      <c r="C2" s="163"/>
      <c r="D2" s="163"/>
      <c r="E2" s="163"/>
      <c r="F2" s="163"/>
      <c r="G2" s="163"/>
    </row>
    <row r="3" spans="1:7" s="164" customFormat="1" x14ac:dyDescent="0.2">
      <c r="A3" s="163" t="s">
        <v>446</v>
      </c>
      <c r="B3" s="163"/>
      <c r="C3" s="163"/>
      <c r="D3" s="163"/>
      <c r="E3" s="163"/>
      <c r="F3" s="163"/>
      <c r="G3" s="163"/>
    </row>
    <row r="4" spans="1:7" s="164" customFormat="1" x14ac:dyDescent="0.2">
      <c r="A4" s="163" t="s">
        <v>414</v>
      </c>
      <c r="B4" s="163"/>
      <c r="C4" s="163"/>
      <c r="D4" s="163"/>
      <c r="E4" s="163"/>
      <c r="F4" s="163"/>
      <c r="G4" s="163"/>
    </row>
    <row r="5" spans="1:7" s="164" customFormat="1" x14ac:dyDescent="0.2">
      <c r="A5" s="163" t="s">
        <v>447</v>
      </c>
      <c r="B5" s="163"/>
      <c r="C5" s="163"/>
      <c r="D5" s="163"/>
      <c r="E5" s="163"/>
      <c r="F5" s="163"/>
      <c r="G5" s="163"/>
    </row>
    <row r="6" spans="1:7" s="164" customFormat="1" x14ac:dyDescent="0.2">
      <c r="A6" s="163" t="str">
        <f>GWStmtAct!A4</f>
        <v>For the Year Ended June 30, 2021</v>
      </c>
      <c r="B6" s="163"/>
      <c r="C6" s="163"/>
      <c r="D6" s="163"/>
      <c r="E6" s="163"/>
      <c r="F6" s="163"/>
      <c r="G6" s="163"/>
    </row>
    <row r="7" spans="1:7" x14ac:dyDescent="0.2">
      <c r="A7" s="538"/>
      <c r="B7" s="538"/>
      <c r="C7" s="538"/>
      <c r="D7" s="538"/>
      <c r="E7" s="449"/>
      <c r="F7" s="449"/>
      <c r="G7" s="27"/>
    </row>
    <row r="8" spans="1:7" x14ac:dyDescent="0.2">
      <c r="A8" s="450"/>
      <c r="B8" s="450"/>
      <c r="C8" s="450"/>
      <c r="D8" s="450"/>
      <c r="E8" s="450"/>
      <c r="F8" s="450"/>
      <c r="G8" s="165" t="s">
        <v>448</v>
      </c>
    </row>
    <row r="9" spans="1:7" x14ac:dyDescent="0.2">
      <c r="A9" s="450"/>
      <c r="B9" s="450"/>
      <c r="C9" s="450"/>
      <c r="D9" s="450"/>
      <c r="E9" s="450"/>
      <c r="F9" s="450"/>
      <c r="G9" s="165" t="s">
        <v>311</v>
      </c>
    </row>
    <row r="10" spans="1:7" ht="15" x14ac:dyDescent="0.35">
      <c r="A10" s="450"/>
      <c r="B10" s="166" t="s">
        <v>151</v>
      </c>
      <c r="C10" s="450"/>
      <c r="D10" s="450"/>
      <c r="E10" s="250" t="s">
        <v>313</v>
      </c>
      <c r="F10" s="250" t="s">
        <v>314</v>
      </c>
      <c r="G10" s="250" t="s">
        <v>312</v>
      </c>
    </row>
    <row r="11" spans="1:7" x14ac:dyDescent="0.2">
      <c r="A11" s="166" t="s">
        <v>223</v>
      </c>
      <c r="B11" s="450"/>
      <c r="C11" s="450"/>
      <c r="D11" s="450"/>
      <c r="E11" s="450"/>
      <c r="F11" s="450"/>
    </row>
    <row r="12" spans="1:7" x14ac:dyDescent="0.2">
      <c r="A12" s="450"/>
      <c r="B12" s="166" t="s">
        <v>254</v>
      </c>
      <c r="C12" s="42"/>
      <c r="D12" s="450"/>
      <c r="E12" s="451">
        <v>147000</v>
      </c>
      <c r="F12" s="451">
        <v>146882</v>
      </c>
      <c r="G12" s="159">
        <f>+F12-E12</f>
        <v>-118</v>
      </c>
    </row>
    <row r="13" spans="1:7" ht="15" customHeight="1" x14ac:dyDescent="0.35">
      <c r="A13" s="450"/>
      <c r="B13" s="166" t="s">
        <v>21</v>
      </c>
      <c r="C13" s="450"/>
      <c r="D13" s="450"/>
      <c r="E13" s="452">
        <v>1200</v>
      </c>
      <c r="F13" s="452">
        <v>120</v>
      </c>
      <c r="G13" s="268">
        <f>+F13-E13</f>
        <v>-1080</v>
      </c>
    </row>
    <row r="14" spans="1:7" ht="15" customHeight="1" x14ac:dyDescent="0.35">
      <c r="D14" s="166" t="s">
        <v>175</v>
      </c>
      <c r="E14" s="247">
        <f>SUM(E12:E13)</f>
        <v>148200</v>
      </c>
      <c r="F14" s="247">
        <f>SUM(F12:F13)</f>
        <v>147002</v>
      </c>
      <c r="G14" s="247">
        <f>SUM(G12:G13)</f>
        <v>-1198</v>
      </c>
    </row>
    <row r="15" spans="1:7" ht="5.0999999999999996" customHeight="1" x14ac:dyDescent="0.2">
      <c r="E15" s="167"/>
      <c r="F15" s="167"/>
      <c r="G15" s="167"/>
    </row>
    <row r="16" spans="1:7" x14ac:dyDescent="0.2">
      <c r="A16" s="166" t="s">
        <v>226</v>
      </c>
      <c r="E16" s="167"/>
      <c r="F16" s="167"/>
      <c r="G16" s="167"/>
    </row>
    <row r="17" spans="1:7" x14ac:dyDescent="0.2">
      <c r="A17" s="166"/>
      <c r="B17" s="18" t="s">
        <v>449</v>
      </c>
      <c r="E17" s="167"/>
      <c r="F17" s="167"/>
      <c r="G17" s="167"/>
    </row>
    <row r="18" spans="1:7" x14ac:dyDescent="0.2">
      <c r="B18" s="16"/>
      <c r="C18" s="166" t="s">
        <v>259</v>
      </c>
      <c r="E18" s="168"/>
      <c r="F18" s="167">
        <f>ROUND(128900+48500*0.2*0.3+27219*0.2*0.3+0.2*0.3*0.5*1260+(50000*0.2*0.3)+(30000*0.2*0.3)+(1400*0.5*0.2*0.3),0)</f>
        <v>138323</v>
      </c>
      <c r="G18" s="169"/>
    </row>
    <row r="19" spans="1:7" x14ac:dyDescent="0.2">
      <c r="B19" s="16"/>
      <c r="C19" s="18" t="s">
        <v>261</v>
      </c>
      <c r="E19" s="168"/>
      <c r="F19" s="167">
        <v>12408</v>
      </c>
      <c r="G19" s="169"/>
    </row>
    <row r="20" spans="1:7" ht="15" customHeight="1" x14ac:dyDescent="0.35">
      <c r="B20" s="16"/>
      <c r="C20" s="18" t="s">
        <v>263</v>
      </c>
      <c r="E20" s="266" t="s">
        <v>151</v>
      </c>
      <c r="F20" s="247">
        <f>2511</f>
        <v>2511</v>
      </c>
      <c r="G20" s="266" t="s">
        <v>151</v>
      </c>
    </row>
    <row r="21" spans="1:7" ht="15" customHeight="1" x14ac:dyDescent="0.2">
      <c r="B21" s="16"/>
      <c r="C21" s="18" t="s">
        <v>450</v>
      </c>
      <c r="E21" s="168">
        <f>ROUND(149450+(0.2*0.3*48500)+(0.2*0.3*20000)+0.2*0.3*0.5*1260-2760+(50000*0.2*0.3)+(30000*0.2*0.3)+(1400*0.5*0.2*0.3),0)</f>
        <v>155680</v>
      </c>
      <c r="F21" s="167">
        <f>SUM(F18:F20)</f>
        <v>153242</v>
      </c>
      <c r="G21" s="169">
        <f>E21-F21</f>
        <v>2438</v>
      </c>
    </row>
    <row r="22" spans="1:7" ht="5.0999999999999996" customHeight="1" x14ac:dyDescent="0.2">
      <c r="E22" s="167"/>
      <c r="F22" s="167"/>
      <c r="G22" s="167"/>
    </row>
    <row r="23" spans="1:7" x14ac:dyDescent="0.2">
      <c r="B23" s="166" t="s">
        <v>227</v>
      </c>
      <c r="E23" s="167"/>
      <c r="F23" s="167"/>
      <c r="G23" s="167"/>
    </row>
    <row r="24" spans="1:7" ht="15" customHeight="1" x14ac:dyDescent="0.35">
      <c r="C24" s="166" t="s">
        <v>451</v>
      </c>
      <c r="E24" s="247">
        <v>1250</v>
      </c>
      <c r="F24" s="247">
        <v>1130</v>
      </c>
      <c r="G24" s="268">
        <f>+F24-E24</f>
        <v>-120</v>
      </c>
    </row>
    <row r="25" spans="1:7" ht="15" customHeight="1" x14ac:dyDescent="0.35">
      <c r="D25" s="166" t="s">
        <v>186</v>
      </c>
      <c r="E25" s="247">
        <f>E21+E24</f>
        <v>156930</v>
      </c>
      <c r="F25" s="247">
        <f>F21+F24</f>
        <v>154372</v>
      </c>
      <c r="G25" s="247">
        <f>G21+G24</f>
        <v>2318</v>
      </c>
    </row>
    <row r="26" spans="1:7" ht="5.0999999999999996" customHeight="1" x14ac:dyDescent="0.2">
      <c r="D26" s="166"/>
      <c r="E26" s="170"/>
      <c r="F26" s="170"/>
      <c r="G26" s="170"/>
    </row>
    <row r="27" spans="1:7" x14ac:dyDescent="0.2">
      <c r="A27" s="166" t="s">
        <v>452</v>
      </c>
      <c r="E27" s="170">
        <f>+E14-E25</f>
        <v>-8730</v>
      </c>
      <c r="F27" s="170">
        <f>F14-F25</f>
        <v>-7370</v>
      </c>
      <c r="G27" s="170">
        <f>+G14+G25</f>
        <v>1120</v>
      </c>
    </row>
    <row r="28" spans="1:7" ht="5.0999999999999996" customHeight="1" x14ac:dyDescent="0.2">
      <c r="A28" s="166"/>
      <c r="E28" s="170"/>
      <c r="F28" s="170"/>
      <c r="G28" s="170"/>
    </row>
    <row r="29" spans="1:7" x14ac:dyDescent="0.2">
      <c r="A29" s="166" t="s">
        <v>412</v>
      </c>
      <c r="E29" s="170"/>
      <c r="F29" s="170"/>
      <c r="G29" s="170"/>
    </row>
    <row r="30" spans="1:7" ht="15" x14ac:dyDescent="0.35">
      <c r="A30" s="166"/>
      <c r="B30" s="18" t="s">
        <v>266</v>
      </c>
      <c r="E30" s="248">
        <v>8730</v>
      </c>
      <c r="F30" s="248">
        <f>'Rev, exp-Prop'!C32</f>
        <v>1024</v>
      </c>
      <c r="G30" s="268">
        <f>+F30-E30</f>
        <v>-7706</v>
      </c>
    </row>
    <row r="31" spans="1:7" ht="5.0999999999999996" customHeight="1" x14ac:dyDescent="0.2"/>
    <row r="32" spans="1:7" x14ac:dyDescent="0.2">
      <c r="A32" s="18" t="s">
        <v>453</v>
      </c>
    </row>
    <row r="33" spans="1:7" ht="15" x14ac:dyDescent="0.35">
      <c r="A33" s="18" t="s">
        <v>431</v>
      </c>
      <c r="E33" s="249">
        <f>+E27+E30</f>
        <v>0</v>
      </c>
      <c r="F33" s="158">
        <f>SUM(F27:F32)</f>
        <v>-6346</v>
      </c>
      <c r="G33" s="249">
        <f>+G27+G30</f>
        <v>-6586</v>
      </c>
    </row>
    <row r="34" spans="1:7" ht="5.0999999999999996" customHeight="1" x14ac:dyDescent="0.2"/>
    <row r="35" spans="1:7" x14ac:dyDescent="0.2">
      <c r="A35" s="166" t="s">
        <v>454</v>
      </c>
      <c r="E35" s="167"/>
      <c r="F35" s="167"/>
      <c r="G35" s="167"/>
    </row>
    <row r="36" spans="1:7" x14ac:dyDescent="0.2">
      <c r="A36" s="166" t="s">
        <v>455</v>
      </c>
      <c r="E36" s="167"/>
      <c r="F36" s="167"/>
      <c r="G36" s="167"/>
    </row>
    <row r="38" spans="1:7" x14ac:dyDescent="0.2">
      <c r="A38" s="166" t="s">
        <v>434</v>
      </c>
    </row>
    <row r="39" spans="1:7" x14ac:dyDescent="0.2">
      <c r="A39" s="166"/>
      <c r="B39" s="166" t="s">
        <v>32</v>
      </c>
      <c r="E39" s="167"/>
      <c r="F39" s="170">
        <f>-'Cash Flow-Prop'!C32</f>
        <v>-300</v>
      </c>
    </row>
    <row r="40" spans="1:7" x14ac:dyDescent="0.2">
      <c r="A40" s="166"/>
      <c r="B40" s="18" t="s">
        <v>64</v>
      </c>
      <c r="F40" s="18">
        <f>'Cash Flow-Prop'!C39</f>
        <v>-8</v>
      </c>
    </row>
    <row r="41" spans="1:7" x14ac:dyDescent="0.2">
      <c r="A41" s="166"/>
      <c r="B41" s="166" t="s">
        <v>435</v>
      </c>
      <c r="C41" s="155"/>
      <c r="D41" s="155"/>
      <c r="F41" s="18">
        <f>'Cash Flow-Prop'!C41</f>
        <v>1656</v>
      </c>
    </row>
    <row r="42" spans="1:7" x14ac:dyDescent="0.2">
      <c r="A42" s="166"/>
      <c r="B42" s="166" t="s">
        <v>436</v>
      </c>
      <c r="C42" s="155"/>
      <c r="D42" s="155"/>
      <c r="F42" s="18">
        <f>'Cash Flow-Prop'!C42</f>
        <v>-30304</v>
      </c>
    </row>
    <row r="43" spans="1:7" x14ac:dyDescent="0.2">
      <c r="A43" s="166"/>
      <c r="B43" s="166" t="s">
        <v>456</v>
      </c>
      <c r="C43" s="155"/>
      <c r="D43" s="155"/>
      <c r="F43" s="18">
        <f>'Cash Flow-Prop'!C43-7183</f>
        <v>-8273</v>
      </c>
    </row>
    <row r="44" spans="1:7" hidden="1" x14ac:dyDescent="0.2">
      <c r="A44" s="166"/>
      <c r="B44" s="171" t="s">
        <v>438</v>
      </c>
      <c r="C44" s="160"/>
      <c r="D44" s="160"/>
      <c r="E44" s="161"/>
      <c r="F44" s="161">
        <v>-64.260000000000005</v>
      </c>
    </row>
    <row r="45" spans="1:7" hidden="1" x14ac:dyDescent="0.2">
      <c r="A45" s="166"/>
      <c r="B45" s="171" t="s">
        <v>457</v>
      </c>
      <c r="C45" s="160"/>
      <c r="D45" s="160"/>
      <c r="E45" s="161"/>
      <c r="F45" s="161">
        <v>31.98</v>
      </c>
    </row>
    <row r="46" spans="1:7" x14ac:dyDescent="0.2">
      <c r="A46" s="166"/>
      <c r="B46" s="166" t="s">
        <v>458</v>
      </c>
      <c r="C46" s="155"/>
      <c r="D46" s="155"/>
      <c r="F46" s="18">
        <f>'Cash Flow-Prop'!C46</f>
        <v>33358</v>
      </c>
    </row>
    <row r="47" spans="1:7" hidden="1" x14ac:dyDescent="0.2">
      <c r="A47" s="166"/>
      <c r="B47" s="171" t="s">
        <v>459</v>
      </c>
      <c r="C47" s="160"/>
      <c r="D47" s="160"/>
      <c r="E47" s="161"/>
      <c r="F47" s="161">
        <v>-25460.58</v>
      </c>
    </row>
    <row r="48" spans="1:7" x14ac:dyDescent="0.2">
      <c r="B48" s="166" t="s">
        <v>384</v>
      </c>
      <c r="E48" s="167"/>
      <c r="F48" s="167">
        <f>F24</f>
        <v>1130</v>
      </c>
      <c r="G48" s="167"/>
    </row>
    <row r="49" spans="1:7" ht="15" customHeight="1" x14ac:dyDescent="0.35">
      <c r="B49" s="166" t="s">
        <v>460</v>
      </c>
      <c r="E49" s="167"/>
      <c r="F49" s="245">
        <v>-170</v>
      </c>
      <c r="G49" s="167"/>
    </row>
    <row r="50" spans="1:7" ht="15" customHeight="1" x14ac:dyDescent="0.35">
      <c r="A50" s="166" t="s">
        <v>133</v>
      </c>
      <c r="E50" s="167"/>
      <c r="F50" s="246">
        <f>F33+SUM(F39:F49)-F45-F44-F47</f>
        <v>-9257</v>
      </c>
      <c r="G50" s="265"/>
    </row>
    <row r="51" spans="1:7" x14ac:dyDescent="0.2">
      <c r="E51" s="167"/>
      <c r="F51" s="167"/>
      <c r="G51" s="167"/>
    </row>
    <row r="52" spans="1:7" x14ac:dyDescent="0.2">
      <c r="F52" s="167"/>
      <c r="G52" s="167"/>
    </row>
    <row r="53" spans="1:7" ht="20.25" x14ac:dyDescent="0.55000000000000004">
      <c r="C53" s="491" t="s">
        <v>513</v>
      </c>
      <c r="D53" s="491"/>
      <c r="E53" s="491"/>
      <c r="F53" s="300"/>
      <c r="G53" s="167"/>
    </row>
    <row r="54" spans="1:7" ht="15.75" x14ac:dyDescent="0.25">
      <c r="C54" s="295"/>
      <c r="D54" s="295" t="s">
        <v>670</v>
      </c>
      <c r="E54" s="294" t="str">
        <f>IF(E33=0,"Yes",E33)</f>
        <v>Yes</v>
      </c>
      <c r="F54" s="295"/>
    </row>
    <row r="55" spans="1:7" ht="15.75" x14ac:dyDescent="0.25">
      <c r="C55" s="295"/>
      <c r="D55" s="293" t="s">
        <v>540</v>
      </c>
      <c r="E55" s="293"/>
      <c r="F55" s="299" t="str">
        <f>IF(F50-'Rev, exp-Prop'!C38=0,"Yes",F50-'Rev, exp-Prop'!C38)</f>
        <v>Yes</v>
      </c>
    </row>
    <row r="96" ht="16.149999999999999" customHeight="1" x14ac:dyDescent="0.2"/>
  </sheetData>
  <mergeCells count="2">
    <mergeCell ref="C53:E53"/>
    <mergeCell ref="A7:D7"/>
  </mergeCells>
  <conditionalFormatting sqref="E54 F55">
    <cfRule type="cellIs" dxfId="0" priority="1" operator="notEqual">
      <formula>"Yes"</formula>
    </cfRule>
  </conditionalFormatting>
  <printOptions horizontalCentered="1"/>
  <pageMargins left="0.75" right="0.75" top="1" bottom="1" header="0.5" footer="0.5"/>
  <pageSetup firstPageNumber="19" fitToHeight="0" orientation="portrait" useFirstPageNumber="1" r:id="rId1"/>
  <headerFooter alignWithMargins="0"/>
  <ignoredErrors>
    <ignoredError sqref="F33" formula="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CA62E-3B4D-445F-9648-96037EC79AC2}">
  <dimension ref="A6:K56"/>
  <sheetViews>
    <sheetView workbookViewId="0">
      <selection activeCell="J36" sqref="J36"/>
    </sheetView>
  </sheetViews>
  <sheetFormatPr defaultRowHeight="12.75" x14ac:dyDescent="0.2"/>
  <cols>
    <col min="1" max="1" width="32" bestFit="1" customWidth="1"/>
    <col min="2" max="4" width="11.7109375" customWidth="1"/>
    <col min="6" max="8" width="11.7109375" customWidth="1"/>
  </cols>
  <sheetData>
    <row r="6" spans="1:9" x14ac:dyDescent="0.2">
      <c r="C6">
        <v>2021</v>
      </c>
    </row>
    <row r="7" spans="1:9" ht="15" x14ac:dyDescent="0.35">
      <c r="A7" s="16"/>
      <c r="B7" s="462" t="s">
        <v>12</v>
      </c>
      <c r="C7" s="462"/>
      <c r="D7" s="462"/>
      <c r="F7" s="462" t="s">
        <v>12</v>
      </c>
      <c r="G7" s="462"/>
      <c r="H7" s="462"/>
    </row>
    <row r="8" spans="1:9" ht="15" x14ac:dyDescent="0.35">
      <c r="A8" s="16"/>
      <c r="B8" s="351" t="s">
        <v>13</v>
      </c>
      <c r="C8" s="351" t="s">
        <v>14</v>
      </c>
      <c r="D8" s="204"/>
      <c r="F8" s="351" t="s">
        <v>13</v>
      </c>
      <c r="G8" s="351" t="s">
        <v>14</v>
      </c>
      <c r="H8" s="204"/>
    </row>
    <row r="9" spans="1:9" ht="30" x14ac:dyDescent="0.35">
      <c r="A9" s="16"/>
      <c r="B9" s="352" t="s">
        <v>15</v>
      </c>
      <c r="C9" s="352" t="s">
        <v>16</v>
      </c>
      <c r="D9" s="352" t="s">
        <v>17</v>
      </c>
      <c r="F9" s="352" t="s">
        <v>15</v>
      </c>
      <c r="G9" s="352" t="s">
        <v>16</v>
      </c>
      <c r="H9" s="352" t="s">
        <v>17</v>
      </c>
    </row>
    <row r="10" spans="1:9" x14ac:dyDescent="0.2">
      <c r="A10" s="20" t="s">
        <v>552</v>
      </c>
      <c r="B10" s="16"/>
      <c r="C10" s="16"/>
      <c r="D10" s="16"/>
      <c r="F10" s="16"/>
      <c r="G10" s="16"/>
      <c r="H10" s="16"/>
    </row>
    <row r="11" spans="1:9" x14ac:dyDescent="0.2">
      <c r="A11" s="16" t="s">
        <v>236</v>
      </c>
      <c r="B11" s="16"/>
      <c r="C11" s="16"/>
      <c r="D11" s="16"/>
      <c r="F11" s="16"/>
      <c r="G11" s="16"/>
      <c r="H11" s="16"/>
    </row>
    <row r="12" spans="1:9" x14ac:dyDescent="0.2">
      <c r="A12" s="52" t="s">
        <v>61</v>
      </c>
      <c r="B12" s="50">
        <f>ROUND(320800-(48500)*0.2*0.7- (27219)*0.2*0.7-(0.2*0.7*1260*0.5)-(50000*0.2*0.7)-(30000*0.2*0.7)-(1400*0.5*0.7*0.2),0)</f>
        <v>298813</v>
      </c>
      <c r="C12" s="50">
        <f>ROUND(27644-(48500)*0.2*0.3-(27219)*0.2*0.3-(0.2*0.3*1260*0.5)-(50000*0.2*0.3)-(30000*0.2*0.3)-(1400*0.5*0.2*0.3),0)</f>
        <v>18221</v>
      </c>
      <c r="D12" s="50">
        <f>SUM(B12:C12)</f>
        <v>317034</v>
      </c>
      <c r="F12" s="50">
        <f>'Cash Flow-Prop'!B26</f>
        <v>298972</v>
      </c>
      <c r="G12" s="50">
        <f>'Cash Flow-Prop'!C26</f>
        <v>28440</v>
      </c>
      <c r="H12" s="50">
        <f>SUM(F12:G12)</f>
        <v>327412</v>
      </c>
    </row>
    <row r="13" spans="1:9" x14ac:dyDescent="0.2">
      <c r="A13" s="52" t="s">
        <v>62</v>
      </c>
      <c r="B13" s="355">
        <v>142900</v>
      </c>
      <c r="C13" s="355">
        <v>814</v>
      </c>
      <c r="D13" s="355">
        <f>SUM(B13:C13)</f>
        <v>143714</v>
      </c>
      <c r="F13" s="355">
        <f>B13+'Cash Flow-Prop'!B37</f>
        <v>92900</v>
      </c>
      <c r="G13" s="358">
        <f>C13+'Cash Flow-Prop'!C37</f>
        <v>70</v>
      </c>
      <c r="H13" s="355">
        <f>SUM(F13:G13)</f>
        <v>92970</v>
      </c>
    </row>
    <row r="14" spans="1:9" x14ac:dyDescent="0.2">
      <c r="A14" s="52" t="s">
        <v>63</v>
      </c>
      <c r="B14" s="355">
        <v>0</v>
      </c>
      <c r="C14" s="355">
        <v>4500</v>
      </c>
      <c r="D14" s="355">
        <f>SUM(B14:C14)</f>
        <v>4500</v>
      </c>
      <c r="F14" s="355">
        <v>0</v>
      </c>
      <c r="G14" s="355">
        <f>C14+'Cash Flow-Prop'!C38</f>
        <v>6008</v>
      </c>
      <c r="H14" s="355">
        <f>SUM(F14:G14)</f>
        <v>6008</v>
      </c>
    </row>
    <row r="15" spans="1:9" x14ac:dyDescent="0.2">
      <c r="A15" s="52" t="s">
        <v>237</v>
      </c>
      <c r="B15" s="355">
        <f>ROUND(GWNetPos!C12*0.7,0)</f>
        <v>48</v>
      </c>
      <c r="C15" s="355">
        <f>ROUND(GWNetPos!C12*0.3,0)</f>
        <v>21</v>
      </c>
      <c r="D15" s="355">
        <f>SUM(B15:C15)</f>
        <v>69</v>
      </c>
      <c r="F15" s="355">
        <f>ROUND(GWNetPos!G12*0.7,0)</f>
        <v>0</v>
      </c>
      <c r="G15" s="355">
        <f>ROUND(GWNetPos!G12*0.3,0)</f>
        <v>0</v>
      </c>
      <c r="H15" s="355">
        <f>SUM(F15:G15)</f>
        <v>0</v>
      </c>
    </row>
    <row r="16" spans="1:9" ht="15" x14ac:dyDescent="0.35">
      <c r="A16" s="52" t="s">
        <v>66</v>
      </c>
      <c r="B16" s="195">
        <v>42660</v>
      </c>
      <c r="C16" s="195">
        <v>0</v>
      </c>
      <c r="D16" s="195">
        <f>SUM(B16:C16)</f>
        <v>42660</v>
      </c>
      <c r="F16" s="195">
        <f>B16+'Cash Flow-Prop'!B40</f>
        <v>33370</v>
      </c>
      <c r="G16" s="195">
        <v>0</v>
      </c>
      <c r="H16" s="195">
        <f>SUM(F16:G16)</f>
        <v>33370</v>
      </c>
      <c r="I16" s="363">
        <f>SUM(H13:H16)-'MD&amp;A Tables'!E8</f>
        <v>34692</v>
      </c>
    </row>
    <row r="17" spans="1:11" ht="15" x14ac:dyDescent="0.35">
      <c r="A17" s="53" t="s">
        <v>238</v>
      </c>
      <c r="B17" s="195">
        <f>SUM(B12:B16)</f>
        <v>484421</v>
      </c>
      <c r="C17" s="195">
        <f>SUM(C12:C16)</f>
        <v>23556</v>
      </c>
      <c r="D17" s="195">
        <f>SUM(D12:D16)</f>
        <v>507977</v>
      </c>
      <c r="F17" s="195">
        <f>SUM(F12:F16)</f>
        <v>425242</v>
      </c>
      <c r="G17" s="195">
        <f>SUM(G12:G16)</f>
        <v>34518</v>
      </c>
      <c r="H17" s="195">
        <f>SUM(H12:H16)</f>
        <v>459760</v>
      </c>
    </row>
    <row r="18" spans="1:11" x14ac:dyDescent="0.2">
      <c r="A18" s="16"/>
      <c r="B18" s="355"/>
      <c r="C18" s="355"/>
      <c r="D18" s="355"/>
      <c r="F18" s="355"/>
      <c r="G18" s="355"/>
      <c r="H18" s="355"/>
    </row>
    <row r="19" spans="1:11" x14ac:dyDescent="0.2">
      <c r="A19" s="354" t="s">
        <v>239</v>
      </c>
      <c r="B19" s="55"/>
      <c r="C19" s="55"/>
      <c r="D19" s="55"/>
      <c r="F19" s="55"/>
      <c r="G19" s="55"/>
      <c r="H19" s="55"/>
    </row>
    <row r="20" spans="1:11" x14ac:dyDescent="0.2">
      <c r="A20" s="353" t="s">
        <v>240</v>
      </c>
      <c r="B20" s="55"/>
      <c r="C20" s="55"/>
      <c r="D20" s="55"/>
      <c r="F20" s="55"/>
      <c r="G20" s="55"/>
      <c r="H20" s="55"/>
    </row>
    <row r="21" spans="1:11" x14ac:dyDescent="0.2">
      <c r="A21" s="53" t="s">
        <v>241</v>
      </c>
      <c r="B21" s="55">
        <v>42825</v>
      </c>
      <c r="C21" s="55">
        <v>0</v>
      </c>
      <c r="D21" s="55">
        <f>SUM(B21:C21)</f>
        <v>42825</v>
      </c>
      <c r="F21" s="55">
        <f>B21+'Cash Flow-Prop'!B21+'Cash Flow-Prop'!B32</f>
        <v>41190</v>
      </c>
      <c r="G21" s="55">
        <v>0</v>
      </c>
      <c r="H21" s="55">
        <f>SUM(F21:G21)</f>
        <v>41190</v>
      </c>
    </row>
    <row r="22" spans="1:11" ht="15" x14ac:dyDescent="0.35">
      <c r="A22" s="53" t="s">
        <v>242</v>
      </c>
      <c r="B22" s="195">
        <v>5515</v>
      </c>
      <c r="C22" s="195">
        <v>830</v>
      </c>
      <c r="D22" s="195">
        <f>SUM(B22:C22)</f>
        <v>6345</v>
      </c>
      <c r="F22" s="195">
        <f>B22</f>
        <v>5515</v>
      </c>
      <c r="G22" s="195">
        <f>C22+'Cash Flow-Prop'!C21+'Cash Flow-Prop'!C32</f>
        <v>0</v>
      </c>
      <c r="H22" s="195">
        <f>SUM(F22:G22)</f>
        <v>5515</v>
      </c>
    </row>
    <row r="23" spans="1:11" ht="15" x14ac:dyDescent="0.35">
      <c r="A23" s="82" t="s">
        <v>243</v>
      </c>
      <c r="B23" s="195">
        <v>48340</v>
      </c>
      <c r="C23" s="195">
        <v>830</v>
      </c>
      <c r="D23" s="195">
        <f>SUM(D21:D22)</f>
        <v>49170</v>
      </c>
      <c r="F23" s="195">
        <f>SUM(F21:F22)</f>
        <v>46705</v>
      </c>
      <c r="G23" s="195">
        <f>SUM(G21:G22)</f>
        <v>0</v>
      </c>
      <c r="H23" s="195">
        <f>SUM(H21:H22)</f>
        <v>46705</v>
      </c>
      <c r="I23" s="363"/>
    </row>
    <row r="24" spans="1:11" ht="15" x14ac:dyDescent="0.35">
      <c r="A24" s="83" t="s">
        <v>71</v>
      </c>
      <c r="B24" s="209">
        <f>B17+B23</f>
        <v>532761</v>
      </c>
      <c r="C24" s="209">
        <f>C17+C23</f>
        <v>24386</v>
      </c>
      <c r="D24" s="209">
        <f>SUM(B24:C24)</f>
        <v>557147</v>
      </c>
      <c r="F24" s="209">
        <f>F17+F23</f>
        <v>471947</v>
      </c>
      <c r="G24" s="209">
        <f>G17+G23</f>
        <v>34518</v>
      </c>
      <c r="H24" s="209">
        <f>SUM(F24:G24)</f>
        <v>506465</v>
      </c>
      <c r="I24" s="364">
        <f>+H24-'MD&amp;A Tables'!E10</f>
        <v>34692</v>
      </c>
    </row>
    <row r="25" spans="1:11" x14ac:dyDescent="0.2">
      <c r="A25" s="83"/>
      <c r="B25" s="84"/>
      <c r="C25" s="84"/>
      <c r="D25" s="84"/>
      <c r="F25" s="84"/>
      <c r="G25" s="84"/>
      <c r="H25" s="84"/>
    </row>
    <row r="26" spans="1:11" x14ac:dyDescent="0.2">
      <c r="A26" s="16" t="s">
        <v>497</v>
      </c>
      <c r="B26" s="84">
        <f>ROUND(GWNetPos!C22*0.7,0)</f>
        <v>30808</v>
      </c>
      <c r="C26" s="84">
        <f>ROUND(GWNetPos!C22*0.3,0)</f>
        <v>13203</v>
      </c>
      <c r="D26" s="84">
        <f>SUM(B26:C26)</f>
        <v>44011</v>
      </c>
      <c r="F26" s="55">
        <f>B26-'Cash Flow-Prop'!B43</f>
        <v>33353</v>
      </c>
      <c r="G26" s="55">
        <f>C26-'Cash Flow-Prop'!C43</f>
        <v>14293</v>
      </c>
      <c r="H26" s="55">
        <f>SUM(F26:G26)</f>
        <v>47646</v>
      </c>
      <c r="J26" s="363"/>
    </row>
    <row r="27" spans="1:11" x14ac:dyDescent="0.2">
      <c r="A27" s="16" t="str">
        <f>GWNetPos!A23</f>
        <v>Deferred outflows of resources - retire health benefits</v>
      </c>
      <c r="B27" s="84">
        <f>ROUND(GWNetPos!C23*0.7,0)</f>
        <v>12285</v>
      </c>
      <c r="C27" s="84">
        <f>ROUND(GWNetPos!C23*0.3,0)</f>
        <v>5265</v>
      </c>
      <c r="D27" s="84">
        <f>SUM(B27:C27)</f>
        <v>17550</v>
      </c>
      <c r="F27" s="55">
        <f>B27-'Cash Flow-Prop'!B44</f>
        <v>20609</v>
      </c>
      <c r="G27" s="55">
        <f>C27-'Cash Flow-Prop'!C44</f>
        <v>8833</v>
      </c>
      <c r="H27" s="55">
        <f>SUM(F27:G27)</f>
        <v>29442</v>
      </c>
      <c r="J27" s="363"/>
      <c r="K27" s="306"/>
    </row>
    <row r="28" spans="1:11" x14ac:dyDescent="0.2">
      <c r="A28" s="16" t="str">
        <f>GWNetPos!A24</f>
        <v>Deferred outflows of resources - deferred income plan</v>
      </c>
      <c r="B28" s="84">
        <f>ROUND(GWNetPos!C24*0.7,0)</f>
        <v>293</v>
      </c>
      <c r="C28" s="84">
        <f>ROUND(GWNetPos!C24*0.3,0)</f>
        <v>125</v>
      </c>
      <c r="D28" s="84">
        <f>SUM(B28:C28)</f>
        <v>418</v>
      </c>
      <c r="F28" s="55">
        <f>B28-'Cash Flow-Prop'!B45</f>
        <v>243</v>
      </c>
      <c r="G28" s="55">
        <f>C28-'Cash Flow-Prop'!C45</f>
        <v>102</v>
      </c>
      <c r="H28" s="55">
        <f>SUM(F28:G28)</f>
        <v>345</v>
      </c>
      <c r="J28" s="363"/>
      <c r="K28" s="306"/>
    </row>
    <row r="29" spans="1:11" ht="15" x14ac:dyDescent="0.35">
      <c r="A29" s="16" t="s">
        <v>496</v>
      </c>
      <c r="B29" s="210">
        <f>SUM(B26:B28)</f>
        <v>43386</v>
      </c>
      <c r="C29" s="210">
        <f>SUM(C26:C28)</f>
        <v>18593</v>
      </c>
      <c r="D29" s="210">
        <f>SUM(D26:D28)</f>
        <v>61979</v>
      </c>
      <c r="F29" s="195">
        <f>SUM(F26:F28)</f>
        <v>54205</v>
      </c>
      <c r="G29" s="195">
        <f>SUM(G26:G28)</f>
        <v>23228</v>
      </c>
      <c r="H29" s="195">
        <f>SUM(H26:H28)</f>
        <v>77433</v>
      </c>
    </row>
    <row r="30" spans="1:11" x14ac:dyDescent="0.2">
      <c r="A30" s="16"/>
      <c r="B30" s="355"/>
      <c r="C30" s="355"/>
      <c r="D30" s="355"/>
      <c r="F30" s="355"/>
      <c r="G30" s="355"/>
      <c r="H30" s="355"/>
    </row>
    <row r="31" spans="1:11" x14ac:dyDescent="0.2">
      <c r="A31" s="20" t="s">
        <v>553</v>
      </c>
      <c r="B31" s="355"/>
      <c r="C31" s="355"/>
      <c r="D31" s="355"/>
      <c r="F31" s="355"/>
      <c r="G31" s="355"/>
      <c r="H31" s="355"/>
    </row>
    <row r="32" spans="1:11" x14ac:dyDescent="0.2">
      <c r="A32" s="16" t="s">
        <v>244</v>
      </c>
      <c r="B32" s="355"/>
      <c r="C32" s="355"/>
      <c r="D32" s="355"/>
      <c r="F32" s="355"/>
      <c r="G32" s="355"/>
      <c r="H32" s="355"/>
    </row>
    <row r="33" spans="1:8" ht="25.5" x14ac:dyDescent="0.2">
      <c r="A33" s="353" t="s">
        <v>245</v>
      </c>
      <c r="B33" s="60">
        <v>3000</v>
      </c>
      <c r="C33" s="60">
        <v>2200</v>
      </c>
      <c r="D33" s="50">
        <f>SUM(B33:C33)</f>
        <v>5200</v>
      </c>
      <c r="F33" s="358">
        <f>+B33+'Cash Flow-Prop'!B48</f>
        <v>4284</v>
      </c>
      <c r="G33" s="362">
        <f>+C33+'Cash Flow-Prop'!C48</f>
        <v>462</v>
      </c>
      <c r="H33" s="55">
        <f>SUM(F33:G33)</f>
        <v>4746</v>
      </c>
    </row>
    <row r="34" spans="1:8" ht="15" x14ac:dyDescent="0.35">
      <c r="A34" s="353" t="s">
        <v>246</v>
      </c>
      <c r="B34" s="195">
        <v>7700</v>
      </c>
      <c r="C34" s="195">
        <v>0</v>
      </c>
      <c r="D34" s="197">
        <f>SUM(B34:C34)</f>
        <v>7700</v>
      </c>
      <c r="F34" s="195">
        <v>0</v>
      </c>
      <c r="G34" s="195">
        <v>0</v>
      </c>
      <c r="H34" s="197">
        <f>SUM(F34:G34)</f>
        <v>0</v>
      </c>
    </row>
    <row r="35" spans="1:8" ht="15" x14ac:dyDescent="0.35">
      <c r="A35" s="53" t="s">
        <v>247</v>
      </c>
      <c r="B35" s="195">
        <f>SUM(B33:B34)</f>
        <v>10700</v>
      </c>
      <c r="C35" s="195">
        <f>SUM(C33:C34)</f>
        <v>2200</v>
      </c>
      <c r="D35" s="195">
        <f>SUM(D33:D34)</f>
        <v>12900</v>
      </c>
      <c r="F35" s="195">
        <f>SUM(F33:F34)</f>
        <v>4284</v>
      </c>
      <c r="G35" s="195">
        <f>SUM(G33:G34)</f>
        <v>462</v>
      </c>
      <c r="H35" s="195">
        <f>SUM(H33:H34)</f>
        <v>4746</v>
      </c>
    </row>
    <row r="36" spans="1:8" x14ac:dyDescent="0.2">
      <c r="A36" s="53"/>
      <c r="B36" s="55"/>
      <c r="C36" s="55"/>
      <c r="D36" s="55"/>
      <c r="F36" s="55"/>
      <c r="G36" s="55"/>
      <c r="H36" s="55"/>
    </row>
    <row r="37" spans="1:8" x14ac:dyDescent="0.2">
      <c r="A37" s="16" t="s">
        <v>248</v>
      </c>
      <c r="B37" s="55"/>
      <c r="C37" s="55"/>
      <c r="D37" s="55"/>
      <c r="F37" s="55"/>
      <c r="G37" s="55"/>
      <c r="H37" s="55"/>
    </row>
    <row r="38" spans="1:8" x14ac:dyDescent="0.2">
      <c r="A38" s="52" t="s">
        <v>77</v>
      </c>
      <c r="B38" s="55">
        <f>ROUND(0.7*GWNetPos!C33,0)</f>
        <v>57009</v>
      </c>
      <c r="C38" s="55">
        <f>ROUND(0.3*GWNetPos!C33,0)</f>
        <v>24432</v>
      </c>
      <c r="D38" s="55">
        <f>SUM(B38:C38)</f>
        <v>81441</v>
      </c>
      <c r="F38" s="55">
        <f>B38-'Cash Flow-Prop'!B41</f>
        <v>53143</v>
      </c>
      <c r="G38" s="55">
        <f>C38-'Cash Flow-Prop'!C4</f>
        <v>24432</v>
      </c>
      <c r="H38" s="55">
        <f>SUM(F38:G38)</f>
        <v>77575</v>
      </c>
    </row>
    <row r="39" spans="1:8" x14ac:dyDescent="0.2">
      <c r="A39" s="52" t="str">
        <f>GWNetPos!A34</f>
        <v>Net other post employment benefits liability</v>
      </c>
      <c r="B39" s="55">
        <f>ROUND(GWNetPos!C34*0.7,0)</f>
        <v>153075</v>
      </c>
      <c r="C39" s="55">
        <f>ROUND(GWNetPos!C34*0.3,0)</f>
        <v>65603</v>
      </c>
      <c r="D39" s="55">
        <f>SUM(B39:C39)</f>
        <v>218678</v>
      </c>
      <c r="F39" s="55">
        <f>B39+'Cash Flow-Prop'!B42</f>
        <v>82366</v>
      </c>
      <c r="G39" s="55">
        <f>C39+'Cash Flow-Prop'!C42</f>
        <v>35299</v>
      </c>
      <c r="H39" s="55">
        <f>SUM(F39:G39)</f>
        <v>117665</v>
      </c>
    </row>
    <row r="40" spans="1:8" ht="15" x14ac:dyDescent="0.35">
      <c r="A40" s="52" t="s">
        <v>210</v>
      </c>
      <c r="B40" s="195">
        <v>5000</v>
      </c>
      <c r="C40" s="195">
        <v>8016</v>
      </c>
      <c r="D40" s="197">
        <f>SUM(B40:C40)</f>
        <v>13016</v>
      </c>
      <c r="F40" s="195">
        <v>0</v>
      </c>
      <c r="G40" s="195">
        <v>0</v>
      </c>
      <c r="H40" s="197">
        <f>SUM(F40:G40)</f>
        <v>0</v>
      </c>
    </row>
    <row r="41" spans="1:8" ht="15" x14ac:dyDescent="0.35">
      <c r="A41" s="53" t="s">
        <v>249</v>
      </c>
      <c r="B41" s="195">
        <f>SUM(B38:B40)</f>
        <v>215084</v>
      </c>
      <c r="C41" s="195">
        <f>SUM(C38:C40)</f>
        <v>98051</v>
      </c>
      <c r="D41" s="195">
        <f>SUM(D38:D40)</f>
        <v>313135</v>
      </c>
      <c r="F41" s="195">
        <f>SUM(F38:F40)</f>
        <v>135509</v>
      </c>
      <c r="G41" s="195">
        <f>SUM(G38:G40)</f>
        <v>59731</v>
      </c>
      <c r="H41" s="195">
        <f>SUM(H38:H40)</f>
        <v>195240</v>
      </c>
    </row>
    <row r="42" spans="1:8" ht="15" x14ac:dyDescent="0.35">
      <c r="A42" s="54" t="s">
        <v>79</v>
      </c>
      <c r="B42" s="195">
        <f>B41+B35</f>
        <v>225784</v>
      </c>
      <c r="C42" s="195">
        <f>C41+C35</f>
        <v>100251</v>
      </c>
      <c r="D42" s="195">
        <f>D41+D35</f>
        <v>326035</v>
      </c>
      <c r="F42" s="195">
        <f>F41+F35</f>
        <v>139793</v>
      </c>
      <c r="G42" s="195">
        <f>G41+G35</f>
        <v>60193</v>
      </c>
      <c r="H42" s="195">
        <f>H41+H35</f>
        <v>199986</v>
      </c>
    </row>
    <row r="43" spans="1:8" x14ac:dyDescent="0.2">
      <c r="A43" s="54"/>
      <c r="B43" s="55"/>
      <c r="C43" s="55"/>
      <c r="D43" s="55"/>
      <c r="F43" s="55"/>
      <c r="G43" s="55"/>
      <c r="H43" s="55"/>
    </row>
    <row r="44" spans="1:8" x14ac:dyDescent="0.2">
      <c r="A44" s="16" t="s">
        <v>498</v>
      </c>
      <c r="B44" s="55">
        <f>ROUND(GWNetPos!C39*0.7,0)</f>
        <v>3227</v>
      </c>
      <c r="C44" s="55">
        <f>ROUND(GWNetPos!C39*0.3,0)</f>
        <v>1383</v>
      </c>
      <c r="D44" s="55">
        <f>SUM(B44:C44)</f>
        <v>4610</v>
      </c>
      <c r="F44" s="55">
        <f>ROUND(GWNetPos!G39*0.7,0)</f>
        <v>0</v>
      </c>
      <c r="G44" s="55">
        <f>ROUND(GWNetPos!G39*0.3,0)</f>
        <v>0</v>
      </c>
      <c r="H44" s="55">
        <v>30338</v>
      </c>
    </row>
    <row r="45" spans="1:8" x14ac:dyDescent="0.2">
      <c r="A45" s="16" t="str">
        <f>GWNetPos!A40</f>
        <v>Deferred inflows of resources - retire health benefits</v>
      </c>
      <c r="B45" s="55">
        <f>ROUND(GWNetPos!C40*0.7,0)</f>
        <v>77440</v>
      </c>
      <c r="C45" s="55">
        <f>ROUND(GWNetPos!C40*0.3,0)</f>
        <v>33189</v>
      </c>
      <c r="D45" s="55">
        <f>SUM(B45:C45)</f>
        <v>110629</v>
      </c>
      <c r="F45" s="55">
        <f>ROUND(GWNetPos!G40*0.7,0)</f>
        <v>0</v>
      </c>
      <c r="G45" s="55">
        <f>ROUND(GWNetPos!G40*0.3,0)</f>
        <v>0</v>
      </c>
      <c r="H45" s="55">
        <f>SUM(F45:G45)</f>
        <v>0</v>
      </c>
    </row>
    <row r="46" spans="1:8" x14ac:dyDescent="0.2">
      <c r="A46" s="16" t="str">
        <f>GWNetPos!A41</f>
        <v>Deferred inflows of resources - deferred income plan</v>
      </c>
      <c r="B46" s="55">
        <v>0</v>
      </c>
      <c r="C46" s="55">
        <v>0</v>
      </c>
      <c r="D46" s="55">
        <v>0</v>
      </c>
      <c r="F46" s="55">
        <v>0</v>
      </c>
      <c r="G46" s="55">
        <v>0</v>
      </c>
      <c r="H46" s="55">
        <v>0</v>
      </c>
    </row>
    <row r="47" spans="1:8" ht="15" x14ac:dyDescent="0.35">
      <c r="A47" s="20" t="s">
        <v>499</v>
      </c>
      <c r="B47" s="197">
        <f>SUM(B44:B46)</f>
        <v>80667</v>
      </c>
      <c r="C47" s="197">
        <f>SUM(C44:C46)</f>
        <v>34572</v>
      </c>
      <c r="D47" s="197">
        <f>SUM(D44:D46)</f>
        <v>115239</v>
      </c>
      <c r="F47" s="197">
        <f>SUM(F44:F46)</f>
        <v>0</v>
      </c>
      <c r="G47" s="197">
        <f>SUM(G44:G46)</f>
        <v>0</v>
      </c>
      <c r="H47" s="197">
        <f>SUM(H44:H46)</f>
        <v>30338</v>
      </c>
    </row>
    <row r="48" spans="1:8" x14ac:dyDescent="0.2">
      <c r="A48" s="20"/>
      <c r="B48" s="355"/>
      <c r="C48" s="355"/>
      <c r="D48" s="355"/>
      <c r="F48" s="355"/>
      <c r="G48" s="355"/>
      <c r="H48" s="355"/>
    </row>
    <row r="49" spans="1:8" x14ac:dyDescent="0.2">
      <c r="A49" s="20" t="s">
        <v>561</v>
      </c>
      <c r="B49" s="355"/>
      <c r="C49" s="355"/>
      <c r="D49" s="355"/>
      <c r="F49" s="355"/>
      <c r="G49" s="355"/>
      <c r="H49" s="355"/>
    </row>
    <row r="50" spans="1:8" x14ac:dyDescent="0.2">
      <c r="A50" s="354" t="s">
        <v>80</v>
      </c>
      <c r="B50" s="355">
        <f>48340</f>
        <v>48340</v>
      </c>
      <c r="C50" s="355">
        <v>830</v>
      </c>
      <c r="D50" s="355">
        <f>SUM(B50:C50)</f>
        <v>49170</v>
      </c>
      <c r="F50" s="355">
        <v>0</v>
      </c>
      <c r="G50" s="355">
        <v>0</v>
      </c>
      <c r="H50" s="355">
        <f>SUM(F50:G50)</f>
        <v>0</v>
      </c>
    </row>
    <row r="51" spans="1:8" x14ac:dyDescent="0.2">
      <c r="A51" s="354" t="s">
        <v>501</v>
      </c>
      <c r="B51" s="355">
        <f>ROUND(GWNetPos!C50*0.7,0)</f>
        <v>341</v>
      </c>
      <c r="C51" s="355">
        <f>ROUND(GWNetPos!C50*0.3,0)</f>
        <v>146</v>
      </c>
      <c r="D51" s="355">
        <f>SUM(B51:C51)</f>
        <v>487</v>
      </c>
      <c r="F51" s="355">
        <f>ROUND(GWNetPos!G50*0.7,0)</f>
        <v>0</v>
      </c>
      <c r="G51" s="355">
        <f>ROUND(GWNetPos!G50*0.3,0)</f>
        <v>0</v>
      </c>
      <c r="H51" s="355">
        <f>SUM(F51:G51)</f>
        <v>0</v>
      </c>
    </row>
    <row r="52" spans="1:8" ht="15" x14ac:dyDescent="0.35">
      <c r="A52" s="354" t="s">
        <v>250</v>
      </c>
      <c r="B52" s="195">
        <v>221015</v>
      </c>
      <c r="C52" s="195">
        <v>-92820</v>
      </c>
      <c r="D52" s="195">
        <f>SUM(B52:C52)</f>
        <v>128195</v>
      </c>
      <c r="F52" s="195">
        <v>0</v>
      </c>
      <c r="G52" s="195">
        <v>0</v>
      </c>
      <c r="H52" s="195">
        <v>125569</v>
      </c>
    </row>
    <row r="53" spans="1:8" ht="15" x14ac:dyDescent="0.35">
      <c r="A53" s="354" t="s">
        <v>83</v>
      </c>
      <c r="B53" s="198">
        <f>SUM(B50:B52)</f>
        <v>269696</v>
      </c>
      <c r="C53" s="198">
        <f>SUM(C50:C52)</f>
        <v>-91844</v>
      </c>
      <c r="D53" s="198">
        <f>SUM(D50:D52)</f>
        <v>177852</v>
      </c>
      <c r="F53" s="198">
        <f>SUM(F50:F52)</f>
        <v>0</v>
      </c>
      <c r="G53" s="198">
        <f>SUM(G50:G52)</f>
        <v>0</v>
      </c>
      <c r="H53" s="198">
        <f>SUM(H50:H52)</f>
        <v>125569</v>
      </c>
    </row>
    <row r="54" spans="1:8" x14ac:dyDescent="0.2">
      <c r="A54" s="354"/>
      <c r="B54" s="16"/>
      <c r="C54" s="16"/>
      <c r="D54" s="56"/>
      <c r="F54" s="16"/>
      <c r="G54" s="16"/>
      <c r="H54" s="56"/>
    </row>
    <row r="55" spans="1:8" x14ac:dyDescent="0.2">
      <c r="A55" s="16"/>
      <c r="B55" s="16"/>
      <c r="C55" s="16"/>
      <c r="D55" s="16"/>
    </row>
    <row r="56" spans="1:8" x14ac:dyDescent="0.2">
      <c r="H56" s="363">
        <f>+H24+H29-H42-H47-H53</f>
        <v>228005</v>
      </c>
    </row>
  </sheetData>
  <mergeCells count="2">
    <mergeCell ref="B7:D7"/>
    <mergeCell ref="F7:H7"/>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O58"/>
  <sheetViews>
    <sheetView showGridLines="0" zoomScale="115" zoomScaleNormal="100" workbookViewId="0">
      <selection activeCell="K42" sqref="K42"/>
    </sheetView>
  </sheetViews>
  <sheetFormatPr defaultColWidth="11.7109375" defaultRowHeight="11.25" x14ac:dyDescent="0.2"/>
  <cols>
    <col min="1" max="1" width="33.5703125" style="172" customWidth="1"/>
    <col min="2" max="2" width="9.42578125" style="172" customWidth="1"/>
    <col min="3" max="4" width="8" style="172" customWidth="1"/>
    <col min="5" max="5" width="9.85546875" style="172" customWidth="1"/>
    <col min="6" max="7" width="8" style="172" customWidth="1"/>
    <col min="8" max="8" width="10.140625" style="172" bestFit="1" customWidth="1"/>
    <col min="9" max="10" width="8" style="172" customWidth="1"/>
    <col min="11" max="11" width="10.28515625" style="172" customWidth="1"/>
    <col min="12" max="13" width="8" style="172" customWidth="1"/>
    <col min="14" max="14" width="1.7109375" style="172" customWidth="1"/>
    <col min="15" max="15" width="26.28515625" style="172" bestFit="1" customWidth="1"/>
    <col min="16" max="16384" width="11.7109375" style="172"/>
  </cols>
  <sheetData>
    <row r="1" spans="1:15" x14ac:dyDescent="0.2">
      <c r="A1" s="172" t="s">
        <v>271</v>
      </c>
    </row>
    <row r="2" spans="1:15" x14ac:dyDescent="0.2">
      <c r="A2" s="172" t="s">
        <v>461</v>
      </c>
    </row>
    <row r="3" spans="1:15" x14ac:dyDescent="0.2">
      <c r="A3" s="173" t="s">
        <v>495</v>
      </c>
    </row>
    <row r="4" spans="1:15" x14ac:dyDescent="0.2">
      <c r="K4" s="541" t="s">
        <v>462</v>
      </c>
    </row>
    <row r="5" spans="1:15" ht="11.25" customHeight="1" x14ac:dyDescent="0.2">
      <c r="B5" s="541" t="s">
        <v>463</v>
      </c>
      <c r="E5" s="541" t="s">
        <v>464</v>
      </c>
      <c r="K5" s="542"/>
    </row>
    <row r="6" spans="1:15" ht="11.25" customHeight="1" x14ac:dyDescent="0.2">
      <c r="B6" s="541"/>
      <c r="C6" s="539" t="s">
        <v>465</v>
      </c>
      <c r="D6" s="540"/>
      <c r="E6" s="541"/>
      <c r="F6" s="539" t="s">
        <v>465</v>
      </c>
      <c r="G6" s="540"/>
      <c r="I6" s="539" t="s">
        <v>465</v>
      </c>
      <c r="J6" s="540"/>
      <c r="K6" s="542"/>
      <c r="L6" s="539" t="s">
        <v>465</v>
      </c>
      <c r="M6" s="540"/>
      <c r="N6" s="174"/>
      <c r="O6" s="175" t="s">
        <v>466</v>
      </c>
    </row>
    <row r="7" spans="1:15" ht="11.25" customHeight="1" x14ac:dyDescent="0.2">
      <c r="B7" s="541"/>
      <c r="E7" s="541"/>
      <c r="K7" s="542"/>
      <c r="O7" s="176" t="s">
        <v>467</v>
      </c>
    </row>
    <row r="8" spans="1:15" ht="11.25" customHeight="1" x14ac:dyDescent="0.2">
      <c r="A8" s="177" t="s">
        <v>468</v>
      </c>
      <c r="B8" s="541"/>
      <c r="C8" s="178" t="s">
        <v>469</v>
      </c>
      <c r="D8" s="178" t="s">
        <v>470</v>
      </c>
      <c r="E8" s="541"/>
      <c r="F8" s="178" t="s">
        <v>469</v>
      </c>
      <c r="G8" s="178" t="s">
        <v>470</v>
      </c>
      <c r="H8" s="177" t="s">
        <v>471</v>
      </c>
      <c r="I8" s="178" t="s">
        <v>469</v>
      </c>
      <c r="J8" s="178" t="s">
        <v>470</v>
      </c>
      <c r="K8" s="542"/>
      <c r="L8" s="178" t="s">
        <v>469</v>
      </c>
      <c r="M8" s="178" t="s">
        <v>470</v>
      </c>
      <c r="N8" s="178"/>
      <c r="O8" s="178" t="s">
        <v>472</v>
      </c>
    </row>
    <row r="10" spans="1:15" x14ac:dyDescent="0.2">
      <c r="A10" s="172" t="s">
        <v>217</v>
      </c>
      <c r="B10" s="172">
        <f>GASB34GovtFundsBS!B15</f>
        <v>307791</v>
      </c>
      <c r="C10" s="176" t="s">
        <v>473</v>
      </c>
      <c r="D10" s="176" t="s">
        <v>473</v>
      </c>
      <c r="E10" s="172">
        <f>GASB34GovtFundsBS!B21+GASB34GovtFundsBS!B23</f>
        <v>133600</v>
      </c>
      <c r="F10" s="176" t="s">
        <v>473</v>
      </c>
      <c r="G10" s="176" t="s">
        <v>473</v>
      </c>
      <c r="H10" s="172">
        <f>GASB34GovtFundsIS!D17</f>
        <v>33104537</v>
      </c>
      <c r="I10" s="176" t="s">
        <v>473</v>
      </c>
      <c r="J10" s="176" t="s">
        <v>473</v>
      </c>
      <c r="K10" s="172">
        <f>GASB34GovtFundsIS!D47</f>
        <v>32957601</v>
      </c>
      <c r="L10" s="176" t="s">
        <v>473</v>
      </c>
      <c r="M10" s="176" t="s">
        <v>473</v>
      </c>
      <c r="O10" s="179" t="s">
        <v>474</v>
      </c>
    </row>
    <row r="12" spans="1:15" x14ac:dyDescent="0.2">
      <c r="A12" s="173" t="s">
        <v>475</v>
      </c>
    </row>
    <row r="13" spans="1:15" x14ac:dyDescent="0.2">
      <c r="A13" s="180" t="s">
        <v>218</v>
      </c>
      <c r="B13" s="172">
        <f>GASB34GovtFundsBS!C15</f>
        <v>200300</v>
      </c>
      <c r="C13" s="181" t="str">
        <f>IF(B13&gt;B$22,"X","-")</f>
        <v>X</v>
      </c>
      <c r="D13" s="181" t="str">
        <f>IF(B13&gt;B$36,"X","-")</f>
        <v>X</v>
      </c>
      <c r="E13" s="172">
        <f>GASB34GovtFundsBS!C21+GASB34GovtFundsBS!C23</f>
        <v>200300</v>
      </c>
      <c r="F13" s="181" t="str">
        <f>IF(E13&gt;E$22,"X","-")</f>
        <v>X</v>
      </c>
      <c r="G13" s="181" t="str">
        <f>IF(E13&gt;E$36,"X","-")</f>
        <v>X</v>
      </c>
      <c r="H13" s="172">
        <f>GASB34GovtFundsIS!E17</f>
        <v>118964714</v>
      </c>
      <c r="I13" s="181" t="str">
        <f>IF(H13&gt;H$22,"X","-")</f>
        <v>X</v>
      </c>
      <c r="J13" s="181" t="str">
        <f>IF(H13&gt;H$36,"X","-")</f>
        <v>X</v>
      </c>
      <c r="K13" s="172">
        <f>GASB34GovtFundsIS!E47</f>
        <v>118950714</v>
      </c>
      <c r="L13" s="181" t="str">
        <f>IF(K13&gt;K$22,"X","-")</f>
        <v>X</v>
      </c>
      <c r="M13" s="181" t="str">
        <f>IF(K13&gt;K$36,"X","-")</f>
        <v>X</v>
      </c>
      <c r="O13" s="181" t="str">
        <f>IF(OR(AND(C13="X",D13="X"),AND(F13="X",G13="X"),AND(I13="X",J13="X"),AND(L13="X",M13="X")),"MAJOR","-")</f>
        <v>MAJOR</v>
      </c>
    </row>
    <row r="14" spans="1:15" x14ac:dyDescent="0.2">
      <c r="A14" s="180" t="s">
        <v>143</v>
      </c>
      <c r="B14" s="172">
        <f>GASB34GovtFundsBS!D15</f>
        <v>100072</v>
      </c>
      <c r="C14" s="181" t="str">
        <f>IF(B14&gt;B$22,"X","-")</f>
        <v>X</v>
      </c>
      <c r="D14" s="181" t="str">
        <f>IF(B14&gt;B$36,"X","-")</f>
        <v>X</v>
      </c>
      <c r="E14" s="182">
        <f>GASB34GovtFundsBS!D21+GASB34GovtFundsBS!D23</f>
        <v>0</v>
      </c>
      <c r="F14" s="181" t="str">
        <f>IF(E14&gt;E$22,"X","-")</f>
        <v>-</v>
      </c>
      <c r="G14" s="181" t="str">
        <f>IF(E14&gt;E$36,"X","-")</f>
        <v>-</v>
      </c>
      <c r="H14" s="172">
        <f>GASB34GovtFundsIS!F17</f>
        <v>726000</v>
      </c>
      <c r="I14" s="181" t="str">
        <f>IF(H14&gt;H$22,"X","-")</f>
        <v>-</v>
      </c>
      <c r="J14" s="181" t="str">
        <f>IF(H14&gt;H$36,"X","-")</f>
        <v>-</v>
      </c>
      <c r="K14" s="172">
        <f>GASB34GovtFundsIS!F47</f>
        <v>644028</v>
      </c>
      <c r="L14" s="181" t="str">
        <f>IF(K14&gt;K$22,"X","-")</f>
        <v>-</v>
      </c>
      <c r="M14" s="181" t="str">
        <f>IF(K14&gt;K$36,"X","-")</f>
        <v>-</v>
      </c>
      <c r="O14" s="181" t="str">
        <f>IF(OR(AND(C14="X",D14="X"),AND(F14="X",G14="X"),AND(I14="X",J14="X"),AND(L14="X",M14="X")),"MAJOR","-")</f>
        <v>MAJOR</v>
      </c>
    </row>
    <row r="15" spans="1:15" x14ac:dyDescent="0.2">
      <c r="A15" s="180" t="s">
        <v>381</v>
      </c>
      <c r="B15" s="172">
        <f>GASB34GovtFundsBS!F15</f>
        <v>30800</v>
      </c>
      <c r="C15" s="181" t="str">
        <f>IF(B15&gt;B$22,"X","-")</f>
        <v>-</v>
      </c>
      <c r="D15" s="181" t="str">
        <f>IF(B15&gt;B$36,"X","-")</f>
        <v>-</v>
      </c>
      <c r="E15" s="172">
        <f>GASB34GovtFundsBS!F21+GASB34GovtFundsBS!F23</f>
        <v>30800</v>
      </c>
      <c r="F15" s="181" t="str">
        <f>IF(E15&gt;E$22,"X","-")</f>
        <v>-</v>
      </c>
      <c r="G15" s="181" t="str">
        <f>IF(E15&gt;E$36,"X","-")</f>
        <v>-</v>
      </c>
      <c r="H15" s="172">
        <f>GASB34GovtFundsIS!H17</f>
        <v>197774</v>
      </c>
      <c r="I15" s="181" t="str">
        <f>IF(H15&gt;H$22,"X","-")</f>
        <v>-</v>
      </c>
      <c r="J15" s="181" t="str">
        <f>IF(H15&gt;H$36,"X","-")</f>
        <v>-</v>
      </c>
      <c r="K15" s="172">
        <f>GASB34GovtFundsIS!H47</f>
        <v>197774</v>
      </c>
      <c r="L15" s="181" t="str">
        <f>IF(K15&gt;K$22,"X","-")</f>
        <v>-</v>
      </c>
      <c r="M15" s="181" t="str">
        <f>IF(K15&gt;K$36,"X","-")</f>
        <v>-</v>
      </c>
      <c r="O15" s="181" t="str">
        <f>IF(OR(AND(C15="X",D15="X"),AND(F15="X",G15="X"),AND(I15="X",J15="X"),AND(L15="X",M15="X")),"MAJOR","-")</f>
        <v>-</v>
      </c>
    </row>
    <row r="17" spans="1:15" x14ac:dyDescent="0.2">
      <c r="A17" s="172" t="s">
        <v>476</v>
      </c>
    </row>
    <row r="18" spans="1:15" x14ac:dyDescent="0.2">
      <c r="A18" s="180" t="s">
        <v>385</v>
      </c>
      <c r="B18" s="172">
        <f>GASB34GovtFundsBS!E15</f>
        <v>262700</v>
      </c>
      <c r="C18" s="181" t="str">
        <f>IF(B18&gt;B$22,"X","-")</f>
        <v>X</v>
      </c>
      <c r="D18" s="181" t="str">
        <f>IF(B18&gt;B$36,"X","-")</f>
        <v>X</v>
      </c>
      <c r="E18" s="172">
        <f>GASB34GovtFundsBS!E21+GASB34GovtFundsBS!E23</f>
        <v>36700</v>
      </c>
      <c r="F18" s="181" t="str">
        <f>IF(E18&gt;E$22,"X","-")</f>
        <v>-</v>
      </c>
      <c r="G18" s="181" t="str">
        <f>IF(E18&gt;E$36,"X","-")</f>
        <v>X</v>
      </c>
      <c r="H18" s="172">
        <f>GASB34GovtFundsIS!G17</f>
        <v>8910557</v>
      </c>
      <c r="I18" s="181" t="str">
        <f>IF(H18&gt;H$22,"X","-")</f>
        <v>-</v>
      </c>
      <c r="J18" s="181" t="str">
        <f>IF(H18&gt;H$36,"X","-")</f>
        <v>X</v>
      </c>
      <c r="K18" s="172">
        <f>GASB34GovtFundsIS!G47</f>
        <v>9063428</v>
      </c>
      <c r="L18" s="181" t="str">
        <f>IF(K18&gt;K$22,"X","-")</f>
        <v>-</v>
      </c>
      <c r="M18" s="181" t="str">
        <f>IF(K18&gt;K$36,"X","-")</f>
        <v>X</v>
      </c>
      <c r="O18" s="181" t="str">
        <f>IF(OR(AND(C18="X",D18="X"),AND(F18="X",G18="X"),AND(I18="X",J18="X"),AND(L18="X",M18="X")),"MAJOR","-")</f>
        <v>MAJOR</v>
      </c>
    </row>
    <row r="19" spans="1:15" x14ac:dyDescent="0.2">
      <c r="A19" s="180"/>
    </row>
    <row r="20" spans="1:15" ht="12" thickBot="1" x14ac:dyDescent="0.25">
      <c r="A20" s="183" t="s">
        <v>146</v>
      </c>
      <c r="B20" s="184">
        <f>SUM(B10:B19)</f>
        <v>901663</v>
      </c>
      <c r="E20" s="184">
        <f>SUM(E10:E19)</f>
        <v>401400</v>
      </c>
      <c r="H20" s="184">
        <f>SUM(H10:H19)</f>
        <v>161903582</v>
      </c>
      <c r="K20" s="184">
        <f>SUM(K10:K19)</f>
        <v>161813545</v>
      </c>
    </row>
    <row r="21" spans="1:15" ht="12" thickTop="1" x14ac:dyDescent="0.2">
      <c r="A21" s="180"/>
    </row>
    <row r="22" spans="1:15" ht="12" thickBot="1" x14ac:dyDescent="0.25">
      <c r="A22" s="173" t="s">
        <v>477</v>
      </c>
      <c r="B22" s="185">
        <f>ROUND(B20*0.1,0)</f>
        <v>90166</v>
      </c>
      <c r="E22" s="185">
        <f>ROUND(E20*0.1,0)</f>
        <v>40140</v>
      </c>
      <c r="H22" s="185">
        <f>ROUND(H20*0.1,0)</f>
        <v>16190358</v>
      </c>
      <c r="K22" s="185">
        <f>ROUND(K20*0.1,0)</f>
        <v>16181355</v>
      </c>
    </row>
    <row r="23" spans="1:15" ht="12" thickTop="1" x14ac:dyDescent="0.2">
      <c r="A23" s="186"/>
    </row>
    <row r="24" spans="1:15" x14ac:dyDescent="0.2">
      <c r="A24" s="186"/>
    </row>
    <row r="25" spans="1:15" x14ac:dyDescent="0.2">
      <c r="A25" s="183" t="s">
        <v>478</v>
      </c>
    </row>
    <row r="26" spans="1:15" x14ac:dyDescent="0.2">
      <c r="A26" s="180" t="s">
        <v>416</v>
      </c>
      <c r="B26" s="172">
        <f>'Net Pos-Prop'!B24+'Net Pos-Prop'!B26</f>
        <v>563569</v>
      </c>
      <c r="C26" s="181" t="str">
        <f>IF(B26&gt;B$31,"X","-")</f>
        <v>X</v>
      </c>
      <c r="D26" s="181" t="str">
        <f>IF(B26&gt;B$36,"X","-")</f>
        <v>X</v>
      </c>
      <c r="E26" s="172">
        <f>'Net Pos-Prop'!B42+'Net Pos-Prop'!B44</f>
        <v>229011</v>
      </c>
      <c r="F26" s="181" t="str">
        <f>IF(E26&gt;E$31,"X","-")</f>
        <v>X</v>
      </c>
      <c r="G26" s="181" t="str">
        <f>IF(E26&gt;E$36,"X","-")</f>
        <v>X</v>
      </c>
      <c r="H26" s="172">
        <f>'Rev, exp-Prop'!B13</f>
        <v>406290</v>
      </c>
      <c r="I26" s="181" t="str">
        <f>IF(H26&gt;H$31,"X","-")</f>
        <v>X</v>
      </c>
      <c r="J26" s="181" t="str">
        <f>IF(H26&gt;H$36,"X","-")</f>
        <v>-</v>
      </c>
      <c r="K26" s="172">
        <f>'Rev, exp-Prop'!B26</f>
        <v>1056736</v>
      </c>
      <c r="L26" s="181" t="str">
        <f>IF(K26&gt;K$31,"X","-")</f>
        <v>X</v>
      </c>
      <c r="M26" s="181" t="str">
        <f>IF(K26&gt;K$36,"X","-")</f>
        <v>-</v>
      </c>
      <c r="O26" s="181" t="str">
        <f>IF(OR(AND(C26="X",D26="X"),AND(F26="X",G26="X"),AND(I26="X",J26="X"),AND(L26="X",M26="X")),"MAJOR","-")</f>
        <v>MAJOR</v>
      </c>
    </row>
    <row r="27" spans="1:15" x14ac:dyDescent="0.2">
      <c r="A27" s="180" t="s">
        <v>446</v>
      </c>
      <c r="B27" s="172">
        <f>'Net Pos-Prop'!C24+'Net Pos-Prop'!C26</f>
        <v>37589</v>
      </c>
      <c r="C27" s="181" t="str">
        <f>IF(B27&gt;B$31,"X","-")</f>
        <v>-</v>
      </c>
      <c r="D27" s="181" t="str">
        <f>IF(B27&gt;B$36,"X","-")</f>
        <v>-</v>
      </c>
      <c r="E27" s="172">
        <f>'Net Pos-Prop'!C42+'Net Pos-Prop'!C44</f>
        <v>101634</v>
      </c>
      <c r="F27" s="181" t="str">
        <f>IF(E27&gt;E$31,"X","-")</f>
        <v>X</v>
      </c>
      <c r="G27" s="181" t="str">
        <f>IF(E27&gt;E$36,"X","-")</f>
        <v>X</v>
      </c>
      <c r="H27" s="172">
        <f>'Rev, exp-Prop'!C13</f>
        <v>147002</v>
      </c>
      <c r="I27" s="181" t="str">
        <f>IF(H27&gt;H$31,"X","-")</f>
        <v>X</v>
      </c>
      <c r="J27" s="181" t="str">
        <f>IF(H27&gt;H$36,"X","-")</f>
        <v>-</v>
      </c>
      <c r="K27" s="172">
        <f>'Rev, exp-Prop'!C26</f>
        <v>157283</v>
      </c>
      <c r="L27" s="181" t="str">
        <f>IF(K27&gt;K$31,"X","-")</f>
        <v>X</v>
      </c>
      <c r="M27" s="181" t="str">
        <f>IF(K27&gt;K$36,"X","-")</f>
        <v>-</v>
      </c>
      <c r="O27" s="181" t="str">
        <f>IF(OR(AND(C27="X",D27="X"),AND(F27="X",G27="X"),AND(I27="X",J27="X"),AND(L27="X",M27="X")),"MAJOR","-")</f>
        <v>MAJOR</v>
      </c>
    </row>
    <row r="28" spans="1:15" x14ac:dyDescent="0.2">
      <c r="A28" s="186"/>
    </row>
    <row r="29" spans="1:15" ht="12" thickBot="1" x14ac:dyDescent="0.25">
      <c r="A29" s="183" t="s">
        <v>479</v>
      </c>
      <c r="B29" s="184">
        <f>SUM(B26:B28)</f>
        <v>601158</v>
      </c>
      <c r="E29" s="184">
        <f>SUM(E26:E28)</f>
        <v>330645</v>
      </c>
      <c r="H29" s="184">
        <f>SUM(H26:H28)</f>
        <v>553292</v>
      </c>
      <c r="K29" s="184">
        <f>SUM(K26:K28)</f>
        <v>1214019</v>
      </c>
    </row>
    <row r="30" spans="1:15" ht="12" thickTop="1" x14ac:dyDescent="0.2">
      <c r="A30" s="173"/>
    </row>
    <row r="31" spans="1:15" ht="12" thickBot="1" x14ac:dyDescent="0.25">
      <c r="A31" s="173" t="s">
        <v>480</v>
      </c>
      <c r="B31" s="185">
        <f>ROUND(B29*0.1,0)</f>
        <v>60116</v>
      </c>
      <c r="E31" s="185">
        <f>ROUND(E29*0.1,0)</f>
        <v>33065</v>
      </c>
      <c r="H31" s="185">
        <f>ROUND(H29*0.1,0)</f>
        <v>55329</v>
      </c>
      <c r="K31" s="185">
        <f>ROUND(K29*0.1,0)</f>
        <v>121402</v>
      </c>
    </row>
    <row r="32" spans="1:15" ht="12" thickTop="1" x14ac:dyDescent="0.2">
      <c r="A32" s="186"/>
    </row>
    <row r="33" spans="1:11" x14ac:dyDescent="0.2">
      <c r="A33" s="186"/>
    </row>
    <row r="34" spans="1:11" ht="12" thickBot="1" x14ac:dyDescent="0.25">
      <c r="A34" s="173" t="s">
        <v>481</v>
      </c>
      <c r="B34" s="184">
        <f>+B20+B29</f>
        <v>1502821</v>
      </c>
      <c r="E34" s="184">
        <f>+E20+E29</f>
        <v>732045</v>
      </c>
      <c r="H34" s="184">
        <f>+H20+H29</f>
        <v>162456874</v>
      </c>
      <c r="K34" s="184">
        <f>+K20+K29</f>
        <v>163027564</v>
      </c>
    </row>
    <row r="35" spans="1:11" ht="12" thickTop="1" x14ac:dyDescent="0.2">
      <c r="A35" s="173"/>
    </row>
    <row r="36" spans="1:11" ht="12" thickBot="1" x14ac:dyDescent="0.25">
      <c r="A36" s="173" t="s">
        <v>482</v>
      </c>
      <c r="B36" s="185">
        <f>ROUND(B34*0.05,0)</f>
        <v>75141</v>
      </c>
      <c r="E36" s="185">
        <f>ROUND(E34*0.05,0)</f>
        <v>36602</v>
      </c>
      <c r="H36" s="185">
        <f>ROUND(H34*0.05,0)</f>
        <v>8122844</v>
      </c>
      <c r="K36" s="185">
        <f>ROUND(K34*0.05,0)</f>
        <v>8151378</v>
      </c>
    </row>
    <row r="37" spans="1:11" ht="12" thickTop="1" x14ac:dyDescent="0.2">
      <c r="A37" s="186"/>
    </row>
    <row r="38" spans="1:11" x14ac:dyDescent="0.2">
      <c r="A38" s="183" t="s">
        <v>483</v>
      </c>
    </row>
    <row r="39" spans="1:11" x14ac:dyDescent="0.2">
      <c r="A39" s="180" t="s">
        <v>217</v>
      </c>
      <c r="B39" s="172">
        <f>B10</f>
        <v>307791</v>
      </c>
      <c r="E39" s="172">
        <f>117500+16100</f>
        <v>133600</v>
      </c>
      <c r="H39" s="172">
        <v>33104537</v>
      </c>
      <c r="K39" s="172">
        <v>32957601</v>
      </c>
    </row>
    <row r="40" spans="1:11" x14ac:dyDescent="0.2">
      <c r="A40" s="186" t="s">
        <v>484</v>
      </c>
      <c r="B40" s="172">
        <f>20300+100072+30800</f>
        <v>151172</v>
      </c>
      <c r="E40" s="172">
        <f>200300+30800</f>
        <v>231100</v>
      </c>
      <c r="H40" s="172">
        <f>118964714+726000+197774</f>
        <v>119888488</v>
      </c>
      <c r="K40" s="172">
        <f>118950714+644028+197774</f>
        <v>119792516</v>
      </c>
    </row>
    <row r="41" spans="1:11" x14ac:dyDescent="0.2">
      <c r="A41" s="186" t="s">
        <v>485</v>
      </c>
      <c r="B41" s="172">
        <f>262700</f>
        <v>262700</v>
      </c>
      <c r="E41" s="172">
        <v>36700</v>
      </c>
      <c r="H41" s="172">
        <v>8910557</v>
      </c>
      <c r="K41" s="172">
        <v>9063428</v>
      </c>
    </row>
    <row r="42" spans="1:11" x14ac:dyDescent="0.2">
      <c r="A42" s="186" t="s">
        <v>12</v>
      </c>
      <c r="B42" s="172">
        <v>604626</v>
      </c>
      <c r="E42" s="172">
        <v>208609</v>
      </c>
      <c r="H42" s="172">
        <v>553292</v>
      </c>
      <c r="K42" s="172">
        <v>1187131</v>
      </c>
    </row>
    <row r="43" spans="1:11" ht="12" thickBot="1" x14ac:dyDescent="0.25">
      <c r="A43" s="173" t="s">
        <v>481</v>
      </c>
      <c r="B43" s="184">
        <f>SUM(B39:B42)</f>
        <v>1326289</v>
      </c>
      <c r="E43" s="184">
        <f>SUM(E39:E42)</f>
        <v>610009</v>
      </c>
      <c r="H43" s="184">
        <f>SUM(H39:H42)</f>
        <v>162456874</v>
      </c>
      <c r="K43" s="184">
        <f>SUM(K39:K42)</f>
        <v>163000676</v>
      </c>
    </row>
    <row r="44" spans="1:11" ht="12" thickTop="1" x14ac:dyDescent="0.2">
      <c r="A44" s="173"/>
    </row>
    <row r="45" spans="1:11" ht="12" thickBot="1" x14ac:dyDescent="0.25">
      <c r="A45" s="183" t="s">
        <v>486</v>
      </c>
      <c r="B45" s="184">
        <f>+B34-B43</f>
        <v>176532</v>
      </c>
      <c r="E45" s="184">
        <f>+E34-E43</f>
        <v>122036</v>
      </c>
      <c r="H45" s="184">
        <f>+H34-H43</f>
        <v>0</v>
      </c>
      <c r="K45" s="184">
        <f>+K34-K43</f>
        <v>26888</v>
      </c>
    </row>
    <row r="46" spans="1:11" ht="12" thickTop="1" x14ac:dyDescent="0.2">
      <c r="A46" s="186"/>
    </row>
    <row r="47" spans="1:11" x14ac:dyDescent="0.2">
      <c r="A47" s="183"/>
    </row>
    <row r="50" spans="1:1" x14ac:dyDescent="0.2">
      <c r="A50" s="180"/>
    </row>
    <row r="51" spans="1:1" x14ac:dyDescent="0.2">
      <c r="A51" s="187"/>
    </row>
    <row r="52" spans="1:1" x14ac:dyDescent="0.2">
      <c r="A52" s="180"/>
    </row>
    <row r="53" spans="1:1" x14ac:dyDescent="0.2">
      <c r="A53" s="187"/>
    </row>
    <row r="54" spans="1:1" x14ac:dyDescent="0.2">
      <c r="A54" s="187"/>
    </row>
    <row r="55" spans="1:1" x14ac:dyDescent="0.2">
      <c r="A55" s="187"/>
    </row>
    <row r="58" spans="1:1" x14ac:dyDescent="0.2">
      <c r="A58" s="180"/>
    </row>
  </sheetData>
  <mergeCells count="7">
    <mergeCell ref="L6:M6"/>
    <mergeCell ref="K4:K8"/>
    <mergeCell ref="B5:B8"/>
    <mergeCell ref="E5:E8"/>
    <mergeCell ref="C6:D6"/>
    <mergeCell ref="F6:G6"/>
    <mergeCell ref="I6:J6"/>
  </mergeCells>
  <printOptions horizontalCentered="1"/>
  <pageMargins left="0.75" right="0.75" top="1" bottom="1" header="0.5" footer="0.5"/>
  <pageSetup scale="10" firstPageNumber="19" orientation="landscape" useFirstPageNumber="1" r:id="rId1"/>
  <headerFooter alignWithMargins="0"/>
  <rowBreaks count="1" manualBreakCount="1">
    <brk id="36"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
  <sheetViews>
    <sheetView showGridLines="0" workbookViewId="0">
      <selection activeCell="B28" sqref="B28"/>
    </sheetView>
  </sheetViews>
  <sheetFormatPr defaultRowHeight="12.75" x14ac:dyDescent="0.2"/>
  <sheetData/>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D14"/>
  <sheetViews>
    <sheetView showGridLines="0" workbookViewId="0">
      <selection activeCell="B28" sqref="B28"/>
    </sheetView>
  </sheetViews>
  <sheetFormatPr defaultRowHeight="12.75" x14ac:dyDescent="0.2"/>
  <sheetData>
    <row r="1" spans="1:4" x14ac:dyDescent="0.2">
      <c r="A1" s="188" t="s">
        <v>487</v>
      </c>
      <c r="C1" s="188" t="s">
        <v>488</v>
      </c>
    </row>
    <row r="2" spans="1:4" x14ac:dyDescent="0.2">
      <c r="A2" s="188" t="s">
        <v>489</v>
      </c>
      <c r="C2" s="188" t="s">
        <v>490</v>
      </c>
    </row>
    <row r="3" spans="1:4" x14ac:dyDescent="0.2">
      <c r="A3" s="188" t="s">
        <v>491</v>
      </c>
      <c r="C3" s="188" t="s">
        <v>492</v>
      </c>
      <c r="D3" s="188" t="s">
        <v>493</v>
      </c>
    </row>
    <row r="10" spans="1:4" ht="15.75" x14ac:dyDescent="0.25">
      <c r="B10" s="189"/>
    </row>
    <row r="11" spans="1:4" ht="15.75" x14ac:dyDescent="0.25">
      <c r="B11" s="189"/>
    </row>
    <row r="12" spans="1:4" ht="15.75" x14ac:dyDescent="0.25">
      <c r="B12" s="189"/>
    </row>
    <row r="13" spans="1:4" ht="15.75" x14ac:dyDescent="0.25">
      <c r="B13" s="189"/>
    </row>
    <row r="14" spans="1:4" ht="15.75" x14ac:dyDescent="0.25">
      <c r="B14" s="189"/>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M89"/>
  <sheetViews>
    <sheetView showGridLines="0" zoomScaleNormal="100" workbookViewId="0"/>
  </sheetViews>
  <sheetFormatPr defaultRowHeight="12.75" x14ac:dyDescent="0.2"/>
  <cols>
    <col min="1" max="1" width="39.42578125" style="16" customWidth="1"/>
    <col min="2" max="5" width="15.7109375" style="16" customWidth="1"/>
    <col min="6" max="6" width="2.28515625" style="16" customWidth="1"/>
    <col min="7" max="9" width="19.5703125" style="16" customWidth="1"/>
    <col min="10" max="10" width="9.140625" style="16"/>
    <col min="11" max="11" width="10.5703125" style="16" customWidth="1"/>
    <col min="12" max="16384" width="9.140625" style="16"/>
  </cols>
  <sheetData>
    <row r="1" spans="1:11" x14ac:dyDescent="0.2">
      <c r="A1" s="20"/>
      <c r="B1" s="20"/>
      <c r="C1" s="20"/>
      <c r="D1" s="49"/>
      <c r="E1" s="49"/>
      <c r="F1" s="20"/>
      <c r="G1" s="20"/>
      <c r="H1" s="20"/>
      <c r="I1" s="49" t="s">
        <v>85</v>
      </c>
    </row>
    <row r="2" spans="1:11" x14ac:dyDescent="0.2">
      <c r="A2" s="472" t="s">
        <v>0</v>
      </c>
      <c r="B2" s="472"/>
      <c r="C2" s="472"/>
      <c r="D2" s="472"/>
      <c r="E2" s="472"/>
      <c r="F2" s="472"/>
      <c r="G2" s="472"/>
      <c r="H2" s="472"/>
      <c r="I2" s="472"/>
    </row>
    <row r="3" spans="1:11" x14ac:dyDescent="0.2">
      <c r="A3" s="472" t="s">
        <v>86</v>
      </c>
      <c r="B3" s="472"/>
      <c r="C3" s="472"/>
      <c r="D3" s="472"/>
      <c r="E3" s="472"/>
      <c r="F3" s="472"/>
      <c r="G3" s="472"/>
      <c r="H3" s="472"/>
      <c r="I3" s="472"/>
    </row>
    <row r="4" spans="1:11" x14ac:dyDescent="0.2">
      <c r="A4" s="472" t="s">
        <v>512</v>
      </c>
      <c r="B4" s="472"/>
      <c r="C4" s="472"/>
      <c r="D4" s="472"/>
      <c r="E4" s="472"/>
      <c r="F4" s="472"/>
      <c r="G4" s="472"/>
      <c r="H4" s="472"/>
      <c r="I4" s="472"/>
    </row>
    <row r="5" spans="1:11" x14ac:dyDescent="0.2">
      <c r="A5" s="20"/>
      <c r="B5" s="20"/>
      <c r="C5" s="20"/>
      <c r="D5" s="20"/>
      <c r="E5" s="20"/>
      <c r="F5" s="20"/>
      <c r="G5" s="20"/>
      <c r="H5" s="20"/>
      <c r="I5" s="20"/>
    </row>
    <row r="6" spans="1:11" ht="15" x14ac:dyDescent="0.35">
      <c r="A6" s="201"/>
      <c r="B6" s="201"/>
      <c r="C6" s="462" t="s">
        <v>87</v>
      </c>
      <c r="D6" s="462"/>
      <c r="E6" s="462"/>
      <c r="F6" s="200"/>
      <c r="G6" s="462" t="s">
        <v>88</v>
      </c>
      <c r="H6" s="462"/>
      <c r="I6" s="462"/>
    </row>
    <row r="7" spans="1:11" ht="15" x14ac:dyDescent="0.35">
      <c r="A7" s="201"/>
      <c r="B7" s="201"/>
      <c r="C7" s="201"/>
      <c r="D7" s="477" t="s">
        <v>559</v>
      </c>
      <c r="E7" s="477" t="s">
        <v>560</v>
      </c>
      <c r="F7" s="199"/>
      <c r="G7" s="462" t="s">
        <v>58</v>
      </c>
      <c r="H7" s="462"/>
      <c r="I7" s="462"/>
    </row>
    <row r="8" spans="1:11" ht="30" x14ac:dyDescent="0.35">
      <c r="A8" s="203" t="s">
        <v>89</v>
      </c>
      <c r="B8" s="202" t="s">
        <v>90</v>
      </c>
      <c r="C8" s="196" t="s">
        <v>558</v>
      </c>
      <c r="D8" s="477"/>
      <c r="E8" s="477"/>
      <c r="F8" s="80"/>
      <c r="G8" s="196" t="s">
        <v>59</v>
      </c>
      <c r="H8" s="196" t="s">
        <v>60</v>
      </c>
      <c r="I8" s="202" t="s">
        <v>17</v>
      </c>
    </row>
    <row r="9" spans="1:11" x14ac:dyDescent="0.2">
      <c r="A9" s="372" t="s">
        <v>94</v>
      </c>
      <c r="B9" s="372"/>
      <c r="C9" s="372"/>
      <c r="D9" s="372"/>
      <c r="E9" s="372"/>
      <c r="F9" s="96"/>
      <c r="G9" s="372"/>
      <c r="H9" s="372"/>
      <c r="I9" s="372"/>
    </row>
    <row r="10" spans="1:11" x14ac:dyDescent="0.2">
      <c r="A10" s="384" t="s">
        <v>95</v>
      </c>
      <c r="B10" s="375"/>
      <c r="C10" s="375"/>
      <c r="D10" s="375"/>
      <c r="E10" s="375"/>
      <c r="F10" s="102"/>
      <c r="G10" s="375"/>
      <c r="H10" s="375"/>
      <c r="I10" s="375"/>
    </row>
    <row r="11" spans="1:11" x14ac:dyDescent="0.2">
      <c r="A11" s="383" t="s">
        <v>96</v>
      </c>
      <c r="B11" s="381"/>
      <c r="C11" s="381"/>
      <c r="D11" s="381"/>
      <c r="E11" s="381"/>
      <c r="F11" s="376"/>
      <c r="G11" s="381"/>
      <c r="H11" s="381"/>
      <c r="I11" s="381"/>
    </row>
    <row r="12" spans="1:11" x14ac:dyDescent="0.2">
      <c r="A12" s="393" t="s">
        <v>97</v>
      </c>
      <c r="B12" s="387">
        <f>ROUND(3724876+5000000+75000000+0.8*((-37820+5551+23536+33892)+(-523-9165-660+48670+43872))-0.8*(25159+82193)+(0.8*75513)+(0.8*58537)+(0.8*0.5*1043)+(0.8*50000)-(0.8*50000)+(0.8*94314)-(0.8*16101)-3222+3+(0.8*30000)-(0.8*30000)-(0.8*12699)-2+(560)-(560)+(219)+(77),0)</f>
        <v>83882020</v>
      </c>
      <c r="C12" s="387">
        <v>5000</v>
      </c>
      <c r="D12" s="387">
        <f>3111034+75000000</f>
        <v>78111034</v>
      </c>
      <c r="E12" s="388">
        <v>0</v>
      </c>
      <c r="F12" s="378"/>
      <c r="G12" s="387">
        <f>SUM(C12:E12)-B12</f>
        <v>-5765986</v>
      </c>
      <c r="H12" s="388">
        <v>0</v>
      </c>
      <c r="I12" s="387">
        <f>SUM(G12:H12)</f>
        <v>-5765986</v>
      </c>
      <c r="K12" s="23"/>
    </row>
    <row r="13" spans="1:11" x14ac:dyDescent="0.2">
      <c r="A13" s="393" t="s">
        <v>98</v>
      </c>
      <c r="B13" s="373">
        <f>679835+2000000+35000000</f>
        <v>37679835</v>
      </c>
      <c r="C13" s="373">
        <v>0</v>
      </c>
      <c r="D13" s="373">
        <f>664356+35000000</f>
        <v>35664356</v>
      </c>
      <c r="E13" s="373">
        <v>0</v>
      </c>
      <c r="F13" s="378"/>
      <c r="G13" s="373">
        <f>SUM(C13:E13)-B13</f>
        <v>-2015479</v>
      </c>
      <c r="H13" s="373">
        <v>0</v>
      </c>
      <c r="I13" s="373">
        <f>SUM(G13:H13)</f>
        <v>-2015479</v>
      </c>
      <c r="K13" s="23"/>
    </row>
    <row r="14" spans="1:11" x14ac:dyDescent="0.2">
      <c r="A14" s="393" t="s">
        <v>99</v>
      </c>
      <c r="B14" s="373">
        <f>120903+2000000</f>
        <v>2120903</v>
      </c>
      <c r="C14" s="373">
        <v>0</v>
      </c>
      <c r="D14" s="373">
        <v>108621</v>
      </c>
      <c r="E14" s="373">
        <v>0</v>
      </c>
      <c r="F14" s="378"/>
      <c r="G14" s="373">
        <f t="shared" ref="G14:G31" si="0">SUM(C14:E14)-B14</f>
        <v>-2012282</v>
      </c>
      <c r="H14" s="373">
        <v>0</v>
      </c>
      <c r="I14" s="373">
        <f t="shared" ref="I14:I31" si="1">SUM(G14:H14)</f>
        <v>-2012282</v>
      </c>
      <c r="K14" s="56"/>
    </row>
    <row r="15" spans="1:11" x14ac:dyDescent="0.2">
      <c r="A15" s="393" t="s">
        <v>100</v>
      </c>
      <c r="B15" s="373">
        <f>24316+1000000</f>
        <v>1024316</v>
      </c>
      <c r="C15" s="373">
        <v>0</v>
      </c>
      <c r="D15" s="373">
        <v>0</v>
      </c>
      <c r="E15" s="373">
        <v>0</v>
      </c>
      <c r="F15" s="378"/>
      <c r="G15" s="373">
        <f t="shared" si="0"/>
        <v>-1024316</v>
      </c>
      <c r="H15" s="373">
        <v>0</v>
      </c>
      <c r="I15" s="373">
        <f t="shared" si="1"/>
        <v>-1024316</v>
      </c>
    </row>
    <row r="16" spans="1:11" x14ac:dyDescent="0.2">
      <c r="A16" s="393" t="s">
        <v>101</v>
      </c>
      <c r="B16" s="373">
        <f>682009+1000000</f>
        <v>1682009</v>
      </c>
      <c r="C16" s="373">
        <v>274000</v>
      </c>
      <c r="D16" s="373">
        <v>452000</v>
      </c>
      <c r="E16" s="373">
        <v>0</v>
      </c>
      <c r="F16" s="378"/>
      <c r="G16" s="373">
        <f t="shared" si="0"/>
        <v>-956009</v>
      </c>
      <c r="H16" s="373">
        <v>0</v>
      </c>
      <c r="I16" s="373">
        <f t="shared" si="1"/>
        <v>-956009</v>
      </c>
      <c r="K16" s="61"/>
    </row>
    <row r="17" spans="1:13" x14ac:dyDescent="0.2">
      <c r="A17" s="393" t="s">
        <v>102</v>
      </c>
      <c r="B17" s="378">
        <f>94952+1000000</f>
        <v>1094952</v>
      </c>
      <c r="C17" s="378">
        <v>0</v>
      </c>
      <c r="D17" s="378">
        <v>0</v>
      </c>
      <c r="E17" s="378">
        <v>0</v>
      </c>
      <c r="F17" s="378"/>
      <c r="G17" s="373">
        <f t="shared" si="0"/>
        <v>-1094952</v>
      </c>
      <c r="H17" s="373">
        <v>0</v>
      </c>
      <c r="I17" s="373">
        <f t="shared" si="1"/>
        <v>-1094952</v>
      </c>
      <c r="K17" s="61"/>
    </row>
    <row r="18" spans="1:13" x14ac:dyDescent="0.2">
      <c r="A18" s="383" t="s">
        <v>103</v>
      </c>
      <c r="B18" s="378"/>
      <c r="C18" s="378"/>
      <c r="D18" s="378"/>
      <c r="E18" s="378"/>
      <c r="F18" s="378"/>
      <c r="G18" s="373"/>
      <c r="H18" s="373"/>
      <c r="I18" s="373"/>
    </row>
    <row r="19" spans="1:13" x14ac:dyDescent="0.2">
      <c r="A19" s="393" t="s">
        <v>104</v>
      </c>
      <c r="B19" s="378">
        <f>102441+1000000</f>
        <v>1102441</v>
      </c>
      <c r="C19" s="378">
        <v>0</v>
      </c>
      <c r="D19" s="378">
        <v>0</v>
      </c>
      <c r="E19" s="378">
        <v>0</v>
      </c>
      <c r="F19" s="378"/>
      <c r="G19" s="373">
        <f t="shared" si="0"/>
        <v>-1102441</v>
      </c>
      <c r="H19" s="373">
        <v>0</v>
      </c>
      <c r="I19" s="373">
        <f t="shared" si="1"/>
        <v>-1102441</v>
      </c>
    </row>
    <row r="20" spans="1:13" x14ac:dyDescent="0.2">
      <c r="A20" s="393" t="s">
        <v>105</v>
      </c>
      <c r="B20" s="378">
        <f>110388+1000000</f>
        <v>1110388</v>
      </c>
      <c r="C20" s="378">
        <v>0</v>
      </c>
      <c r="D20" s="378">
        <v>108951</v>
      </c>
      <c r="E20" s="378">
        <v>0</v>
      </c>
      <c r="F20" s="378"/>
      <c r="G20" s="373">
        <f t="shared" si="0"/>
        <v>-1001437</v>
      </c>
      <c r="H20" s="373">
        <v>0</v>
      </c>
      <c r="I20" s="373">
        <f t="shared" si="1"/>
        <v>-1001437</v>
      </c>
    </row>
    <row r="21" spans="1:13" ht="25.5" x14ac:dyDescent="0.2">
      <c r="A21" s="393" t="s">
        <v>106</v>
      </c>
      <c r="B21" s="378">
        <f>56604+1000000</f>
        <v>1056604</v>
      </c>
      <c r="C21" s="378">
        <v>0</v>
      </c>
      <c r="D21" s="378">
        <v>23704</v>
      </c>
      <c r="E21" s="378">
        <v>0</v>
      </c>
      <c r="F21" s="378"/>
      <c r="G21" s="373">
        <f t="shared" si="0"/>
        <v>-1032900</v>
      </c>
      <c r="H21" s="373">
        <v>0</v>
      </c>
      <c r="I21" s="373">
        <f t="shared" si="1"/>
        <v>-1032900</v>
      </c>
    </row>
    <row r="22" spans="1:13" x14ac:dyDescent="0.2">
      <c r="A22" s="393" t="s">
        <v>107</v>
      </c>
      <c r="B22" s="378">
        <v>414382</v>
      </c>
      <c r="C22" s="378">
        <v>0</v>
      </c>
      <c r="D22" s="378">
        <v>30999</v>
      </c>
      <c r="E22" s="378">
        <v>0</v>
      </c>
      <c r="F22" s="378"/>
      <c r="G22" s="373">
        <f t="shared" si="0"/>
        <v>-383383</v>
      </c>
      <c r="H22" s="373">
        <v>0</v>
      </c>
      <c r="I22" s="373">
        <f t="shared" si="1"/>
        <v>-383383</v>
      </c>
    </row>
    <row r="23" spans="1:13" x14ac:dyDescent="0.2">
      <c r="A23" s="393" t="s">
        <v>108</v>
      </c>
      <c r="B23" s="378">
        <f>997860+4000000+5000000</f>
        <v>9997860</v>
      </c>
      <c r="C23" s="378">
        <v>4000</v>
      </c>
      <c r="D23" s="378">
        <f>286351+60400+5000000</f>
        <v>5346751</v>
      </c>
      <c r="E23" s="378">
        <f>36000</f>
        <v>36000</v>
      </c>
      <c r="F23" s="378"/>
      <c r="G23" s="373">
        <f t="shared" si="0"/>
        <v>-4611109</v>
      </c>
      <c r="H23" s="373">
        <v>0</v>
      </c>
      <c r="I23" s="373">
        <f t="shared" si="1"/>
        <v>-4611109</v>
      </c>
    </row>
    <row r="24" spans="1:13" x14ac:dyDescent="0.2">
      <c r="A24" s="393" t="s">
        <v>109</v>
      </c>
      <c r="B24" s="378">
        <f>292449+4000000</f>
        <v>4292449</v>
      </c>
      <c r="C24" s="378">
        <v>0</v>
      </c>
      <c r="D24" s="378">
        <v>280501</v>
      </c>
      <c r="E24" s="378">
        <v>0</v>
      </c>
      <c r="F24" s="378"/>
      <c r="G24" s="373">
        <f t="shared" si="0"/>
        <v>-4011948</v>
      </c>
      <c r="H24" s="373">
        <v>0</v>
      </c>
      <c r="I24" s="373">
        <f t="shared" si="1"/>
        <v>-4011948</v>
      </c>
    </row>
    <row r="25" spans="1:13" x14ac:dyDescent="0.2">
      <c r="A25" s="393" t="s">
        <v>110</v>
      </c>
      <c r="B25" s="378">
        <f>171891+119059</f>
        <v>290950</v>
      </c>
      <c r="C25" s="378">
        <v>0</v>
      </c>
      <c r="D25" s="378">
        <v>7901</v>
      </c>
      <c r="E25" s="378">
        <v>0</v>
      </c>
      <c r="F25" s="378"/>
      <c r="G25" s="373">
        <f t="shared" si="0"/>
        <v>-283049</v>
      </c>
      <c r="H25" s="373">
        <v>0</v>
      </c>
      <c r="I25" s="373">
        <f t="shared" si="1"/>
        <v>-283049</v>
      </c>
    </row>
    <row r="26" spans="1:13" x14ac:dyDescent="0.2">
      <c r="A26" s="393" t="s">
        <v>111</v>
      </c>
      <c r="B26" s="378">
        <f>163096+3000000</f>
        <v>3163096</v>
      </c>
      <c r="C26" s="378">
        <v>0</v>
      </c>
      <c r="D26" s="378">
        <v>127910</v>
      </c>
      <c r="E26" s="378">
        <v>0</v>
      </c>
      <c r="F26" s="378"/>
      <c r="G26" s="373">
        <f t="shared" si="0"/>
        <v>-3035186</v>
      </c>
      <c r="H26" s="373">
        <v>0</v>
      </c>
      <c r="I26" s="373">
        <f t="shared" si="1"/>
        <v>-3035186</v>
      </c>
    </row>
    <row r="27" spans="1:13" x14ac:dyDescent="0.2">
      <c r="A27" s="393" t="s">
        <v>112</v>
      </c>
      <c r="B27" s="378">
        <f>254767+3000000</f>
        <v>3254767</v>
      </c>
      <c r="C27" s="378">
        <v>0</v>
      </c>
      <c r="D27" s="378">
        <v>0</v>
      </c>
      <c r="E27" s="378">
        <v>0</v>
      </c>
      <c r="F27" s="378"/>
      <c r="G27" s="373">
        <f t="shared" si="0"/>
        <v>-3254767</v>
      </c>
      <c r="H27" s="373">
        <v>0</v>
      </c>
      <c r="I27" s="373">
        <f t="shared" si="1"/>
        <v>-3254767</v>
      </c>
    </row>
    <row r="28" spans="1:13" x14ac:dyDescent="0.2">
      <c r="A28" s="383" t="s">
        <v>113</v>
      </c>
      <c r="B28" s="378">
        <f>48990+1000000</f>
        <v>1048990</v>
      </c>
      <c r="C28" s="378">
        <v>0</v>
      </c>
      <c r="D28" s="378">
        <v>14000</v>
      </c>
      <c r="E28" s="378">
        <v>0</v>
      </c>
      <c r="F28" s="378"/>
      <c r="G28" s="373">
        <f t="shared" si="0"/>
        <v>-1034990</v>
      </c>
      <c r="H28" s="373">
        <v>0</v>
      </c>
      <c r="I28" s="373">
        <f t="shared" si="1"/>
        <v>-1034990</v>
      </c>
    </row>
    <row r="29" spans="1:13" x14ac:dyDescent="0.2">
      <c r="A29" s="383" t="s">
        <v>114</v>
      </c>
      <c r="B29" s="378">
        <v>10363</v>
      </c>
      <c r="C29" s="378">
        <v>0</v>
      </c>
      <c r="D29" s="378">
        <v>23400</v>
      </c>
      <c r="E29" s="378">
        <v>0</v>
      </c>
      <c r="F29" s="378"/>
      <c r="G29" s="373">
        <f t="shared" si="0"/>
        <v>13037</v>
      </c>
      <c r="H29" s="378">
        <v>0</v>
      </c>
      <c r="I29" s="373">
        <f t="shared" si="1"/>
        <v>13037</v>
      </c>
    </row>
    <row r="30" spans="1:13" x14ac:dyDescent="0.2">
      <c r="A30" s="383" t="s">
        <v>115</v>
      </c>
      <c r="B30" s="378">
        <v>1873</v>
      </c>
      <c r="C30" s="378">
        <v>0</v>
      </c>
      <c r="D30" s="378">
        <v>0</v>
      </c>
      <c r="E30" s="378">
        <v>0</v>
      </c>
      <c r="F30" s="378"/>
      <c r="G30" s="373">
        <f t="shared" si="0"/>
        <v>-1873</v>
      </c>
      <c r="H30" s="378">
        <v>0</v>
      </c>
      <c r="I30" s="373">
        <f t="shared" si="1"/>
        <v>-1873</v>
      </c>
    </row>
    <row r="31" spans="1:13" ht="17.100000000000001" customHeight="1" x14ac:dyDescent="0.2">
      <c r="A31" s="383" t="s">
        <v>116</v>
      </c>
      <c r="B31" s="374">
        <v>163568</v>
      </c>
      <c r="C31" s="374">
        <v>0</v>
      </c>
      <c r="D31" s="374">
        <v>0</v>
      </c>
      <c r="E31" s="374">
        <v>0</v>
      </c>
      <c r="F31" s="378"/>
      <c r="G31" s="374">
        <f t="shared" si="0"/>
        <v>-163568</v>
      </c>
      <c r="H31" s="374">
        <v>0</v>
      </c>
      <c r="I31" s="374">
        <f t="shared" si="1"/>
        <v>-163568</v>
      </c>
      <c r="M31" s="56"/>
    </row>
    <row r="32" spans="1:13" ht="15" x14ac:dyDescent="0.2">
      <c r="A32" s="384" t="s">
        <v>117</v>
      </c>
      <c r="B32" s="374">
        <f>SUM(B12:B31)</f>
        <v>153391766</v>
      </c>
      <c r="C32" s="374">
        <f>SUM(C12:C31)</f>
        <v>283000</v>
      </c>
      <c r="D32" s="374">
        <f>SUM(D12:D31)</f>
        <v>120300128</v>
      </c>
      <c r="E32" s="374">
        <f>SUM(E12:E31)</f>
        <v>36000</v>
      </c>
      <c r="F32" s="378"/>
      <c r="G32" s="374">
        <f>SUM(G12:G31)</f>
        <v>-32772638</v>
      </c>
      <c r="H32" s="374">
        <f>SUM(H12:H31)</f>
        <v>0</v>
      </c>
      <c r="I32" s="374">
        <f>SUM(I12:I31)</f>
        <v>-32772638</v>
      </c>
    </row>
    <row r="33" spans="1:9" x14ac:dyDescent="0.2">
      <c r="A33" s="375"/>
      <c r="B33" s="102"/>
      <c r="C33" s="102"/>
      <c r="D33" s="102"/>
      <c r="E33" s="102"/>
      <c r="F33" s="102"/>
      <c r="G33" s="102"/>
      <c r="H33" s="102"/>
      <c r="I33" s="102"/>
    </row>
    <row r="34" spans="1:9" x14ac:dyDescent="0.2">
      <c r="A34" s="372" t="s">
        <v>118</v>
      </c>
      <c r="B34" s="102"/>
      <c r="C34" s="102"/>
      <c r="D34" s="102"/>
      <c r="E34" s="102"/>
      <c r="F34" s="102"/>
      <c r="G34" s="102"/>
      <c r="H34" s="102"/>
      <c r="I34" s="102"/>
    </row>
    <row r="35" spans="1:9" x14ac:dyDescent="0.2">
      <c r="A35" s="384" t="s">
        <v>119</v>
      </c>
      <c r="B35" s="389">
        <f>'Rev, exp-Prop'!B26</f>
        <v>1056736</v>
      </c>
      <c r="C35" s="378">
        <f>406290</f>
        <v>406290</v>
      </c>
      <c r="D35" s="378">
        <v>577008</v>
      </c>
      <c r="E35" s="378">
        <v>0</v>
      </c>
      <c r="F35" s="378"/>
      <c r="G35" s="378">
        <v>0</v>
      </c>
      <c r="H35" s="376">
        <f>SUM(C35:E35)-B35</f>
        <v>-73438</v>
      </c>
      <c r="I35" s="378">
        <f>SUM(G35:H35)</f>
        <v>-73438</v>
      </c>
    </row>
    <row r="36" spans="1:9" ht="15" x14ac:dyDescent="0.2">
      <c r="A36" s="384" t="s">
        <v>120</v>
      </c>
      <c r="B36" s="390">
        <f>'Rev, exp-Prop'!C26</f>
        <v>157283</v>
      </c>
      <c r="C36" s="374">
        <f>147002</f>
        <v>147002</v>
      </c>
      <c r="D36" s="374">
        <v>0</v>
      </c>
      <c r="E36" s="374">
        <v>0</v>
      </c>
      <c r="F36" s="378"/>
      <c r="G36" s="374">
        <v>0</v>
      </c>
      <c r="H36" s="374">
        <f>SUM(C36:E36)-B36</f>
        <v>-10281</v>
      </c>
      <c r="I36" s="374">
        <f>SUM(G36:H36)</f>
        <v>-10281</v>
      </c>
    </row>
    <row r="37" spans="1:9" ht="15" x14ac:dyDescent="0.2">
      <c r="A37" s="384" t="s">
        <v>121</v>
      </c>
      <c r="B37" s="374">
        <f>SUM(B35:B36)</f>
        <v>1214019</v>
      </c>
      <c r="C37" s="374">
        <f>SUM(C35:C36)</f>
        <v>553292</v>
      </c>
      <c r="D37" s="374">
        <f>SUM(D35:D36)</f>
        <v>577008</v>
      </c>
      <c r="E37" s="374">
        <f>SUM(E35:E36)</f>
        <v>0</v>
      </c>
      <c r="F37" s="378"/>
      <c r="G37" s="374">
        <f>SUM(G35:G36)</f>
        <v>0</v>
      </c>
      <c r="H37" s="374">
        <f>SUM(H35:H36)</f>
        <v>-83719</v>
      </c>
      <c r="I37" s="374">
        <f>SUM(I35:I36)</f>
        <v>-83719</v>
      </c>
    </row>
    <row r="38" spans="1:9" ht="15" x14ac:dyDescent="0.2">
      <c r="A38" s="375" t="s">
        <v>122</v>
      </c>
      <c r="B38" s="380">
        <f>+B37+B32</f>
        <v>154605785</v>
      </c>
      <c r="C38" s="380">
        <f>+C37+C32</f>
        <v>836292</v>
      </c>
      <c r="D38" s="380">
        <f>+D37+D32</f>
        <v>120877136</v>
      </c>
      <c r="E38" s="380">
        <f>+E37+E32</f>
        <v>36000</v>
      </c>
      <c r="F38" s="376"/>
      <c r="G38" s="374">
        <f>G32+G37</f>
        <v>-32772638</v>
      </c>
      <c r="H38" s="374">
        <f>H32+H37</f>
        <v>-83719</v>
      </c>
      <c r="I38" s="374">
        <f>SUM(G38:H38)</f>
        <v>-32856357</v>
      </c>
    </row>
    <row r="39" spans="1:9" ht="15" x14ac:dyDescent="0.2">
      <c r="A39" s="375"/>
      <c r="B39" s="391"/>
      <c r="C39" s="391"/>
      <c r="D39" s="391"/>
      <c r="E39" s="391"/>
      <c r="F39" s="102"/>
      <c r="G39" s="102"/>
      <c r="H39" s="102"/>
      <c r="I39" s="102"/>
    </row>
    <row r="40" spans="1:9" x14ac:dyDescent="0.2">
      <c r="A40" s="375"/>
      <c r="B40" s="375"/>
      <c r="C40" s="375"/>
      <c r="D40" s="375"/>
      <c r="E40" s="375"/>
      <c r="F40" s="102"/>
      <c r="G40" s="375"/>
      <c r="H40" s="375"/>
      <c r="I40" s="375"/>
    </row>
    <row r="41" spans="1:9" x14ac:dyDescent="0.2">
      <c r="A41" s="375"/>
      <c r="B41" s="372" t="s">
        <v>123</v>
      </c>
      <c r="C41" s="375"/>
      <c r="D41" s="375"/>
      <c r="E41" s="375"/>
      <c r="F41" s="102"/>
      <c r="G41" s="375"/>
      <c r="H41" s="375"/>
      <c r="I41" s="375"/>
    </row>
    <row r="42" spans="1:9" x14ac:dyDescent="0.2">
      <c r="A42" s="375"/>
      <c r="B42" s="384" t="s">
        <v>124</v>
      </c>
      <c r="C42" s="375"/>
      <c r="D42" s="375"/>
      <c r="E42" s="375"/>
      <c r="F42" s="102"/>
      <c r="G42" s="373">
        <f>2000000+30119059+200000</f>
        <v>32319059</v>
      </c>
      <c r="H42" s="373">
        <v>0</v>
      </c>
      <c r="I42" s="373">
        <f>SUM(G42:H42)</f>
        <v>32319059</v>
      </c>
    </row>
    <row r="43" spans="1:9" x14ac:dyDescent="0.2">
      <c r="A43" s="375"/>
      <c r="B43" s="384" t="s">
        <v>125</v>
      </c>
      <c r="C43" s="375"/>
      <c r="D43" s="375"/>
      <c r="E43" s="375"/>
      <c r="F43" s="102"/>
      <c r="G43" s="373">
        <f>1547675+950000+6001882</f>
        <v>8499557</v>
      </c>
      <c r="H43" s="373">
        <v>0</v>
      </c>
      <c r="I43" s="373">
        <f t="shared" ref="I43:I52" si="2">SUM(G43:H43)</f>
        <v>8499557</v>
      </c>
    </row>
    <row r="44" spans="1:9" x14ac:dyDescent="0.2">
      <c r="A44" s="375"/>
      <c r="B44" s="384" t="s">
        <v>502</v>
      </c>
      <c r="C44" s="375"/>
      <c r="D44" s="375"/>
      <c r="E44" s="375"/>
      <c r="F44" s="102"/>
      <c r="G44" s="373">
        <v>0</v>
      </c>
      <c r="H44" s="373">
        <v>0</v>
      </c>
      <c r="I44" s="373">
        <f t="shared" si="2"/>
        <v>0</v>
      </c>
    </row>
    <row r="45" spans="1:9" x14ac:dyDescent="0.2">
      <c r="A45" s="375"/>
      <c r="B45" s="384" t="s">
        <v>126</v>
      </c>
      <c r="C45" s="375"/>
      <c r="D45" s="375"/>
      <c r="E45" s="375"/>
      <c r="F45" s="102"/>
      <c r="G45" s="373">
        <f>314600-16100</f>
        <v>298500</v>
      </c>
      <c r="H45" s="373">
        <v>0</v>
      </c>
      <c r="I45" s="373">
        <f t="shared" si="2"/>
        <v>298500</v>
      </c>
    </row>
    <row r="46" spans="1:9" x14ac:dyDescent="0.2">
      <c r="A46" s="375"/>
      <c r="B46" s="384" t="s">
        <v>127</v>
      </c>
      <c r="C46" s="375"/>
      <c r="D46" s="375"/>
      <c r="E46" s="375"/>
      <c r="F46" s="102"/>
      <c r="G46" s="373">
        <v>0</v>
      </c>
      <c r="H46" s="373">
        <v>0</v>
      </c>
      <c r="I46" s="373">
        <f t="shared" si="2"/>
        <v>0</v>
      </c>
    </row>
    <row r="47" spans="1:9" x14ac:dyDescent="0.2">
      <c r="A47" s="375"/>
      <c r="B47" s="384" t="s">
        <v>128</v>
      </c>
      <c r="C47" s="375"/>
      <c r="D47" s="375"/>
      <c r="E47" s="375"/>
      <c r="F47" s="102"/>
      <c r="G47" s="373">
        <v>0</v>
      </c>
      <c r="H47" s="373">
        <v>0</v>
      </c>
      <c r="I47" s="373">
        <f t="shared" si="2"/>
        <v>0</v>
      </c>
    </row>
    <row r="48" spans="1:9" x14ac:dyDescent="0.2">
      <c r="A48" s="375"/>
      <c r="B48" s="384" t="s">
        <v>129</v>
      </c>
      <c r="C48" s="375"/>
      <c r="D48" s="375"/>
      <c r="E48" s="375"/>
      <c r="F48" s="102"/>
      <c r="G48" s="373">
        <f>1880</f>
        <v>1880</v>
      </c>
      <c r="H48" s="373">
        <v>122002</v>
      </c>
      <c r="I48" s="373">
        <f t="shared" si="2"/>
        <v>123882</v>
      </c>
    </row>
    <row r="49" spans="1:12" ht="15" x14ac:dyDescent="0.2">
      <c r="A49" s="389"/>
      <c r="B49" s="384" t="s">
        <v>130</v>
      </c>
      <c r="C49" s="375"/>
      <c r="D49" s="375"/>
      <c r="E49" s="375"/>
      <c r="F49" s="102"/>
      <c r="G49" s="374">
        <f>31938+40000</f>
        <v>71938</v>
      </c>
      <c r="H49" s="374">
        <v>0</v>
      </c>
      <c r="I49" s="374">
        <f t="shared" si="2"/>
        <v>71938</v>
      </c>
    </row>
    <row r="50" spans="1:12" x14ac:dyDescent="0.2">
      <c r="A50" s="389"/>
      <c r="B50" s="377" t="s">
        <v>657</v>
      </c>
      <c r="C50" s="375"/>
      <c r="D50" s="375"/>
      <c r="E50" s="375"/>
      <c r="F50" s="102"/>
      <c r="G50" s="373">
        <f>SUM(G42:G49)</f>
        <v>41190934</v>
      </c>
      <c r="H50" s="373">
        <f>SUM(H42:H49)</f>
        <v>122002</v>
      </c>
      <c r="I50" s="373">
        <f>SUM(I42:I49)</f>
        <v>41312936</v>
      </c>
    </row>
    <row r="51" spans="1:12" x14ac:dyDescent="0.2">
      <c r="A51" s="375"/>
      <c r="B51" s="384" t="s">
        <v>131</v>
      </c>
      <c r="C51" s="375"/>
      <c r="D51" s="375"/>
      <c r="E51" s="375"/>
      <c r="F51" s="102"/>
      <c r="G51" s="373">
        <v>-369090</v>
      </c>
      <c r="H51" s="373">
        <v>0</v>
      </c>
      <c r="I51" s="373">
        <f t="shared" si="2"/>
        <v>-369090</v>
      </c>
    </row>
    <row r="52" spans="1:12" ht="15" x14ac:dyDescent="0.2">
      <c r="A52" s="375"/>
      <c r="B52" s="384" t="s">
        <v>132</v>
      </c>
      <c r="C52" s="375"/>
      <c r="D52" s="375"/>
      <c r="E52" s="375"/>
      <c r="F52" s="102"/>
      <c r="G52" s="374">
        <v>-14000</v>
      </c>
      <c r="H52" s="374">
        <v>14000</v>
      </c>
      <c r="I52" s="374">
        <f t="shared" si="2"/>
        <v>0</v>
      </c>
    </row>
    <row r="53" spans="1:12" ht="15" x14ac:dyDescent="0.2">
      <c r="A53" s="375"/>
      <c r="B53" s="377" t="s">
        <v>658</v>
      </c>
      <c r="C53" s="375"/>
      <c r="D53" s="375"/>
      <c r="E53" s="375"/>
      <c r="F53" s="102"/>
      <c r="G53" s="374">
        <f>SUM(G50:G52)</f>
        <v>40807844</v>
      </c>
      <c r="H53" s="374">
        <f>SUM(H50:H52)</f>
        <v>136002</v>
      </c>
      <c r="I53" s="374">
        <f>SUM(I50:I52)</f>
        <v>40943846</v>
      </c>
      <c r="L53" s="56"/>
    </row>
    <row r="54" spans="1:12" ht="15" customHeight="1" x14ac:dyDescent="0.2">
      <c r="A54" s="392"/>
      <c r="B54" s="394" t="s">
        <v>133</v>
      </c>
      <c r="C54" s="395"/>
      <c r="D54" s="395"/>
      <c r="E54" s="395"/>
      <c r="F54" s="386"/>
      <c r="G54" s="396">
        <f>G53+G38</f>
        <v>8035206</v>
      </c>
      <c r="H54" s="396">
        <f>H53+H38</f>
        <v>52283</v>
      </c>
      <c r="I54" s="396">
        <f>I53+I38</f>
        <v>8087489</v>
      </c>
      <c r="K54" s="56"/>
    </row>
    <row r="55" spans="1:12" ht="15" x14ac:dyDescent="0.2">
      <c r="A55" s="375"/>
      <c r="B55" s="375" t="s">
        <v>286</v>
      </c>
      <c r="C55" s="375"/>
      <c r="D55" s="375"/>
      <c r="E55" s="375"/>
      <c r="F55" s="102"/>
      <c r="G55" s="374">
        <f>6006132</f>
        <v>6006132</v>
      </c>
      <c r="H55" s="374">
        <f>'Rev, exp-Prop'!D39</f>
        <v>125569</v>
      </c>
      <c r="I55" s="374">
        <f>+G55+H55</f>
        <v>6131701</v>
      </c>
      <c r="K55" s="63"/>
      <c r="L55" s="56"/>
    </row>
    <row r="56" spans="1:12" ht="15" x14ac:dyDescent="0.2">
      <c r="A56" s="375"/>
      <c r="B56" s="375" t="s">
        <v>134</v>
      </c>
      <c r="C56" s="375"/>
      <c r="D56" s="375"/>
      <c r="E56" s="375"/>
      <c r="F56" s="102"/>
      <c r="G56" s="380">
        <f>G54+G55</f>
        <v>14041338</v>
      </c>
      <c r="H56" s="380">
        <f>H54+H55</f>
        <v>177852</v>
      </c>
      <c r="I56" s="380">
        <f>I54+I55</f>
        <v>14219190</v>
      </c>
    </row>
    <row r="57" spans="1:12" ht="22.5" customHeight="1" x14ac:dyDescent="0.2">
      <c r="G57" s="21"/>
      <c r="H57" s="21"/>
      <c r="I57" s="21"/>
    </row>
    <row r="58" spans="1:12" ht="26.25" customHeight="1" x14ac:dyDescent="0.2">
      <c r="A58" s="478" t="s">
        <v>503</v>
      </c>
      <c r="B58" s="478"/>
      <c r="C58" s="478"/>
      <c r="D58" s="478"/>
      <c r="E58" s="478"/>
      <c r="F58" s="64"/>
      <c r="G58" s="65"/>
      <c r="H58" s="65"/>
      <c r="I58" s="65"/>
    </row>
    <row r="59" spans="1:12" x14ac:dyDescent="0.2">
      <c r="A59" s="478" t="s">
        <v>135</v>
      </c>
      <c r="B59" s="478"/>
      <c r="C59" s="478"/>
      <c r="D59" s="478"/>
      <c r="E59" s="478"/>
      <c r="F59" s="20"/>
      <c r="G59" s="66"/>
      <c r="H59" s="66"/>
      <c r="I59" s="66"/>
    </row>
    <row r="60" spans="1:12" ht="26.25" customHeight="1" x14ac:dyDescent="0.2">
      <c r="A60" s="478" t="s">
        <v>136</v>
      </c>
      <c r="B60" s="478"/>
      <c r="C60" s="478"/>
      <c r="D60" s="478"/>
      <c r="E60" s="478"/>
      <c r="F60" s="64"/>
      <c r="G60" s="65"/>
      <c r="H60" s="65"/>
      <c r="I60" s="64"/>
      <c r="J60" s="22"/>
      <c r="K60" s="67"/>
    </row>
    <row r="61" spans="1:12" ht="6.75" customHeight="1" x14ac:dyDescent="0.2">
      <c r="G61" s="57"/>
    </row>
    <row r="62" spans="1:12" x14ac:dyDescent="0.2">
      <c r="A62" s="16" t="s">
        <v>84</v>
      </c>
      <c r="G62" s="56"/>
      <c r="H62" s="57"/>
    </row>
    <row r="64" spans="1:12" x14ac:dyDescent="0.2">
      <c r="E64" s="68"/>
      <c r="G64" s="56"/>
      <c r="I64" s="57"/>
    </row>
    <row r="66" spans="1:9" x14ac:dyDescent="0.2">
      <c r="H66" s="57"/>
    </row>
    <row r="67" spans="1:9" x14ac:dyDescent="0.2">
      <c r="H67" s="57"/>
    </row>
    <row r="68" spans="1:9" ht="20.25" x14ac:dyDescent="0.55000000000000004">
      <c r="A68" s="280" t="s">
        <v>513</v>
      </c>
    </row>
    <row r="69" spans="1:9" ht="15.75" x14ac:dyDescent="0.2">
      <c r="E69" s="219" t="s">
        <v>517</v>
      </c>
      <c r="G69" s="220" t="str">
        <f>IF(ROUND(G56,0)-ROUND(GWNetPos!B52,0)=0,"Yes",G56-GWNetPos!B52)</f>
        <v>Yes</v>
      </c>
      <c r="H69" s="220" t="str">
        <f>IF(ROUND(H56,0)-ROUND(GWNetPos!C52,0)=0,"Yes",H56-GWNetPos!C52)</f>
        <v>Yes</v>
      </c>
      <c r="I69" s="220" t="str">
        <f>IF(ROUND(I56,0)-ROUND(GWNetPos!D52,0)=0,"Yes",I56-GWNetPos!D52)</f>
        <v>Yes</v>
      </c>
    </row>
    <row r="70" spans="1:9" ht="15.75" x14ac:dyDescent="0.2">
      <c r="E70" s="219" t="s">
        <v>518</v>
      </c>
      <c r="G70" s="220" t="str">
        <f>IF(ROUND(G54,0)-ROUND('Recon Change Net Pos'!F32,0)=0,"Yes",G54-'Recon Change Net Pos'!F32)</f>
        <v>Yes</v>
      </c>
    </row>
    <row r="71" spans="1:9" ht="15.75" x14ac:dyDescent="0.2">
      <c r="E71" s="219" t="s">
        <v>519</v>
      </c>
      <c r="H71" s="220" t="str">
        <f>IF(ROUND(H54,0)-ROUND('Rev, exp-Prop'!D38,0)=0,"Yes",H54-'Rev, exp-Prop'!D38)</f>
        <v>Yes</v>
      </c>
    </row>
    <row r="72" spans="1:9" ht="15.75" x14ac:dyDescent="0.2">
      <c r="E72" s="219" t="s">
        <v>520</v>
      </c>
      <c r="H72" s="220" t="str">
        <f>IF(ROUND(H56,0)-ROUND('Rev, exp-Prop'!D40,0)=0,"Yes",H56-'Rev, exp-Prop'!D40)</f>
        <v>Yes</v>
      </c>
    </row>
    <row r="74" spans="1:9" ht="15.75" x14ac:dyDescent="0.25">
      <c r="A74" s="475" t="s">
        <v>521</v>
      </c>
      <c r="B74" s="475"/>
      <c r="C74" s="475"/>
      <c r="D74" s="475"/>
      <c r="E74" s="475"/>
      <c r="F74" s="221"/>
      <c r="G74" s="221"/>
      <c r="H74" s="221"/>
      <c r="I74" s="221"/>
    </row>
    <row r="75" spans="1:9" ht="54" x14ac:dyDescent="0.4">
      <c r="A75" s="221"/>
      <c r="B75" s="222" t="s">
        <v>90</v>
      </c>
      <c r="C75" s="223" t="s">
        <v>91</v>
      </c>
      <c r="D75" s="223" t="s">
        <v>92</v>
      </c>
      <c r="E75" s="223" t="s">
        <v>93</v>
      </c>
      <c r="F75" s="221"/>
      <c r="G75" s="476" t="s">
        <v>522</v>
      </c>
      <c r="H75" s="476"/>
      <c r="I75" s="476"/>
    </row>
    <row r="76" spans="1:9" ht="15.75" x14ac:dyDescent="0.2">
      <c r="A76" s="219" t="s">
        <v>119</v>
      </c>
      <c r="B76" s="225" t="str">
        <f>IF(B35-'Rev, exp-Prop'!B26=0,"Yes",B35-'Rev, exp-Prop'!B26)</f>
        <v>Yes</v>
      </c>
      <c r="C76" s="225" t="str">
        <f>IF(C35-'Rev, exp-Prop'!B11=0,"Yes",C35-'Rev, exp-Prop'!B11)</f>
        <v>Yes</v>
      </c>
      <c r="D76" s="225" t="str">
        <f>IF(D35-SUM('Rev, exp-Prop'!B30:B31)-'Rev, exp-Prop'!B33=0,"Yes",D35-SUM('Rev, exp-Prop'!B30:B31)-'Rev, exp-Prop'!B33)</f>
        <v>Yes</v>
      </c>
      <c r="E76" s="225" t="s">
        <v>523</v>
      </c>
      <c r="F76" s="224"/>
      <c r="G76" s="224"/>
      <c r="H76" s="225" t="str">
        <f>IF(H35-('Rev, exp-Prop'!B27+SUM('Rev, exp-Prop'!B30:B31)+'Rev, exp-Prop'!B33)=0,"Yes",H35-('Rev, exp-Prop'!B27+SUM('Rev, exp-Prop'!B30:B31)+'Rev, exp-Prop'!B33))</f>
        <v>Yes</v>
      </c>
      <c r="I76" s="224"/>
    </row>
    <row r="77" spans="1:9" ht="15.75" x14ac:dyDescent="0.2">
      <c r="A77" s="219" t="s">
        <v>120</v>
      </c>
      <c r="B77" s="225" t="str">
        <f>IF(B36-'Rev, exp-Prop'!C26=0,"Yes",B36-'Rev, exp-Prop'!C26)</f>
        <v>Yes</v>
      </c>
      <c r="C77" s="225" t="str">
        <f>IF(C36-'Rev, exp-Prop'!C12=0,"Yes",C36-'Rev, exp-Prop'!C12)</f>
        <v>Yes</v>
      </c>
      <c r="D77" s="225" t="str">
        <f>IF(D36-SUM('Rev, exp-Prop'!C30:C31)-'Rev, exp-Prop'!C33=0,"Yes",D36-SUM('Rev, exp-Prop'!B30:B31)-'Rev, exp-Prop'!B33)</f>
        <v>Yes</v>
      </c>
      <c r="E77" s="225" t="s">
        <v>523</v>
      </c>
      <c r="F77" s="224"/>
      <c r="G77" s="224"/>
      <c r="H77" s="225" t="str">
        <f>IF(H36-('Rev, exp-Prop'!C27+SUM('Rev, exp-Prop'!C30:C31)+'Rev, exp-Prop'!C33)=0,"Yes",H36-('Rev, exp-Prop'!C27+SUM('Rev, exp-Prop'!C30:C31)+'Rev, exp-Prop'!C33))</f>
        <v>Yes</v>
      </c>
      <c r="I77" s="224"/>
    </row>
    <row r="81" spans="2:9" ht="15.75" x14ac:dyDescent="0.25">
      <c r="B81"/>
      <c r="C81" s="474" t="s">
        <v>524</v>
      </c>
      <c r="D81" s="474"/>
      <c r="E81" s="474"/>
      <c r="F81" s="221"/>
      <c r="G81" s="226">
        <f>IF(OR(G55&lt;=0,G56&lt;=0),"na   ",IF((G56/G55)-1&gt;GASB34GovtFundsBS!$G$70,"NM  ",(G56/G55)-1))</f>
        <v>1.3378337339239299</v>
      </c>
      <c r="H81" s="226">
        <f>IF(OR(H55&lt;=0,H56&lt;=0),"na   ",IF((H56/H55)-1&gt;GASB34GovtFundsBS!$G$70,"NM  ",(H56/H55)-1))</f>
        <v>0.41636868972437457</v>
      </c>
      <c r="I81" s="226">
        <f>IF(OR(I55&lt;=0,I56&lt;=0),"na   ",IF((I56/I55)-1&gt;GASB34GovtFundsBS!$G$70,"NM  ",(I56/I55)-1))</f>
        <v>1.3189633675875583</v>
      </c>
    </row>
    <row r="82" spans="2:9" ht="15.75" x14ac:dyDescent="0.25">
      <c r="B82" s="221"/>
      <c r="C82" s="221"/>
      <c r="D82" s="221"/>
      <c r="E82" s="221"/>
      <c r="F82" s="221"/>
      <c r="G82" s="221"/>
      <c r="H82" s="221"/>
      <c r="I82" s="221"/>
    </row>
    <row r="83" spans="2:9" ht="15.75" x14ac:dyDescent="0.25">
      <c r="B83"/>
      <c r="C83" s="227"/>
      <c r="D83" s="226"/>
      <c r="E83" s="228"/>
      <c r="F83" s="221"/>
      <c r="G83" s="221"/>
      <c r="H83" s="221"/>
      <c r="I83" s="221"/>
    </row>
    <row r="84" spans="2:9" ht="15.75" x14ac:dyDescent="0.25">
      <c r="B84" s="221" t="str">
        <f>CONCATENATE("If percent change greater than ",TEXT(GASB34GovtFundsBS!G70,"0.00%")," shows NM for Not Meaningful.")</f>
        <v>If percent change greater than 300.00% shows NM for Not Meaningful.</v>
      </c>
      <c r="C84"/>
      <c r="D84" s="221"/>
      <c r="E84" s="221"/>
      <c r="F84" s="221"/>
      <c r="G84"/>
      <c r="H84" s="221"/>
      <c r="I84" s="221"/>
    </row>
    <row r="85" spans="2:9" ht="15.75" x14ac:dyDescent="0.25">
      <c r="B85" s="221" t="s">
        <v>525</v>
      </c>
      <c r="C85"/>
      <c r="D85"/>
      <c r="E85" s="221"/>
      <c r="F85" s="221"/>
      <c r="G85" s="221"/>
      <c r="H85" s="221"/>
      <c r="I85" s="221"/>
    </row>
    <row r="86" spans="2:9" ht="15.75" x14ac:dyDescent="0.25">
      <c r="B86" s="221"/>
      <c r="C86" s="221"/>
      <c r="D86" s="221"/>
      <c r="E86" s="221"/>
      <c r="F86" s="221"/>
      <c r="G86" s="221"/>
      <c r="H86" s="221"/>
      <c r="I86" s="221"/>
    </row>
    <row r="87" spans="2:9" ht="15.75" x14ac:dyDescent="0.25">
      <c r="D87" s="229"/>
    </row>
    <row r="88" spans="2:9" x14ac:dyDescent="0.2">
      <c r="B88" s="274"/>
      <c r="E88" s="68" t="s">
        <v>638</v>
      </c>
      <c r="G88" s="370">
        <f>(G42+G43)/(C32+D32+E32+G50)</f>
        <v>0.25226253235104751</v>
      </c>
    </row>
    <row r="89" spans="2:9" ht="15" x14ac:dyDescent="0.35">
      <c r="B89" s="275"/>
    </row>
  </sheetData>
  <mergeCells count="14">
    <mergeCell ref="C81:E81"/>
    <mergeCell ref="A2:I2"/>
    <mergeCell ref="A3:I3"/>
    <mergeCell ref="A4:I4"/>
    <mergeCell ref="C6:E6"/>
    <mergeCell ref="G6:I6"/>
    <mergeCell ref="A74:E74"/>
    <mergeCell ref="G75:I75"/>
    <mergeCell ref="D7:D8"/>
    <mergeCell ref="E7:E8"/>
    <mergeCell ref="A58:E58"/>
    <mergeCell ref="A59:E59"/>
    <mergeCell ref="A60:E60"/>
    <mergeCell ref="G7:I7"/>
  </mergeCells>
  <conditionalFormatting sqref="H69:I69 G69:G70 H71:H72">
    <cfRule type="cellIs" dxfId="20" priority="3" operator="notEqual">
      <formula>"Yes"</formula>
    </cfRule>
  </conditionalFormatting>
  <conditionalFormatting sqref="B76:D77 H76:H77">
    <cfRule type="cellIs" dxfId="19" priority="1" operator="notEqual">
      <formula>"yes"</formula>
    </cfRule>
  </conditionalFormatting>
  <printOptions horizontalCentered="1"/>
  <pageMargins left="0.5" right="0.5" top="0.5" bottom="0.5" header="0.5" footer="0.5"/>
  <pageSetup scale="62" orientation="landscape" r:id="rId1"/>
  <colBreaks count="1" manualBreakCount="1">
    <brk id="10" max="1048575" man="1"/>
  </colBreaks>
  <ignoredErrors>
    <ignoredError sqref="I50 I37" formula="1"/>
    <ignoredError sqref="H71 H76:H77"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pageSetUpPr fitToPage="1"/>
  </sheetPr>
  <dimension ref="A1:J72"/>
  <sheetViews>
    <sheetView showGridLines="0" zoomScaleNormal="100" workbookViewId="0"/>
  </sheetViews>
  <sheetFormatPr defaultRowHeight="12.75" x14ac:dyDescent="0.2"/>
  <cols>
    <col min="1" max="1" width="34.7109375" style="16" customWidth="1"/>
    <col min="2" max="5" width="15.7109375" style="16" customWidth="1"/>
    <col min="6" max="6" width="15.5703125" style="16" bestFit="1" customWidth="1"/>
    <col min="7" max="7" width="15.7109375" style="16" customWidth="1"/>
    <col min="8" max="9" width="10.7109375" style="16" bestFit="1" customWidth="1"/>
    <col min="10" max="16384" width="9.140625" style="16"/>
  </cols>
  <sheetData>
    <row r="1" spans="1:8" x14ac:dyDescent="0.2">
      <c r="G1" s="49" t="s">
        <v>137</v>
      </c>
    </row>
    <row r="2" spans="1:8" x14ac:dyDescent="0.2">
      <c r="A2" s="472" t="s">
        <v>0</v>
      </c>
      <c r="B2" s="472"/>
      <c r="C2" s="472"/>
      <c r="D2" s="472"/>
      <c r="E2" s="472"/>
      <c r="F2" s="472"/>
      <c r="G2" s="472"/>
    </row>
    <row r="3" spans="1:8" x14ac:dyDescent="0.2">
      <c r="A3" s="472" t="s">
        <v>138</v>
      </c>
      <c r="B3" s="472"/>
      <c r="C3" s="472"/>
      <c r="D3" s="472"/>
      <c r="E3" s="472"/>
      <c r="F3" s="472"/>
      <c r="G3" s="472"/>
    </row>
    <row r="4" spans="1:8" x14ac:dyDescent="0.2">
      <c r="A4" s="472" t="s">
        <v>139</v>
      </c>
      <c r="B4" s="472"/>
      <c r="C4" s="472"/>
      <c r="D4" s="472"/>
      <c r="E4" s="472"/>
      <c r="F4" s="472"/>
      <c r="G4" s="472"/>
    </row>
    <row r="5" spans="1:8" x14ac:dyDescent="0.2">
      <c r="A5" s="482" t="str">
        <f>GWNetPos!A4</f>
        <v>June 30, 2021</v>
      </c>
      <c r="B5" s="483"/>
      <c r="C5" s="483"/>
      <c r="D5" s="483"/>
      <c r="E5" s="483"/>
      <c r="F5" s="483"/>
      <c r="G5" s="483"/>
    </row>
    <row r="6" spans="1:8" x14ac:dyDescent="0.2">
      <c r="A6" s="69"/>
      <c r="B6" s="34"/>
      <c r="C6" s="34"/>
      <c r="D6" s="34"/>
      <c r="E6" s="34"/>
      <c r="F6" s="34"/>
      <c r="G6" s="34"/>
    </row>
    <row r="7" spans="1:8" ht="15" x14ac:dyDescent="0.35">
      <c r="A7" s="69"/>
      <c r="B7" s="205" t="s">
        <v>140</v>
      </c>
      <c r="C7" s="205"/>
      <c r="D7" s="205"/>
      <c r="E7" s="205"/>
      <c r="F7" s="202" t="s">
        <v>14</v>
      </c>
      <c r="G7" s="477" t="s">
        <v>146</v>
      </c>
    </row>
    <row r="8" spans="1:8" ht="30" x14ac:dyDescent="0.35">
      <c r="B8" s="196" t="s">
        <v>141</v>
      </c>
      <c r="C8" s="196" t="s">
        <v>142</v>
      </c>
      <c r="D8" s="196" t="s">
        <v>143</v>
      </c>
      <c r="E8" s="196" t="s">
        <v>144</v>
      </c>
      <c r="F8" s="196" t="s">
        <v>145</v>
      </c>
      <c r="G8" s="477"/>
    </row>
    <row r="9" spans="1:8" x14ac:dyDescent="0.2">
      <c r="A9" s="382" t="s">
        <v>552</v>
      </c>
      <c r="B9" s="375"/>
      <c r="C9" s="375"/>
      <c r="D9" s="375"/>
      <c r="E9" s="375"/>
      <c r="F9" s="375"/>
      <c r="G9" s="375"/>
    </row>
    <row r="10" spans="1:8" x14ac:dyDescent="0.2">
      <c r="A10" s="377" t="s">
        <v>61</v>
      </c>
      <c r="B10" s="381">
        <f>ROUND(158000+40000-(0.8*(48500))- (0.8*(27219))-(0.8*0.5*1260)-(0.8*50000)-(0.8*30000)-(560),0)</f>
        <v>72361</v>
      </c>
      <c r="C10" s="381">
        <v>0</v>
      </c>
      <c r="D10" s="381">
        <v>97100</v>
      </c>
      <c r="E10" s="381">
        <v>127700</v>
      </c>
      <c r="F10" s="381">
        <v>4700</v>
      </c>
      <c r="G10" s="381">
        <f>SUM(B10:F10)</f>
        <v>301861</v>
      </c>
    </row>
    <row r="11" spans="1:8" x14ac:dyDescent="0.2">
      <c r="A11" s="377" t="s">
        <v>147</v>
      </c>
      <c r="B11" s="373">
        <v>7700</v>
      </c>
      <c r="C11" s="373">
        <v>0</v>
      </c>
      <c r="D11" s="373">
        <v>0</v>
      </c>
      <c r="E11" s="373">
        <v>0</v>
      </c>
      <c r="F11" s="373">
        <v>0</v>
      </c>
      <c r="G11" s="373">
        <f>SUM(B11:F11)</f>
        <v>7700</v>
      </c>
    </row>
    <row r="12" spans="1:8" x14ac:dyDescent="0.2">
      <c r="A12" s="377" t="s">
        <v>62</v>
      </c>
      <c r="B12" s="373">
        <f>1950+200000</f>
        <v>201950</v>
      </c>
      <c r="C12" s="373">
        <f>215300-15000</f>
        <v>200300</v>
      </c>
      <c r="D12" s="373">
        <v>2972</v>
      </c>
      <c r="E12" s="373">
        <f>160000-25000</f>
        <v>135000</v>
      </c>
      <c r="F12" s="373">
        <f>26250-150</f>
        <v>26100</v>
      </c>
      <c r="G12" s="373">
        <f>SUM(B12:F12)</f>
        <v>566322</v>
      </c>
    </row>
    <row r="13" spans="1:8" x14ac:dyDescent="0.2">
      <c r="A13" s="377" t="s">
        <v>67</v>
      </c>
      <c r="B13" s="373">
        <v>11580</v>
      </c>
      <c r="C13" s="373">
        <v>0</v>
      </c>
      <c r="D13" s="373">
        <v>0</v>
      </c>
      <c r="E13" s="373">
        <v>0</v>
      </c>
      <c r="F13" s="373">
        <v>0</v>
      </c>
      <c r="G13" s="373">
        <v>11580</v>
      </c>
    </row>
    <row r="14" spans="1:8" ht="15" x14ac:dyDescent="0.2">
      <c r="A14" s="377" t="s">
        <v>66</v>
      </c>
      <c r="B14" s="374">
        <f>14200</f>
        <v>14200</v>
      </c>
      <c r="C14" s="374">
        <v>0</v>
      </c>
      <c r="D14" s="374">
        <v>0</v>
      </c>
      <c r="E14" s="374">
        <v>0</v>
      </c>
      <c r="F14" s="374">
        <v>0</v>
      </c>
      <c r="G14" s="374">
        <f>SUM(B14:F14)</f>
        <v>14200</v>
      </c>
    </row>
    <row r="15" spans="1:8" ht="15" x14ac:dyDescent="0.2">
      <c r="A15" s="384" t="s">
        <v>71</v>
      </c>
      <c r="B15" s="380">
        <f>SUM(B10:B14)</f>
        <v>307791</v>
      </c>
      <c r="C15" s="380">
        <f>SUM(C10:C14)</f>
        <v>200300</v>
      </c>
      <c r="D15" s="380">
        <v>100072</v>
      </c>
      <c r="E15" s="380">
        <f>SUM(E10:E14)</f>
        <v>262700</v>
      </c>
      <c r="F15" s="380">
        <f>SUM(F10:F14)</f>
        <v>30800</v>
      </c>
      <c r="G15" s="380">
        <f>SUM(G10:G14)</f>
        <v>901663</v>
      </c>
      <c r="H15" s="57"/>
    </row>
    <row r="16" spans="1:8" x14ac:dyDescent="0.2">
      <c r="A16" s="377"/>
      <c r="B16" s="375"/>
      <c r="C16" s="375"/>
      <c r="D16" s="375"/>
      <c r="E16" s="375"/>
      <c r="F16" s="375"/>
      <c r="G16" s="375"/>
    </row>
    <row r="17" spans="1:7" ht="25.5" x14ac:dyDescent="0.2">
      <c r="A17" s="433" t="s">
        <v>557</v>
      </c>
      <c r="B17" s="375"/>
      <c r="C17" s="375"/>
      <c r="D17" s="375"/>
      <c r="E17" s="375"/>
      <c r="F17" s="375"/>
      <c r="G17" s="375"/>
    </row>
    <row r="18" spans="1:7" x14ac:dyDescent="0.2">
      <c r="A18" s="377" t="s">
        <v>148</v>
      </c>
      <c r="B18" s="375"/>
      <c r="C18" s="375"/>
      <c r="D18" s="375"/>
      <c r="E18" s="375"/>
      <c r="F18" s="375"/>
      <c r="G18" s="375"/>
    </row>
    <row r="19" spans="1:7" x14ac:dyDescent="0.2">
      <c r="A19" s="379" t="s">
        <v>149</v>
      </c>
      <c r="B19" s="388">
        <v>43600</v>
      </c>
      <c r="C19" s="388">
        <v>0</v>
      </c>
      <c r="D19" s="388">
        <v>0</v>
      </c>
      <c r="E19" s="388">
        <v>36700</v>
      </c>
      <c r="F19" s="388">
        <v>0</v>
      </c>
      <c r="G19" s="388">
        <f>SUM(B19:F19)</f>
        <v>80300</v>
      </c>
    </row>
    <row r="20" spans="1:7" ht="15" x14ac:dyDescent="0.2">
      <c r="A20" s="379" t="s">
        <v>73</v>
      </c>
      <c r="B20" s="374">
        <v>73900</v>
      </c>
      <c r="C20" s="374">
        <v>200300</v>
      </c>
      <c r="D20" s="374">
        <v>0</v>
      </c>
      <c r="E20" s="374">
        <v>0</v>
      </c>
      <c r="F20" s="374">
        <v>30800</v>
      </c>
      <c r="G20" s="374">
        <f>SUM(B20:F20)</f>
        <v>305000</v>
      </c>
    </row>
    <row r="21" spans="1:7" ht="15" x14ac:dyDescent="0.2">
      <c r="A21" s="384" t="s">
        <v>79</v>
      </c>
      <c r="B21" s="374">
        <f t="shared" ref="B21:G21" si="0">SUM(B19:B20)</f>
        <v>117500</v>
      </c>
      <c r="C21" s="374">
        <f t="shared" si="0"/>
        <v>200300</v>
      </c>
      <c r="D21" s="374">
        <f t="shared" si="0"/>
        <v>0</v>
      </c>
      <c r="E21" s="374">
        <f t="shared" si="0"/>
        <v>36700</v>
      </c>
      <c r="F21" s="374">
        <f t="shared" si="0"/>
        <v>30800</v>
      </c>
      <c r="G21" s="374">
        <f t="shared" si="0"/>
        <v>385300</v>
      </c>
    </row>
    <row r="22" spans="1:7" ht="15" x14ac:dyDescent="0.2">
      <c r="A22" s="377"/>
      <c r="B22" s="374"/>
      <c r="C22" s="374"/>
      <c r="D22" s="374"/>
      <c r="E22" s="374"/>
      <c r="F22" s="374"/>
      <c r="G22" s="374"/>
    </row>
    <row r="23" spans="1:7" ht="15" x14ac:dyDescent="0.2">
      <c r="A23" s="437" t="s">
        <v>499</v>
      </c>
      <c r="B23" s="374">
        <v>16100</v>
      </c>
      <c r="C23" s="374">
        <v>0</v>
      </c>
      <c r="D23" s="374">
        <v>0</v>
      </c>
      <c r="E23" s="374">
        <v>0</v>
      </c>
      <c r="F23" s="374">
        <v>0</v>
      </c>
      <c r="G23" s="374">
        <f>SUM(B23:F23)</f>
        <v>16100</v>
      </c>
    </row>
    <row r="24" spans="1:7" x14ac:dyDescent="0.2">
      <c r="A24" s="377"/>
      <c r="B24" s="375"/>
      <c r="C24" s="375"/>
      <c r="D24" s="375"/>
      <c r="E24" s="375"/>
      <c r="F24" s="375"/>
      <c r="G24" s="375"/>
    </row>
    <row r="25" spans="1:7" x14ac:dyDescent="0.2">
      <c r="A25" s="377" t="s">
        <v>150</v>
      </c>
      <c r="B25" s="375"/>
      <c r="C25" s="375" t="s">
        <v>151</v>
      </c>
      <c r="D25" s="375"/>
      <c r="E25" s="375"/>
      <c r="F25" s="375"/>
      <c r="G25" s="375"/>
    </row>
    <row r="26" spans="1:7" x14ac:dyDescent="0.2">
      <c r="A26" s="377" t="s">
        <v>152</v>
      </c>
      <c r="B26" s="375"/>
      <c r="C26" s="375"/>
      <c r="D26" s="375"/>
      <c r="E26" s="375"/>
      <c r="F26" s="375"/>
      <c r="G26" s="375"/>
    </row>
    <row r="27" spans="1:7" ht="12.75" customHeight="1" x14ac:dyDescent="0.2">
      <c r="A27" s="384" t="s">
        <v>66</v>
      </c>
      <c r="B27" s="373">
        <f>14200</f>
        <v>14200</v>
      </c>
      <c r="C27" s="373">
        <v>0</v>
      </c>
      <c r="D27" s="373">
        <v>0</v>
      </c>
      <c r="E27" s="373">
        <v>0</v>
      </c>
      <c r="F27" s="373">
        <v>0</v>
      </c>
      <c r="G27" s="373">
        <f>SUM(B27:F27)</f>
        <v>14200</v>
      </c>
    </row>
    <row r="28" spans="1:7" x14ac:dyDescent="0.2">
      <c r="A28" s="384" t="s">
        <v>67</v>
      </c>
      <c r="B28" s="373">
        <v>11580</v>
      </c>
      <c r="C28" s="373">
        <v>0</v>
      </c>
      <c r="D28" s="373">
        <v>0</v>
      </c>
      <c r="E28" s="373">
        <v>0</v>
      </c>
      <c r="F28" s="373">
        <v>0</v>
      </c>
      <c r="G28" s="373">
        <f t="shared" ref="G28:G36" si="1">SUM(B28:F28)</f>
        <v>11580</v>
      </c>
    </row>
    <row r="29" spans="1:7" x14ac:dyDescent="0.2">
      <c r="A29" s="377" t="s">
        <v>81</v>
      </c>
      <c r="B29" s="375"/>
      <c r="C29" s="375"/>
      <c r="D29" s="375"/>
      <c r="E29" s="375"/>
      <c r="F29" s="375"/>
      <c r="G29" s="373"/>
    </row>
    <row r="30" spans="1:7" x14ac:dyDescent="0.2">
      <c r="A30" s="384" t="s">
        <v>153</v>
      </c>
      <c r="B30" s="373">
        <v>14650</v>
      </c>
      <c r="C30" s="373">
        <v>0</v>
      </c>
      <c r="D30" s="373">
        <v>0</v>
      </c>
      <c r="E30" s="373">
        <v>0</v>
      </c>
      <c r="F30" s="373">
        <v>0</v>
      </c>
      <c r="G30" s="373">
        <f t="shared" si="1"/>
        <v>14650</v>
      </c>
    </row>
    <row r="31" spans="1:7" x14ac:dyDescent="0.2">
      <c r="A31" s="384" t="s">
        <v>573</v>
      </c>
      <c r="B31" s="373">
        <v>0</v>
      </c>
      <c r="C31" s="373">
        <v>0</v>
      </c>
      <c r="D31" s="373">
        <v>0</v>
      </c>
      <c r="E31" s="373">
        <f>60000+166000</f>
        <v>226000</v>
      </c>
      <c r="F31" s="373">
        <v>0</v>
      </c>
      <c r="G31" s="373">
        <f t="shared" si="1"/>
        <v>226000</v>
      </c>
    </row>
    <row r="32" spans="1:7" ht="15" customHeight="1" x14ac:dyDescent="0.2">
      <c r="A32" s="383" t="s">
        <v>647</v>
      </c>
      <c r="B32" s="373">
        <v>0</v>
      </c>
      <c r="C32" s="373">
        <v>0</v>
      </c>
      <c r="D32" s="373">
        <v>100072</v>
      </c>
      <c r="E32" s="373">
        <v>0</v>
      </c>
      <c r="F32" s="373">
        <v>0</v>
      </c>
      <c r="G32" s="373">
        <f>SUM(B32:F32)</f>
        <v>100072</v>
      </c>
    </row>
    <row r="33" spans="1:10" x14ac:dyDescent="0.2">
      <c r="A33" s="377" t="s">
        <v>154</v>
      </c>
      <c r="B33" s="375"/>
      <c r="C33" s="375"/>
      <c r="D33" s="375"/>
      <c r="E33" s="375"/>
      <c r="F33" s="375"/>
      <c r="G33" s="373"/>
    </row>
    <row r="34" spans="1:10" x14ac:dyDescent="0.2">
      <c r="A34" s="384" t="s">
        <v>661</v>
      </c>
      <c r="B34" s="373">
        <v>5000</v>
      </c>
      <c r="C34" s="373">
        <v>0</v>
      </c>
      <c r="D34" s="373">
        <v>0</v>
      </c>
      <c r="E34" s="373">
        <v>0</v>
      </c>
      <c r="F34" s="373">
        <v>0</v>
      </c>
      <c r="G34" s="373">
        <f t="shared" si="1"/>
        <v>5000</v>
      </c>
    </row>
    <row r="35" spans="1:10" ht="15" x14ac:dyDescent="0.35">
      <c r="A35" s="377" t="s">
        <v>662</v>
      </c>
      <c r="B35" s="374">
        <f>B15-B21-B23-SUM(B27:B34)</f>
        <v>128761</v>
      </c>
      <c r="C35" s="374">
        <v>0</v>
      </c>
      <c r="D35" s="374">
        <v>0</v>
      </c>
      <c r="E35" s="374">
        <v>0</v>
      </c>
      <c r="F35" s="374">
        <v>0</v>
      </c>
      <c r="G35" s="374">
        <f t="shared" si="1"/>
        <v>128761</v>
      </c>
      <c r="H35" s="204"/>
    </row>
    <row r="36" spans="1:10" ht="15" x14ac:dyDescent="0.35">
      <c r="A36" s="384" t="s">
        <v>155</v>
      </c>
      <c r="B36" s="374">
        <f>SUM(B27:B35)</f>
        <v>174191</v>
      </c>
      <c r="C36" s="374">
        <f>SUM(C27:C35)</f>
        <v>0</v>
      </c>
      <c r="D36" s="374">
        <f>SUM(D27:D35)</f>
        <v>100072</v>
      </c>
      <c r="E36" s="374">
        <f>SUM(E27:E35)</f>
        <v>226000</v>
      </c>
      <c r="F36" s="374">
        <f>SUM(F27:F35)</f>
        <v>0</v>
      </c>
      <c r="G36" s="374">
        <f t="shared" si="1"/>
        <v>500263</v>
      </c>
      <c r="H36" s="204"/>
      <c r="I36" s="56"/>
      <c r="J36" s="70"/>
    </row>
    <row r="37" spans="1:10" ht="25.5" x14ac:dyDescent="0.35">
      <c r="A37" s="379" t="s">
        <v>156</v>
      </c>
      <c r="B37" s="401">
        <f>B21+B36+B23</f>
        <v>307791</v>
      </c>
      <c r="C37" s="401">
        <f>C21+C36+C23</f>
        <v>200300</v>
      </c>
      <c r="D37" s="401">
        <f>D21+D36+D23</f>
        <v>100072</v>
      </c>
      <c r="E37" s="401">
        <f>E21+E36+E23</f>
        <v>262700</v>
      </c>
      <c r="F37" s="401">
        <f>F21+F36+F23</f>
        <v>30800</v>
      </c>
      <c r="G37" s="397"/>
    </row>
    <row r="38" spans="1:10" x14ac:dyDescent="0.2">
      <c r="A38" s="375"/>
      <c r="B38" s="375"/>
      <c r="C38" s="375"/>
      <c r="D38" s="375"/>
      <c r="E38" s="375"/>
      <c r="F38" s="375"/>
      <c r="G38" s="375"/>
    </row>
    <row r="39" spans="1:10" s="71" customFormat="1" ht="26.25" customHeight="1" x14ac:dyDescent="0.2">
      <c r="A39" s="398"/>
      <c r="B39" s="484" t="s">
        <v>157</v>
      </c>
      <c r="C39" s="484"/>
      <c r="D39" s="484"/>
      <c r="E39" s="484"/>
      <c r="F39" s="484"/>
      <c r="G39" s="375"/>
    </row>
    <row r="40" spans="1:10" s="71" customFormat="1" ht="12.75" customHeight="1" x14ac:dyDescent="0.2">
      <c r="A40" s="398"/>
      <c r="B40" s="383" t="s">
        <v>158</v>
      </c>
      <c r="C40" s="383"/>
      <c r="D40" s="383"/>
      <c r="E40" s="383"/>
      <c r="F40" s="383"/>
      <c r="G40" s="373">
        <f>GWNetPos!B12</f>
        <v>275</v>
      </c>
    </row>
    <row r="41" spans="1:10" s="71" customFormat="1" ht="26.25" customHeight="1" x14ac:dyDescent="0.2">
      <c r="A41" s="398"/>
      <c r="B41" s="485" t="s">
        <v>663</v>
      </c>
      <c r="C41" s="485"/>
      <c r="D41" s="485"/>
      <c r="E41" s="485"/>
      <c r="F41" s="485"/>
      <c r="G41" s="438">
        <f>15262085</f>
        <v>15262085</v>
      </c>
    </row>
    <row r="42" spans="1:10" x14ac:dyDescent="0.2">
      <c r="A42" s="375"/>
      <c r="B42" s="384" t="s">
        <v>159</v>
      </c>
      <c r="C42" s="384"/>
      <c r="D42" s="384"/>
      <c r="E42" s="384"/>
      <c r="F42" s="384"/>
      <c r="G42" s="373">
        <f>GWNetPos!B22</f>
        <v>176042</v>
      </c>
    </row>
    <row r="43" spans="1:10" x14ac:dyDescent="0.2">
      <c r="A43" s="375"/>
      <c r="B43" s="384" t="s">
        <v>160</v>
      </c>
      <c r="C43" s="384"/>
      <c r="D43" s="384"/>
      <c r="E43" s="384"/>
      <c r="F43" s="384"/>
      <c r="G43" s="373">
        <f>GWNetPos!B23+GWNetPos!B24</f>
        <v>71869</v>
      </c>
    </row>
    <row r="44" spans="1:10" s="71" customFormat="1" ht="24.75" customHeight="1" x14ac:dyDescent="0.2">
      <c r="A44" s="398"/>
      <c r="B44" s="481" t="s">
        <v>161</v>
      </c>
      <c r="C44" s="481"/>
      <c r="D44" s="481"/>
      <c r="E44" s="481"/>
      <c r="F44" s="481"/>
      <c r="G44" s="152">
        <f>1430</f>
        <v>1430</v>
      </c>
    </row>
    <row r="45" spans="1:10" s="71" customFormat="1" x14ac:dyDescent="0.2">
      <c r="A45" s="398"/>
      <c r="B45" s="384" t="s">
        <v>162</v>
      </c>
      <c r="C45" s="384"/>
      <c r="D45" s="384"/>
      <c r="E45" s="384"/>
      <c r="F45" s="384"/>
      <c r="G45" s="373">
        <f>-831</f>
        <v>-831</v>
      </c>
    </row>
    <row r="46" spans="1:10" s="71" customFormat="1" ht="26.25" customHeight="1" x14ac:dyDescent="0.2">
      <c r="A46" s="398"/>
      <c r="B46" s="481" t="s">
        <v>163</v>
      </c>
      <c r="C46" s="481"/>
      <c r="D46" s="481"/>
      <c r="E46" s="481"/>
      <c r="F46" s="481"/>
      <c r="G46" s="402">
        <f>-308377-20764</f>
        <v>-329141</v>
      </c>
    </row>
    <row r="47" spans="1:10" x14ac:dyDescent="0.2">
      <c r="A47" s="375"/>
      <c r="B47" s="384" t="s">
        <v>77</v>
      </c>
      <c r="C47" s="384"/>
      <c r="D47" s="384"/>
      <c r="E47" s="384"/>
      <c r="F47" s="384"/>
      <c r="G47" s="399">
        <f>-GWNetPos!B33</f>
        <v>-325762</v>
      </c>
    </row>
    <row r="48" spans="1:10" x14ac:dyDescent="0.2">
      <c r="A48" s="375"/>
      <c r="B48" s="384" t="str">
        <f>GWNetPos!A34</f>
        <v>Net other post employment benefits liability</v>
      </c>
      <c r="C48" s="384"/>
      <c r="D48" s="384"/>
      <c r="E48" s="384"/>
      <c r="F48" s="384"/>
      <c r="G48" s="399">
        <f>-GWNetPos!B34</f>
        <v>-874710</v>
      </c>
    </row>
    <row r="49" spans="1:9" s="71" customFormat="1" ht="13.9" customHeight="1" x14ac:dyDescent="0.2">
      <c r="A49" s="398"/>
      <c r="B49" s="384" t="s">
        <v>164</v>
      </c>
      <c r="C49" s="383"/>
      <c r="D49" s="383"/>
      <c r="E49" s="383"/>
      <c r="F49" s="383"/>
      <c r="G49" s="399">
        <f>GWNetPos!B39</f>
        <v>18432</v>
      </c>
    </row>
    <row r="50" spans="1:9" s="71" customFormat="1" ht="13.9" customHeight="1" x14ac:dyDescent="0.2">
      <c r="A50" s="398"/>
      <c r="B50" s="384" t="s">
        <v>494</v>
      </c>
      <c r="C50" s="383"/>
      <c r="D50" s="383"/>
      <c r="E50" s="383"/>
      <c r="F50" s="383"/>
      <c r="G50" s="399">
        <f>-16100</f>
        <v>-16100</v>
      </c>
    </row>
    <row r="51" spans="1:9" s="71" customFormat="1" ht="13.9" customHeight="1" x14ac:dyDescent="0.2">
      <c r="A51" s="398"/>
      <c r="B51" s="384" t="s">
        <v>165</v>
      </c>
      <c r="C51" s="383"/>
      <c r="D51" s="383"/>
      <c r="E51" s="383"/>
      <c r="F51" s="383"/>
      <c r="G51" s="400">
        <f>-GWNetPos!B40</f>
        <v>-442514</v>
      </c>
    </row>
    <row r="52" spans="1:9" s="71" customFormat="1" ht="15" x14ac:dyDescent="0.2">
      <c r="A52" s="398"/>
      <c r="B52" s="377" t="s">
        <v>166</v>
      </c>
      <c r="C52" s="377"/>
      <c r="D52" s="375"/>
      <c r="E52" s="375"/>
      <c r="F52" s="375"/>
      <c r="G52" s="380">
        <f>SUM(G36:G51)</f>
        <v>14041338</v>
      </c>
      <c r="H52" s="72"/>
      <c r="I52" s="72"/>
    </row>
    <row r="53" spans="1:9" x14ac:dyDescent="0.2">
      <c r="A53" s="375"/>
      <c r="B53" s="375"/>
      <c r="C53" s="375"/>
      <c r="D53" s="375"/>
      <c r="E53" s="375"/>
      <c r="F53" s="375"/>
      <c r="G53" s="375"/>
    </row>
    <row r="54" spans="1:9" x14ac:dyDescent="0.2">
      <c r="A54" s="16" t="s">
        <v>84</v>
      </c>
      <c r="G54" s="57"/>
    </row>
    <row r="55" spans="1:9" x14ac:dyDescent="0.2">
      <c r="G55" s="57"/>
    </row>
    <row r="56" spans="1:9" x14ac:dyDescent="0.2">
      <c r="G56" s="57"/>
    </row>
    <row r="58" spans="1:9" x14ac:dyDescent="0.2">
      <c r="G58" s="57"/>
    </row>
    <row r="63" spans="1:9" ht="20.25" x14ac:dyDescent="0.55000000000000004">
      <c r="A63" s="280" t="s">
        <v>513</v>
      </c>
      <c r="B63" s="221"/>
      <c r="C63" s="221"/>
      <c r="D63" s="221"/>
      <c r="E63" s="221"/>
      <c r="F63" s="221"/>
    </row>
    <row r="64" spans="1:9" ht="47.25" x14ac:dyDescent="0.2">
      <c r="A64" s="230" t="s">
        <v>526</v>
      </c>
      <c r="B64" s="225" t="str">
        <f t="shared" ref="B64:G64" si="2">IF(ROUND(+B15-B21-B23-B36,0)=0,"Yes",+B15-B21-B23-B36)</f>
        <v>Yes</v>
      </c>
      <c r="C64" s="225" t="str">
        <f t="shared" si="2"/>
        <v>Yes</v>
      </c>
      <c r="D64" s="225" t="str">
        <f t="shared" si="2"/>
        <v>Yes</v>
      </c>
      <c r="E64" s="225" t="str">
        <f t="shared" si="2"/>
        <v>Yes</v>
      </c>
      <c r="F64" s="225" t="str">
        <f t="shared" si="2"/>
        <v>Yes</v>
      </c>
      <c r="G64" s="225" t="str">
        <f t="shared" si="2"/>
        <v>Yes</v>
      </c>
    </row>
    <row r="65" spans="1:7" ht="15.75" x14ac:dyDescent="0.2">
      <c r="A65" s="230"/>
      <c r="B65" s="225"/>
      <c r="C65" s="225"/>
      <c r="D65" s="225"/>
      <c r="E65" s="225"/>
      <c r="F65" s="225"/>
      <c r="G65" s="225"/>
    </row>
    <row r="66" spans="1:7" ht="15.75" customHeight="1" x14ac:dyDescent="0.25">
      <c r="B66" s="230"/>
      <c r="C66" s="480" t="s">
        <v>527</v>
      </c>
      <c r="D66" s="480"/>
      <c r="E66" s="480"/>
      <c r="F66" s="480"/>
      <c r="G66" s="273" t="str">
        <f>IF(G52-GWNetPos!B52=0,"Yes",G52-GWNetPos!B52)</f>
        <v>Yes</v>
      </c>
    </row>
    <row r="67" spans="1:7" ht="15.75" customHeight="1" x14ac:dyDescent="0.2">
      <c r="B67" s="230"/>
      <c r="C67" s="234"/>
      <c r="D67" s="234"/>
      <c r="E67" s="234"/>
      <c r="F67" s="234"/>
      <c r="G67" s="61"/>
    </row>
    <row r="68" spans="1:7" ht="18" x14ac:dyDescent="0.25">
      <c r="A68" s="221"/>
      <c r="B68" s="224"/>
      <c r="C68" s="224"/>
      <c r="F68" s="219" t="s">
        <v>528</v>
      </c>
      <c r="G68" s="232">
        <f>SUM(G40:G51)</f>
        <v>13541075</v>
      </c>
    </row>
    <row r="69" spans="1:7" ht="15.75" x14ac:dyDescent="0.25">
      <c r="A69" s="221"/>
      <c r="B69" s="221"/>
      <c r="C69" s="221"/>
      <c r="D69" s="221"/>
      <c r="E69" s="221"/>
      <c r="F69" s="221"/>
    </row>
    <row r="70" spans="1:7" ht="15.75" customHeight="1" x14ac:dyDescent="0.25">
      <c r="A70" s="221"/>
      <c r="B70" s="221"/>
      <c r="C70" s="479" t="str">
        <f>CONCATENATE("Note:  % chg &gt; ",G70*100," is presented as not meaningful (nm).")</f>
        <v>Note:  % chg &gt; 300 is presented as not meaningful (nm).</v>
      </c>
      <c r="D70" s="479"/>
      <c r="E70" s="479"/>
      <c r="F70" s="479"/>
      <c r="G70" s="233">
        <v>3</v>
      </c>
    </row>
    <row r="71" spans="1:7" ht="15.75" x14ac:dyDescent="0.25">
      <c r="A71" s="221"/>
      <c r="B71" s="221"/>
      <c r="D71" s="284"/>
      <c r="E71" s="284"/>
      <c r="F71" s="284"/>
    </row>
    <row r="72" spans="1:7" ht="15.75" x14ac:dyDescent="0.25">
      <c r="A72" s="221"/>
      <c r="B72" s="221"/>
      <c r="E72" s="285"/>
      <c r="F72" s="285"/>
    </row>
  </sheetData>
  <mergeCells count="11">
    <mergeCell ref="C70:F70"/>
    <mergeCell ref="C66:F66"/>
    <mergeCell ref="B44:F44"/>
    <mergeCell ref="B46:F46"/>
    <mergeCell ref="A2:G2"/>
    <mergeCell ref="A3:G3"/>
    <mergeCell ref="A4:G4"/>
    <mergeCell ref="A5:G5"/>
    <mergeCell ref="B39:F39"/>
    <mergeCell ref="B41:F41"/>
    <mergeCell ref="G7:G8"/>
  </mergeCells>
  <conditionalFormatting sqref="B64:G64 G66">
    <cfRule type="cellIs" dxfId="18" priority="1" operator="notEqual">
      <formula>"Yes"</formula>
    </cfRule>
  </conditionalFormatting>
  <printOptions horizontalCentered="1"/>
  <pageMargins left="0.5" right="0.5" top="0.5" bottom="0.5" header="0.5" footer="0.5"/>
  <pageSetup scale="7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pageSetUpPr fitToPage="1"/>
  </sheetPr>
  <dimension ref="A1:K72"/>
  <sheetViews>
    <sheetView showGridLines="0" zoomScaleNormal="100" workbookViewId="0">
      <selection activeCell="C1" sqref="C1"/>
    </sheetView>
  </sheetViews>
  <sheetFormatPr defaultRowHeight="12.75" x14ac:dyDescent="0.2"/>
  <cols>
    <col min="1" max="1" width="3.140625" style="16" customWidth="1"/>
    <col min="2" max="2" width="3.42578125" style="16" customWidth="1"/>
    <col min="3" max="3" width="47.85546875" style="16" customWidth="1"/>
    <col min="4" max="4" width="12.42578125" style="16" bestFit="1" customWidth="1"/>
    <col min="5" max="5" width="15" style="16" customWidth="1"/>
    <col min="6" max="6" width="12.42578125" style="16" customWidth="1"/>
    <col min="7" max="7" width="14" style="16" bestFit="1" customWidth="1"/>
    <col min="8" max="8" width="15" style="16" customWidth="1"/>
    <col min="9" max="9" width="14" style="16" bestFit="1" customWidth="1"/>
    <col min="10" max="10" width="11.28515625" style="16" bestFit="1" customWidth="1"/>
    <col min="11" max="11" width="13.140625" style="16" bestFit="1" customWidth="1"/>
    <col min="12" max="16384" width="9.140625" style="16"/>
  </cols>
  <sheetData>
    <row r="1" spans="1:11" x14ac:dyDescent="0.2">
      <c r="I1" s="49" t="s">
        <v>167</v>
      </c>
    </row>
    <row r="2" spans="1:11" x14ac:dyDescent="0.2">
      <c r="A2" s="472" t="s">
        <v>0</v>
      </c>
      <c r="B2" s="472"/>
      <c r="C2" s="472"/>
      <c r="D2" s="472"/>
      <c r="E2" s="472"/>
      <c r="F2" s="472"/>
      <c r="G2" s="472"/>
      <c r="H2" s="472"/>
      <c r="I2" s="472"/>
    </row>
    <row r="3" spans="1:11" x14ac:dyDescent="0.2">
      <c r="A3" s="472" t="s">
        <v>168</v>
      </c>
      <c r="B3" s="472"/>
      <c r="C3" s="472"/>
      <c r="D3" s="472"/>
      <c r="E3" s="472"/>
      <c r="F3" s="472"/>
      <c r="G3" s="472"/>
      <c r="H3" s="472"/>
      <c r="I3" s="472"/>
    </row>
    <row r="4" spans="1:11" x14ac:dyDescent="0.2">
      <c r="A4" s="472" t="s">
        <v>139</v>
      </c>
      <c r="B4" s="472"/>
      <c r="C4" s="472"/>
      <c r="D4" s="472"/>
      <c r="E4" s="472"/>
      <c r="F4" s="472"/>
      <c r="G4" s="472"/>
      <c r="H4" s="472"/>
      <c r="I4" s="472"/>
    </row>
    <row r="5" spans="1:11" x14ac:dyDescent="0.2">
      <c r="A5" s="472" t="str">
        <f>GWStmtAct!A4</f>
        <v>For the Year Ended June 30, 2021</v>
      </c>
      <c r="B5" s="472"/>
      <c r="C5" s="472"/>
      <c r="D5" s="472"/>
      <c r="E5" s="472"/>
      <c r="F5" s="472"/>
      <c r="G5" s="472"/>
      <c r="H5" s="472"/>
      <c r="I5" s="472"/>
    </row>
    <row r="6" spans="1:11" x14ac:dyDescent="0.2">
      <c r="A6" s="34"/>
      <c r="B6" s="34"/>
      <c r="C6" s="34"/>
      <c r="D6" s="34"/>
      <c r="E6" s="34"/>
      <c r="F6" s="34"/>
      <c r="G6" s="34"/>
      <c r="H6" s="34"/>
      <c r="I6" s="34"/>
    </row>
    <row r="7" spans="1:11" ht="15" x14ac:dyDescent="0.35">
      <c r="A7" s="69"/>
      <c r="B7" s="69"/>
      <c r="C7" s="69"/>
      <c r="D7" s="205" t="s">
        <v>140</v>
      </c>
      <c r="E7" s="205"/>
      <c r="F7" s="205"/>
      <c r="G7" s="205"/>
      <c r="H7" s="202" t="s">
        <v>14</v>
      </c>
      <c r="I7" s="477" t="s">
        <v>146</v>
      </c>
    </row>
    <row r="8" spans="1:11" ht="30" x14ac:dyDescent="0.35">
      <c r="D8" s="196" t="s">
        <v>141</v>
      </c>
      <c r="E8" s="196" t="s">
        <v>142</v>
      </c>
      <c r="F8" s="196" t="s">
        <v>143</v>
      </c>
      <c r="G8" s="196" t="s">
        <v>144</v>
      </c>
      <c r="H8" s="196" t="s">
        <v>145</v>
      </c>
      <c r="I8" s="477"/>
    </row>
    <row r="9" spans="1:11" x14ac:dyDescent="0.2">
      <c r="A9" s="20" t="s">
        <v>555</v>
      </c>
      <c r="B9" s="20"/>
      <c r="C9" s="20"/>
      <c r="D9" s="375"/>
      <c r="E9" s="375"/>
      <c r="F9" s="375"/>
      <c r="G9" s="375"/>
      <c r="H9" s="375"/>
      <c r="I9" s="375"/>
    </row>
    <row r="10" spans="1:11" x14ac:dyDescent="0.2">
      <c r="A10" s="375" t="s">
        <v>169</v>
      </c>
      <c r="B10" s="375"/>
      <c r="C10" s="375"/>
      <c r="D10" s="381">
        <f>702640</f>
        <v>702640</v>
      </c>
      <c r="E10" s="381">
        <f>3964714+115000000</f>
        <v>118964714</v>
      </c>
      <c r="F10" s="381">
        <v>0</v>
      </c>
      <c r="G10" s="381">
        <f>375000+36000</f>
        <v>411000</v>
      </c>
      <c r="H10" s="381">
        <v>0</v>
      </c>
      <c r="I10" s="381">
        <f t="shared" ref="I10:I16" si="0">SUM(D10:H10)</f>
        <v>120078354</v>
      </c>
    </row>
    <row r="11" spans="1:11" x14ac:dyDescent="0.2">
      <c r="A11" s="375" t="s">
        <v>170</v>
      </c>
      <c r="B11" s="375"/>
      <c r="C11" s="375"/>
      <c r="D11" s="373"/>
      <c r="E11" s="373"/>
      <c r="F11" s="373"/>
      <c r="G11" s="373"/>
      <c r="H11" s="373"/>
      <c r="I11" s="373"/>
      <c r="J11" s="51"/>
    </row>
    <row r="12" spans="1:11" x14ac:dyDescent="0.2">
      <c r="A12" s="375"/>
      <c r="B12" s="373" t="s">
        <v>648</v>
      </c>
      <c r="C12" s="373"/>
      <c r="D12" s="378">
        <f>1980000+30119059+20000+(200000)</f>
        <v>32319059</v>
      </c>
      <c r="E12" s="373">
        <v>0</v>
      </c>
      <c r="F12" s="373">
        <v>0</v>
      </c>
      <c r="G12" s="373">
        <v>0</v>
      </c>
      <c r="H12" s="373">
        <v>0</v>
      </c>
      <c r="I12" s="373">
        <f t="shared" si="0"/>
        <v>32319059</v>
      </c>
      <c r="J12" s="51"/>
    </row>
    <row r="13" spans="1:11" x14ac:dyDescent="0.2">
      <c r="A13" s="375"/>
      <c r="B13" s="373" t="s">
        <v>172</v>
      </c>
      <c r="C13" s="373"/>
      <c r="D13" s="373">
        <v>1032</v>
      </c>
      <c r="E13" s="373">
        <v>0</v>
      </c>
      <c r="F13" s="373">
        <v>0</v>
      </c>
      <c r="G13" s="373">
        <v>8499557</v>
      </c>
      <c r="H13" s="373">
        <v>0</v>
      </c>
      <c r="I13" s="373">
        <f t="shared" si="0"/>
        <v>8500589</v>
      </c>
      <c r="J13" s="73"/>
    </row>
    <row r="14" spans="1:11" x14ac:dyDescent="0.2">
      <c r="A14" s="375" t="s">
        <v>173</v>
      </c>
      <c r="B14" s="375"/>
      <c r="C14" s="375"/>
      <c r="D14" s="373">
        <v>0</v>
      </c>
      <c r="E14" s="373">
        <v>0</v>
      </c>
      <c r="F14" s="373">
        <v>0</v>
      </c>
      <c r="G14" s="373">
        <v>0</v>
      </c>
      <c r="H14" s="373">
        <v>197774</v>
      </c>
      <c r="I14" s="373">
        <f t="shared" si="0"/>
        <v>197774</v>
      </c>
      <c r="K14" s="51"/>
    </row>
    <row r="15" spans="1:11" x14ac:dyDescent="0.2">
      <c r="A15" s="375" t="s">
        <v>174</v>
      </c>
      <c r="B15" s="375"/>
      <c r="C15" s="375"/>
      <c r="D15" s="373">
        <v>0</v>
      </c>
      <c r="E15" s="373">
        <v>0</v>
      </c>
      <c r="F15" s="373">
        <v>452000</v>
      </c>
      <c r="G15" s="373">
        <v>0</v>
      </c>
      <c r="H15" s="373">
        <v>0</v>
      </c>
      <c r="I15" s="373">
        <f t="shared" si="0"/>
        <v>452000</v>
      </c>
    </row>
    <row r="16" spans="1:11" ht="15" x14ac:dyDescent="0.2">
      <c r="A16" s="375" t="s">
        <v>172</v>
      </c>
      <c r="B16" s="375"/>
      <c r="C16" s="375"/>
      <c r="D16" s="374">
        <f>42838-1032+40000</f>
        <v>81806</v>
      </c>
      <c r="E16" s="374">
        <v>0</v>
      </c>
      <c r="F16" s="374">
        <v>274000</v>
      </c>
      <c r="G16" s="374">
        <v>0</v>
      </c>
      <c r="H16" s="374">
        <v>0</v>
      </c>
      <c r="I16" s="374">
        <f t="shared" si="0"/>
        <v>355806</v>
      </c>
      <c r="K16" s="51"/>
    </row>
    <row r="17" spans="1:11" ht="15" x14ac:dyDescent="0.2">
      <c r="A17" s="377" t="s">
        <v>175</v>
      </c>
      <c r="B17" s="377"/>
      <c r="C17" s="377"/>
      <c r="D17" s="374">
        <f>SUM(D10:D16)</f>
        <v>33104537</v>
      </c>
      <c r="E17" s="374">
        <f>SUM(E10:E16)</f>
        <v>118964714</v>
      </c>
      <c r="F17" s="374">
        <v>726000</v>
      </c>
      <c r="G17" s="374">
        <f>SUM(G10:G16)</f>
        <v>8910557</v>
      </c>
      <c r="H17" s="374">
        <v>197774</v>
      </c>
      <c r="I17" s="374">
        <f>SUM(I10:I16)</f>
        <v>161903582</v>
      </c>
      <c r="K17" s="56"/>
    </row>
    <row r="18" spans="1:11" ht="6" customHeight="1" x14ac:dyDescent="0.2">
      <c r="A18" s="375"/>
      <c r="B18" s="375"/>
      <c r="C18" s="375"/>
      <c r="D18" s="373"/>
      <c r="E18" s="373"/>
      <c r="F18" s="373"/>
      <c r="G18" s="373"/>
      <c r="H18" s="373"/>
      <c r="I18" s="373"/>
    </row>
    <row r="19" spans="1:11" x14ac:dyDescent="0.2">
      <c r="A19" s="372" t="s">
        <v>556</v>
      </c>
      <c r="B19" s="372"/>
      <c r="C19" s="372"/>
      <c r="D19" s="373"/>
      <c r="E19" s="373"/>
      <c r="F19" s="373"/>
      <c r="G19" s="373"/>
      <c r="H19" s="373"/>
      <c r="I19" s="373"/>
    </row>
    <row r="20" spans="1:11" x14ac:dyDescent="0.2">
      <c r="A20" s="375" t="s">
        <v>176</v>
      </c>
      <c r="B20" s="372"/>
      <c r="C20" s="372"/>
      <c r="D20" s="373"/>
      <c r="E20" s="373"/>
      <c r="F20" s="373"/>
      <c r="G20" s="373"/>
      <c r="H20" s="373"/>
      <c r="I20" s="373"/>
    </row>
    <row r="21" spans="1:11" x14ac:dyDescent="0.2">
      <c r="A21" s="375"/>
      <c r="B21" s="489" t="s">
        <v>177</v>
      </c>
      <c r="C21" s="489"/>
      <c r="D21" s="373"/>
      <c r="E21" s="373"/>
      <c r="F21" s="373"/>
      <c r="G21" s="373"/>
      <c r="H21" s="373"/>
      <c r="I21" s="373"/>
    </row>
    <row r="22" spans="1:11" x14ac:dyDescent="0.2">
      <c r="A22" s="375"/>
      <c r="B22" s="375"/>
      <c r="C22" s="76" t="s">
        <v>97</v>
      </c>
      <c r="D22" s="373">
        <f>ROUND(938342+5000000+(48500)*0.8+(27219*0.8)+(0.8*630)+(0.8*50000)+(0.8*30000)+(560),0)</f>
        <v>6063981</v>
      </c>
      <c r="E22" s="373">
        <f>2682457+75000000</f>
        <v>77682457</v>
      </c>
      <c r="F22" s="373">
        <v>0</v>
      </c>
      <c r="G22" s="373">
        <v>0</v>
      </c>
      <c r="H22" s="373">
        <v>83577</v>
      </c>
      <c r="I22" s="373">
        <f>SUM(D22:H22)</f>
        <v>83830015</v>
      </c>
    </row>
    <row r="23" spans="1:11" x14ac:dyDescent="0.2">
      <c r="A23" s="375"/>
      <c r="B23" s="375"/>
      <c r="C23" s="76" t="s">
        <v>98</v>
      </c>
      <c r="D23" s="373">
        <f>146497+2000000</f>
        <v>2146497</v>
      </c>
      <c r="E23" s="373">
        <f>475641+35000000</f>
        <v>35475641</v>
      </c>
      <c r="F23" s="373">
        <v>0</v>
      </c>
      <c r="G23" s="373">
        <v>0</v>
      </c>
      <c r="H23" s="373">
        <v>50797</v>
      </c>
      <c r="I23" s="373">
        <f>SUM(D23:H23)</f>
        <v>37672935</v>
      </c>
    </row>
    <row r="24" spans="1:11" x14ac:dyDescent="0.2">
      <c r="A24" s="375"/>
      <c r="B24" s="375"/>
      <c r="C24" s="76" t="s">
        <v>99</v>
      </c>
      <c r="D24" s="373">
        <f>107903+2000000</f>
        <v>2107903</v>
      </c>
      <c r="E24" s="373">
        <v>0</v>
      </c>
      <c r="F24" s="373">
        <v>0</v>
      </c>
      <c r="G24" s="373">
        <v>0</v>
      </c>
      <c r="H24" s="373">
        <v>0</v>
      </c>
      <c r="I24" s="373">
        <f t="shared" ref="I24:I39" si="1">SUM(D24:H24)</f>
        <v>2107903</v>
      </c>
    </row>
    <row r="25" spans="1:11" x14ac:dyDescent="0.2">
      <c r="A25" s="375"/>
      <c r="B25" s="375"/>
      <c r="C25" s="76" t="s">
        <v>100</v>
      </c>
      <c r="D25" s="373">
        <f>22316+1000000</f>
        <v>1022316</v>
      </c>
      <c r="E25" s="373">
        <v>0</v>
      </c>
      <c r="F25" s="373">
        <v>0</v>
      </c>
      <c r="G25" s="373">
        <v>0</v>
      </c>
      <c r="H25" s="373">
        <v>0</v>
      </c>
      <c r="I25" s="373">
        <f t="shared" si="1"/>
        <v>1022316</v>
      </c>
    </row>
    <row r="26" spans="1:11" x14ac:dyDescent="0.2">
      <c r="A26" s="375"/>
      <c r="B26" s="375"/>
      <c r="C26" s="76" t="s">
        <v>101</v>
      </c>
      <c r="D26" s="373">
        <f>37981+1000000</f>
        <v>1037981</v>
      </c>
      <c r="E26" s="373">
        <v>0</v>
      </c>
      <c r="F26" s="373">
        <v>644028</v>
      </c>
      <c r="G26" s="373">
        <v>0</v>
      </c>
      <c r="H26" s="373">
        <v>0</v>
      </c>
      <c r="I26" s="373">
        <f t="shared" si="1"/>
        <v>1682009</v>
      </c>
    </row>
    <row r="27" spans="1:11" x14ac:dyDescent="0.2">
      <c r="A27" s="375"/>
      <c r="B27" s="375"/>
      <c r="C27" s="76" t="s">
        <v>102</v>
      </c>
      <c r="D27" s="373">
        <f>94952+1000000</f>
        <v>1094952</v>
      </c>
      <c r="E27" s="373">
        <v>0</v>
      </c>
      <c r="F27" s="373">
        <v>0</v>
      </c>
      <c r="G27" s="373">
        <v>0</v>
      </c>
      <c r="H27" s="373">
        <v>0</v>
      </c>
      <c r="I27" s="373">
        <f t="shared" si="1"/>
        <v>1094952</v>
      </c>
    </row>
    <row r="28" spans="1:11" x14ac:dyDescent="0.2">
      <c r="A28" s="375"/>
      <c r="B28" s="489" t="s">
        <v>178</v>
      </c>
      <c r="C28" s="489"/>
      <c r="D28" s="373"/>
      <c r="E28" s="373"/>
      <c r="F28" s="373"/>
      <c r="G28" s="373"/>
      <c r="H28" s="373"/>
      <c r="I28" s="373"/>
    </row>
    <row r="29" spans="1:11" x14ac:dyDescent="0.2">
      <c r="A29" s="375"/>
      <c r="B29" s="375"/>
      <c r="C29" s="76" t="s">
        <v>104</v>
      </c>
      <c r="D29" s="373">
        <f>14990+1000000</f>
        <v>1014990</v>
      </c>
      <c r="E29" s="373">
        <v>83951</v>
      </c>
      <c r="F29" s="373">
        <v>0</v>
      </c>
      <c r="G29" s="373">
        <v>0</v>
      </c>
      <c r="H29" s="373">
        <v>0</v>
      </c>
      <c r="I29" s="373">
        <f t="shared" si="1"/>
        <v>1098941</v>
      </c>
    </row>
    <row r="30" spans="1:11" ht="15.75" customHeight="1" x14ac:dyDescent="0.2">
      <c r="A30" s="375"/>
      <c r="B30" s="375"/>
      <c r="C30" s="76" t="s">
        <v>179</v>
      </c>
      <c r="D30" s="373">
        <f>59684+1000000</f>
        <v>1059684</v>
      </c>
      <c r="E30" s="373">
        <v>23704</v>
      </c>
      <c r="F30" s="373">
        <v>0</v>
      </c>
      <c r="G30" s="373">
        <v>0</v>
      </c>
      <c r="H30" s="373">
        <v>25000</v>
      </c>
      <c r="I30" s="373">
        <f t="shared" si="1"/>
        <v>1108388</v>
      </c>
    </row>
    <row r="31" spans="1:11" ht="15.75" customHeight="1" x14ac:dyDescent="0.2">
      <c r="A31" s="375"/>
      <c r="B31" s="375"/>
      <c r="C31" s="76" t="s">
        <v>106</v>
      </c>
      <c r="D31" s="373">
        <f>36850+1000000</f>
        <v>1036850</v>
      </c>
      <c r="E31" s="373">
        <v>19754</v>
      </c>
      <c r="F31" s="373">
        <v>0</v>
      </c>
      <c r="G31" s="373">
        <v>0</v>
      </c>
      <c r="H31" s="373">
        <v>0</v>
      </c>
      <c r="I31" s="373">
        <f t="shared" si="1"/>
        <v>1056604</v>
      </c>
    </row>
    <row r="32" spans="1:11" ht="15" customHeight="1" x14ac:dyDescent="0.2">
      <c r="A32" s="375"/>
      <c r="B32" s="375"/>
      <c r="C32" s="76" t="s">
        <v>107</v>
      </c>
      <c r="D32" s="373">
        <v>165487</v>
      </c>
      <c r="E32" s="373">
        <f>248895</f>
        <v>248895</v>
      </c>
      <c r="F32" s="373">
        <v>0</v>
      </c>
      <c r="G32" s="373">
        <v>0</v>
      </c>
      <c r="H32" s="373">
        <v>0</v>
      </c>
      <c r="I32" s="373">
        <f t="shared" si="1"/>
        <v>414382</v>
      </c>
    </row>
    <row r="33" spans="1:11" x14ac:dyDescent="0.2">
      <c r="A33" s="375"/>
      <c r="B33" s="375"/>
      <c r="C33" s="76" t="s">
        <v>108</v>
      </c>
      <c r="D33" s="373">
        <f>293056+4000000</f>
        <v>4293056</v>
      </c>
      <c r="E33" s="373">
        <f>280501+5000000</f>
        <v>5280501</v>
      </c>
      <c r="F33" s="373">
        <v>0</v>
      </c>
      <c r="G33" s="373">
        <v>0</v>
      </c>
      <c r="H33" s="373">
        <v>15000</v>
      </c>
      <c r="I33" s="373">
        <f t="shared" si="1"/>
        <v>9588557</v>
      </c>
    </row>
    <row r="34" spans="1:11" x14ac:dyDescent="0.2">
      <c r="A34" s="375"/>
      <c r="B34" s="375"/>
      <c r="C34" s="76" t="s">
        <v>109</v>
      </c>
      <c r="D34" s="373">
        <f>281548+4000000</f>
        <v>4281548</v>
      </c>
      <c r="E34" s="373">
        <f>7901</f>
        <v>7901</v>
      </c>
      <c r="F34" s="373">
        <v>0</v>
      </c>
      <c r="G34" s="373">
        <v>0</v>
      </c>
      <c r="H34" s="373">
        <v>0</v>
      </c>
      <c r="I34" s="373">
        <f t="shared" si="1"/>
        <v>4289449</v>
      </c>
    </row>
    <row r="35" spans="1:11" x14ac:dyDescent="0.2">
      <c r="A35" s="375"/>
      <c r="B35" s="375"/>
      <c r="C35" s="76" t="s">
        <v>110</v>
      </c>
      <c r="D35" s="373">
        <f>37981+119059</f>
        <v>157040</v>
      </c>
      <c r="E35" s="373">
        <f>127910</f>
        <v>127910</v>
      </c>
      <c r="F35" s="373">
        <v>0</v>
      </c>
      <c r="G35" s="373">
        <v>0</v>
      </c>
      <c r="H35" s="373">
        <v>0</v>
      </c>
      <c r="I35" s="373">
        <f t="shared" si="1"/>
        <v>284950</v>
      </c>
    </row>
    <row r="36" spans="1:11" x14ac:dyDescent="0.2">
      <c r="A36" s="375"/>
      <c r="B36" s="375"/>
      <c r="C36" s="76" t="s">
        <v>111</v>
      </c>
      <c r="D36" s="373">
        <f>161196+3000000</f>
        <v>3161196</v>
      </c>
      <c r="E36" s="373">
        <v>0</v>
      </c>
      <c r="F36" s="373">
        <v>0</v>
      </c>
      <c r="G36" s="373">
        <v>0</v>
      </c>
      <c r="H36" s="373">
        <v>0</v>
      </c>
      <c r="I36" s="373">
        <f t="shared" si="1"/>
        <v>3161196</v>
      </c>
    </row>
    <row r="37" spans="1:11" x14ac:dyDescent="0.2">
      <c r="A37" s="375"/>
      <c r="B37" s="375"/>
      <c r="C37" s="76" t="s">
        <v>112</v>
      </c>
      <c r="D37" s="373">
        <f>219767+35000+3000000</f>
        <v>3254767</v>
      </c>
      <c r="E37" s="373">
        <v>0</v>
      </c>
      <c r="F37" s="373">
        <v>0</v>
      </c>
      <c r="G37" s="373">
        <v>0</v>
      </c>
      <c r="H37" s="373">
        <v>0</v>
      </c>
      <c r="I37" s="373">
        <f t="shared" si="1"/>
        <v>3254767</v>
      </c>
    </row>
    <row r="38" spans="1:11" x14ac:dyDescent="0.2">
      <c r="A38" s="375"/>
      <c r="B38" s="489" t="s">
        <v>113</v>
      </c>
      <c r="C38" s="489"/>
      <c r="D38" s="373">
        <f>18990+30000+1000000</f>
        <v>1048990</v>
      </c>
      <c r="E38" s="373">
        <v>0</v>
      </c>
      <c r="F38" s="373">
        <v>0</v>
      </c>
      <c r="G38" s="373">
        <v>0</v>
      </c>
      <c r="H38" s="373">
        <v>0</v>
      </c>
      <c r="I38" s="373">
        <f t="shared" si="1"/>
        <v>1048990</v>
      </c>
    </row>
    <row r="39" spans="1:11" x14ac:dyDescent="0.2">
      <c r="A39" s="375"/>
      <c r="B39" s="489" t="s">
        <v>114</v>
      </c>
      <c r="C39" s="489"/>
      <c r="D39" s="373">
        <f>75363-65000</f>
        <v>10363</v>
      </c>
      <c r="E39" s="373">
        <v>0</v>
      </c>
      <c r="F39" s="373">
        <v>0</v>
      </c>
      <c r="G39" s="373">
        <v>0</v>
      </c>
      <c r="H39" s="373">
        <v>23400</v>
      </c>
      <c r="I39" s="373">
        <f t="shared" si="1"/>
        <v>33763</v>
      </c>
    </row>
    <row r="40" spans="1:11" x14ac:dyDescent="0.2">
      <c r="A40" s="372" t="s">
        <v>180</v>
      </c>
      <c r="B40" s="372"/>
      <c r="C40" s="372"/>
      <c r="D40" s="373"/>
      <c r="E40" s="373"/>
      <c r="F40" s="373"/>
      <c r="G40" s="373"/>
      <c r="H40" s="373"/>
      <c r="I40" s="373"/>
    </row>
    <row r="41" spans="1:11" x14ac:dyDescent="0.2">
      <c r="A41" s="375"/>
      <c r="B41" s="375" t="s">
        <v>181</v>
      </c>
      <c r="C41" s="375"/>
      <c r="D41" s="373">
        <v>0</v>
      </c>
      <c r="E41" s="373">
        <v>0</v>
      </c>
      <c r="F41" s="373">
        <v>0</v>
      </c>
      <c r="G41" s="373">
        <f>11975+36000</f>
        <v>47975</v>
      </c>
      <c r="H41" s="373">
        <v>0</v>
      </c>
      <c r="I41" s="373">
        <f>SUM(D41:H41)</f>
        <v>47975</v>
      </c>
    </row>
    <row r="42" spans="1:11" x14ac:dyDescent="0.2">
      <c r="A42" s="375"/>
      <c r="B42" s="375" t="s">
        <v>182</v>
      </c>
      <c r="C42" s="375"/>
      <c r="D42" s="373">
        <v>0</v>
      </c>
      <c r="E42" s="373">
        <v>0</v>
      </c>
      <c r="F42" s="373">
        <v>0</v>
      </c>
      <c r="G42" s="373">
        <v>1100</v>
      </c>
      <c r="H42" s="373">
        <v>0</v>
      </c>
      <c r="I42" s="373">
        <f>SUM(D42:H42)</f>
        <v>1100</v>
      </c>
    </row>
    <row r="43" spans="1:11" x14ac:dyDescent="0.2">
      <c r="A43" s="372" t="s">
        <v>562</v>
      </c>
      <c r="B43" s="372"/>
      <c r="C43" s="372"/>
      <c r="D43" s="378"/>
      <c r="E43" s="378"/>
      <c r="F43" s="373"/>
      <c r="G43" s="378"/>
      <c r="H43" s="373"/>
      <c r="I43" s="373"/>
    </row>
    <row r="44" spans="1:11" x14ac:dyDescent="0.2">
      <c r="A44" s="375"/>
      <c r="B44" s="375" t="s">
        <v>183</v>
      </c>
      <c r="C44" s="375"/>
      <c r="D44" s="378">
        <v>0</v>
      </c>
      <c r="E44" s="378">
        <v>0</v>
      </c>
      <c r="F44" s="373">
        <v>0</v>
      </c>
      <c r="G44" s="378">
        <f>1747471-7000+950000+6001882</f>
        <v>8692353</v>
      </c>
      <c r="H44" s="373">
        <v>0</v>
      </c>
      <c r="I44" s="373">
        <f>SUM(D44:H44)</f>
        <v>8692353</v>
      </c>
    </row>
    <row r="45" spans="1:11" x14ac:dyDescent="0.2">
      <c r="A45" s="375"/>
      <c r="B45" s="375" t="s">
        <v>184</v>
      </c>
      <c r="C45" s="375"/>
      <c r="D45" s="378">
        <v>0</v>
      </c>
      <c r="E45" s="378">
        <v>0</v>
      </c>
      <c r="F45" s="373">
        <v>0</v>
      </c>
      <c r="G45" s="378">
        <v>214000</v>
      </c>
      <c r="H45" s="373">
        <v>0</v>
      </c>
      <c r="I45" s="373">
        <f>SUM(D45:H45)</f>
        <v>214000</v>
      </c>
    </row>
    <row r="46" spans="1:11" ht="15" x14ac:dyDescent="0.2">
      <c r="A46" s="375"/>
      <c r="B46" s="375" t="s">
        <v>185</v>
      </c>
      <c r="C46" s="375"/>
      <c r="D46" s="374">
        <v>0</v>
      </c>
      <c r="E46" s="374">
        <v>0</v>
      </c>
      <c r="F46" s="374">
        <v>0</v>
      </c>
      <c r="G46" s="374">
        <f>101000+7000</f>
        <v>108000</v>
      </c>
      <c r="H46" s="374">
        <v>0</v>
      </c>
      <c r="I46" s="374">
        <f>SUM(D46:H46)</f>
        <v>108000</v>
      </c>
    </row>
    <row r="47" spans="1:11" ht="15" x14ac:dyDescent="0.2">
      <c r="A47" s="375"/>
      <c r="B47" s="375"/>
      <c r="C47" s="375" t="s">
        <v>186</v>
      </c>
      <c r="D47" s="374">
        <f t="shared" ref="D47:I47" si="2">SUM(D21:D46)</f>
        <v>32957601</v>
      </c>
      <c r="E47" s="374">
        <f t="shared" si="2"/>
        <v>118950714</v>
      </c>
      <c r="F47" s="374">
        <f t="shared" si="2"/>
        <v>644028</v>
      </c>
      <c r="G47" s="374">
        <f t="shared" si="2"/>
        <v>9063428</v>
      </c>
      <c r="H47" s="374">
        <f t="shared" si="2"/>
        <v>197774</v>
      </c>
      <c r="I47" s="374">
        <f t="shared" si="2"/>
        <v>161813545</v>
      </c>
      <c r="K47" s="56">
        <f>SUM(D47:H47)-I47</f>
        <v>0</v>
      </c>
    </row>
    <row r="48" spans="1:11" ht="18" customHeight="1" x14ac:dyDescent="0.2">
      <c r="A48" s="375"/>
      <c r="B48" s="375"/>
      <c r="C48" s="403" t="s">
        <v>187</v>
      </c>
      <c r="D48" s="404">
        <f t="shared" ref="D48:I48" si="3">D17-D47</f>
        <v>146936</v>
      </c>
      <c r="E48" s="404">
        <f t="shared" si="3"/>
        <v>14000</v>
      </c>
      <c r="F48" s="404">
        <f t="shared" si="3"/>
        <v>81972</v>
      </c>
      <c r="G48" s="404">
        <f t="shared" si="3"/>
        <v>-152871</v>
      </c>
      <c r="H48" s="404">
        <f t="shared" si="3"/>
        <v>0</v>
      </c>
      <c r="I48" s="404">
        <f t="shared" si="3"/>
        <v>90037</v>
      </c>
    </row>
    <row r="49" spans="1:11" ht="6" customHeight="1" x14ac:dyDescent="0.2">
      <c r="A49" s="375"/>
      <c r="B49" s="375"/>
      <c r="C49" s="375"/>
      <c r="D49" s="373"/>
      <c r="E49" s="373"/>
      <c r="F49" s="373"/>
      <c r="G49" s="373"/>
      <c r="H49" s="373"/>
      <c r="I49" s="373"/>
    </row>
    <row r="50" spans="1:11" x14ac:dyDescent="0.2">
      <c r="A50" s="372" t="s">
        <v>232</v>
      </c>
      <c r="B50" s="372"/>
      <c r="C50" s="372"/>
      <c r="D50" s="373"/>
      <c r="E50" s="373"/>
      <c r="F50" s="373"/>
      <c r="G50" s="373"/>
      <c r="H50" s="373"/>
      <c r="I50" s="373"/>
    </row>
    <row r="51" spans="1:11" x14ac:dyDescent="0.2">
      <c r="A51" s="489" t="s">
        <v>188</v>
      </c>
      <c r="B51" s="489"/>
      <c r="C51" s="489"/>
      <c r="D51" s="373">
        <v>0</v>
      </c>
      <c r="E51" s="373">
        <v>-14000</v>
      </c>
      <c r="F51" s="373">
        <v>0</v>
      </c>
      <c r="G51" s="373">
        <v>0</v>
      </c>
      <c r="H51" s="373">
        <v>0</v>
      </c>
      <c r="I51" s="373">
        <v>-14000</v>
      </c>
    </row>
    <row r="52" spans="1:11" x14ac:dyDescent="0.2">
      <c r="A52" s="489" t="s">
        <v>189</v>
      </c>
      <c r="B52" s="489"/>
      <c r="C52" s="489"/>
      <c r="D52" s="373">
        <v>0</v>
      </c>
      <c r="E52" s="373">
        <v>0</v>
      </c>
      <c r="F52" s="373">
        <v>0</v>
      </c>
      <c r="G52" s="373">
        <v>200000</v>
      </c>
      <c r="H52" s="373">
        <v>0</v>
      </c>
      <c r="I52" s="373">
        <v>19000</v>
      </c>
    </row>
    <row r="53" spans="1:11" ht="15" x14ac:dyDescent="0.2">
      <c r="A53" s="489" t="s">
        <v>190</v>
      </c>
      <c r="B53" s="489"/>
      <c r="C53" s="489"/>
      <c r="D53" s="374">
        <v>0</v>
      </c>
      <c r="E53" s="374">
        <v>0</v>
      </c>
      <c r="F53" s="374">
        <v>0</v>
      </c>
      <c r="G53" s="374">
        <v>19000</v>
      </c>
      <c r="H53" s="374">
        <v>0</v>
      </c>
      <c r="I53" s="374">
        <v>200000</v>
      </c>
    </row>
    <row r="54" spans="1:11" ht="15" x14ac:dyDescent="0.2">
      <c r="A54" s="375"/>
      <c r="B54" s="489" t="s">
        <v>191</v>
      </c>
      <c r="C54" s="489"/>
      <c r="D54" s="374">
        <f t="shared" ref="D54:I54" si="4">SUM(D51:D53)</f>
        <v>0</v>
      </c>
      <c r="E54" s="374">
        <f t="shared" si="4"/>
        <v>-14000</v>
      </c>
      <c r="F54" s="374">
        <f t="shared" si="4"/>
        <v>0</v>
      </c>
      <c r="G54" s="374">
        <f t="shared" si="4"/>
        <v>219000</v>
      </c>
      <c r="H54" s="374">
        <f t="shared" si="4"/>
        <v>0</v>
      </c>
      <c r="I54" s="374">
        <f t="shared" si="4"/>
        <v>205000</v>
      </c>
    </row>
    <row r="55" spans="1:11" ht="18" customHeight="1" x14ac:dyDescent="0.2">
      <c r="A55" s="375"/>
      <c r="B55" s="490" t="s">
        <v>192</v>
      </c>
      <c r="C55" s="490"/>
      <c r="D55" s="405">
        <f t="shared" ref="D55:I55" si="5">+D48+D54</f>
        <v>146936</v>
      </c>
      <c r="E55" s="405">
        <f t="shared" si="5"/>
        <v>0</v>
      </c>
      <c r="F55" s="405">
        <f t="shared" si="5"/>
        <v>81972</v>
      </c>
      <c r="G55" s="405">
        <f t="shared" si="5"/>
        <v>66129</v>
      </c>
      <c r="H55" s="405">
        <f t="shared" si="5"/>
        <v>0</v>
      </c>
      <c r="I55" s="405">
        <f t="shared" si="5"/>
        <v>295037</v>
      </c>
      <c r="J55" s="55"/>
    </row>
    <row r="56" spans="1:11" x14ac:dyDescent="0.2">
      <c r="A56" s="375" t="s">
        <v>193</v>
      </c>
      <c r="B56" s="375"/>
      <c r="C56" s="375"/>
      <c r="D56" s="378">
        <v>26055</v>
      </c>
      <c r="E56" s="378">
        <v>0</v>
      </c>
      <c r="F56" s="378">
        <v>18100</v>
      </c>
      <c r="G56" s="378">
        <v>159871</v>
      </c>
      <c r="H56" s="378">
        <v>0</v>
      </c>
      <c r="I56" s="378">
        <v>204026</v>
      </c>
      <c r="K56" s="57"/>
    </row>
    <row r="57" spans="1:11" ht="15" x14ac:dyDescent="0.2">
      <c r="A57" s="375" t="s">
        <v>194</v>
      </c>
      <c r="B57" s="375"/>
      <c r="C57" s="375"/>
      <c r="D57" s="374">
        <v>1200</v>
      </c>
      <c r="E57" s="374">
        <v>0</v>
      </c>
      <c r="F57" s="374">
        <v>0</v>
      </c>
      <c r="G57" s="374">
        <v>0</v>
      </c>
      <c r="H57" s="374">
        <v>0</v>
      </c>
      <c r="I57" s="374">
        <v>1200</v>
      </c>
    </row>
    <row r="58" spans="1:11" ht="15" x14ac:dyDescent="0.2">
      <c r="A58" s="375" t="s">
        <v>195</v>
      </c>
      <c r="B58" s="375"/>
      <c r="C58" s="375"/>
      <c r="D58" s="380">
        <f t="shared" ref="D58:I58" si="6">SUM(D55:D57)</f>
        <v>174191</v>
      </c>
      <c r="E58" s="380">
        <f t="shared" si="6"/>
        <v>0</v>
      </c>
      <c r="F58" s="380">
        <f t="shared" si="6"/>
        <v>100072</v>
      </c>
      <c r="G58" s="380">
        <f t="shared" si="6"/>
        <v>226000</v>
      </c>
      <c r="H58" s="380">
        <f t="shared" si="6"/>
        <v>0</v>
      </c>
      <c r="I58" s="380">
        <f t="shared" si="6"/>
        <v>500263</v>
      </c>
      <c r="J58" s="56"/>
    </row>
    <row r="59" spans="1:11" ht="13.5" thickBot="1" x14ac:dyDescent="0.25">
      <c r="D59" s="375"/>
      <c r="E59" s="375"/>
      <c r="F59" s="375"/>
      <c r="G59" s="375"/>
      <c r="H59" s="375"/>
      <c r="I59" s="375"/>
    </row>
    <row r="60" spans="1:11" ht="18" customHeight="1" thickBot="1" x14ac:dyDescent="0.25">
      <c r="A60" s="486" t="s">
        <v>664</v>
      </c>
      <c r="B60" s="487"/>
      <c r="C60" s="487"/>
      <c r="D60" s="488"/>
    </row>
    <row r="61" spans="1:11" x14ac:dyDescent="0.2">
      <c r="A61" s="441"/>
      <c r="B61" s="441"/>
      <c r="C61" s="441"/>
      <c r="D61" s="441"/>
    </row>
    <row r="62" spans="1:11" x14ac:dyDescent="0.2">
      <c r="A62" s="16" t="s">
        <v>84</v>
      </c>
    </row>
    <row r="63" spans="1:11" x14ac:dyDescent="0.2">
      <c r="I63" s="68"/>
    </row>
    <row r="68" spans="3:9" ht="20.25" x14ac:dyDescent="0.55000000000000004">
      <c r="C68" s="287" t="s">
        <v>513</v>
      </c>
      <c r="D68" s="221"/>
      <c r="E68" s="221"/>
      <c r="F68" s="221"/>
      <c r="G68" s="221"/>
    </row>
    <row r="69" spans="3:9" ht="31.5" x14ac:dyDescent="0.2">
      <c r="C69" s="230" t="s">
        <v>529</v>
      </c>
      <c r="D69" s="225" t="str">
        <f>IF(ROUND(D58,0)-ROUND(GASB34GovtFundsBS!B36,0)=0,"Yes",D58-GASB34GovtFundsBS!B36)</f>
        <v>Yes</v>
      </c>
      <c r="E69" s="225" t="str">
        <f>IF(ROUND(E58,0)-ROUND(GASB34GovtFundsBS!C36,0)=0,"Yes",E58-GASB34GovtFundsBS!C36)</f>
        <v>Yes</v>
      </c>
      <c r="F69" s="225" t="str">
        <f>IF(ROUND(F58,0)-ROUND(GASB34GovtFundsBS!D36,0)=0,"Yes",F58-GASB34GovtFundsBS!D36)</f>
        <v>Yes</v>
      </c>
      <c r="G69" s="225" t="str">
        <f>IF(ROUND(G58,0)-ROUND(GASB34GovtFundsBS!E36,0)=0,"Yes",G58-GASB34GovtFundsBS!E36)</f>
        <v>Yes</v>
      </c>
      <c r="H69" s="225" t="str">
        <f>IF(ROUND(H58,0)-ROUND(GASB34GovtFundsBS!F36,0)=0,"Yes",H58-GASB34GovtFundsBS!F36)</f>
        <v>Yes</v>
      </c>
      <c r="I69" s="225" t="str">
        <f>IF(ROUND(I58,0)-ROUND(GASB34GovtFundsBS!G36,0)=0,"Yes",I58-GASB34GovtFundsBS!G36)</f>
        <v>Yes</v>
      </c>
    </row>
    <row r="70" spans="3:9" ht="15.75" x14ac:dyDescent="0.2">
      <c r="C70" s="230"/>
      <c r="D70" s="231"/>
      <c r="E70" s="231"/>
      <c r="F70" s="231"/>
      <c r="G70" s="231"/>
      <c r="H70" s="231"/>
      <c r="I70" s="231"/>
    </row>
    <row r="71" spans="3:9" ht="15.75" x14ac:dyDescent="0.2">
      <c r="C71" s="230" t="s">
        <v>530</v>
      </c>
      <c r="D71" s="226" t="str">
        <f>IF(OR(D56&lt;=0,D58&lt;=0),"na   ",IF((D58/D56)-1&gt;GASB34GovtFundsBS!G70,"nm   ",(D58/D56)-1))</f>
        <v xml:space="preserve">nm   </v>
      </c>
      <c r="E71" s="226" t="str">
        <f>IF(OR(E56&lt;=0,E58&lt;=0),"na   ",IF((E58/E56)-1&gt;GASB34GovtFundsBS!H70,"nm   ",(E58/E56)-1))</f>
        <v xml:space="preserve">na   </v>
      </c>
      <c r="F71" s="226" t="str">
        <f>IF(OR(F56&lt;=0,F58&lt;=0),"na   ",IF((F58/F56)-1&gt;GASB34GovtFundsBS!I70,"nm   ",(F58/F56)-1))</f>
        <v xml:space="preserve">nm   </v>
      </c>
      <c r="G71" s="226" t="str">
        <f>IF(OR(G56&lt;=0,G58&lt;=0),"na   ",IF((G58/G56)-1&gt;GASB34GovtFundsBS!J70,"nm   ",(G58/G56)-1))</f>
        <v xml:space="preserve">nm   </v>
      </c>
      <c r="H71" s="226" t="str">
        <f>IF(OR(H56&lt;=0,H58&lt;=0),"na   ",IF((H58/H56)-1&gt;GASB34GovtFundsBS!K70,"nm   ",(H58/H56)-1))</f>
        <v xml:space="preserve">na   </v>
      </c>
      <c r="I71" s="226" t="str">
        <f>IF(OR(I56&lt;=0,I58&lt;=0),"na   ",IF((I58/I56)-1&gt;GASB34GovtFundsBS!L70,"nm   ",(I58/I56)-1))</f>
        <v xml:space="preserve">nm   </v>
      </c>
    </row>
    <row r="72" spans="3:9" x14ac:dyDescent="0.2">
      <c r="C72" s="68" t="str">
        <f>GASB34GovtFundsBS!C70</f>
        <v>Note:  % chg &gt; 300 is presented as not meaningful (nm).</v>
      </c>
    </row>
  </sheetData>
  <mergeCells count="15">
    <mergeCell ref="A60:D60"/>
    <mergeCell ref="B28:C28"/>
    <mergeCell ref="A2:I2"/>
    <mergeCell ref="A3:I3"/>
    <mergeCell ref="A4:I4"/>
    <mergeCell ref="A5:I5"/>
    <mergeCell ref="B21:C21"/>
    <mergeCell ref="I7:I8"/>
    <mergeCell ref="B55:C55"/>
    <mergeCell ref="B38:C38"/>
    <mergeCell ref="B39:C39"/>
    <mergeCell ref="A51:C51"/>
    <mergeCell ref="A52:C52"/>
    <mergeCell ref="A53:C53"/>
    <mergeCell ref="B54:C54"/>
  </mergeCells>
  <conditionalFormatting sqref="D69:I69">
    <cfRule type="cellIs" dxfId="17" priority="1" operator="notEqual">
      <formula>"Yes"</formula>
    </cfRule>
  </conditionalFormatting>
  <printOptions horizontalCentered="1"/>
  <pageMargins left="0.5" right="0.5" top="0.5" bottom="0.5" header="0.5" footer="0.5"/>
  <pageSetup scale="71" fitToHeight="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39997558519241921"/>
  </sheetPr>
  <dimension ref="A1:I52"/>
  <sheetViews>
    <sheetView showGridLines="0" zoomScaleNormal="100" workbookViewId="0">
      <selection activeCell="D1" sqref="D1"/>
    </sheetView>
  </sheetViews>
  <sheetFormatPr defaultRowHeight="12.75" x14ac:dyDescent="0.2"/>
  <cols>
    <col min="1" max="3" width="2.7109375" style="16" customWidth="1"/>
    <col min="4" max="4" width="50.7109375" style="16" customWidth="1"/>
    <col min="5" max="5" width="4.7109375" style="16" customWidth="1"/>
    <col min="6" max="6" width="12.42578125" style="16" customWidth="1"/>
    <col min="7" max="7" width="10.42578125" style="16" bestFit="1" customWidth="1"/>
    <col min="8" max="8" width="11.28515625" style="16" customWidth="1"/>
    <col min="9" max="16384" width="9.140625" style="16"/>
  </cols>
  <sheetData>
    <row r="1" spans="1:8" x14ac:dyDescent="0.2">
      <c r="F1" s="75" t="s">
        <v>196</v>
      </c>
    </row>
    <row r="2" spans="1:8" x14ac:dyDescent="0.2">
      <c r="A2" s="472" t="s">
        <v>0</v>
      </c>
      <c r="B2" s="472"/>
      <c r="C2" s="472"/>
      <c r="D2" s="472"/>
      <c r="E2" s="472"/>
      <c r="F2" s="472"/>
    </row>
    <row r="3" spans="1:8" x14ac:dyDescent="0.2">
      <c r="A3" s="472" t="s">
        <v>168</v>
      </c>
      <c r="B3" s="472"/>
      <c r="C3" s="472"/>
      <c r="D3" s="472"/>
      <c r="E3" s="472"/>
      <c r="F3" s="472"/>
    </row>
    <row r="4" spans="1:8" x14ac:dyDescent="0.2">
      <c r="A4" s="472" t="s">
        <v>139</v>
      </c>
      <c r="B4" s="472"/>
      <c r="C4" s="472"/>
      <c r="D4" s="472"/>
      <c r="E4" s="472"/>
      <c r="F4" s="472"/>
    </row>
    <row r="5" spans="1:8" x14ac:dyDescent="0.2">
      <c r="A5" s="472" t="str">
        <f>GASB34GovtFundsIS!A5</f>
        <v>For the Year Ended June 30, 2021</v>
      </c>
      <c r="B5" s="472"/>
      <c r="C5" s="472"/>
      <c r="D5" s="472"/>
      <c r="E5" s="472"/>
      <c r="F5" s="472"/>
    </row>
    <row r="7" spans="1:8" x14ac:dyDescent="0.2">
      <c r="A7" s="16" t="s">
        <v>197</v>
      </c>
    </row>
    <row r="8" spans="1:8" x14ac:dyDescent="0.2">
      <c r="B8" s="16" t="s">
        <v>198</v>
      </c>
    </row>
    <row r="9" spans="1:8" ht="8.1" customHeight="1" x14ac:dyDescent="0.2"/>
    <row r="10" spans="1:8" x14ac:dyDescent="0.2">
      <c r="B10" s="375"/>
      <c r="C10" s="375" t="s">
        <v>199</v>
      </c>
      <c r="D10" s="375"/>
      <c r="E10" s="375"/>
      <c r="F10" s="406">
        <f>GASB34GovtFundsIS!I55</f>
        <v>295037</v>
      </c>
      <c r="H10" s="23"/>
    </row>
    <row r="11" spans="1:8" ht="8.1" customHeight="1" x14ac:dyDescent="0.2">
      <c r="B11" s="375"/>
      <c r="C11" s="375"/>
      <c r="D11" s="375"/>
      <c r="E11" s="375"/>
      <c r="F11" s="406"/>
      <c r="H11" s="23"/>
    </row>
    <row r="12" spans="1:8" x14ac:dyDescent="0.2">
      <c r="B12" s="375"/>
      <c r="C12" s="375"/>
      <c r="D12" s="375" t="s">
        <v>200</v>
      </c>
      <c r="E12" s="375"/>
      <c r="F12" s="389">
        <v>1200</v>
      </c>
    </row>
    <row r="13" spans="1:8" ht="8.1" customHeight="1" x14ac:dyDescent="0.2">
      <c r="B13" s="375"/>
      <c r="C13" s="375"/>
      <c r="D13" s="375"/>
      <c r="E13" s="375"/>
      <c r="F13" s="375"/>
    </row>
    <row r="14" spans="1:8" ht="63.75" x14ac:dyDescent="0.2">
      <c r="B14" s="375"/>
      <c r="C14" s="375"/>
      <c r="D14" s="76" t="s">
        <v>201</v>
      </c>
      <c r="E14" s="375"/>
      <c r="F14" s="411">
        <f>1826600+(570000-369090)+6001882-1</f>
        <v>8029391</v>
      </c>
    </row>
    <row r="15" spans="1:8" ht="8.1" customHeight="1" x14ac:dyDescent="0.2">
      <c r="B15" s="375"/>
      <c r="C15" s="375"/>
      <c r="D15" s="375"/>
      <c r="E15" s="375"/>
      <c r="F15" s="407"/>
    </row>
    <row r="16" spans="1:8" ht="25.5" x14ac:dyDescent="0.2">
      <c r="B16" s="375"/>
      <c r="C16" s="375"/>
      <c r="D16" s="76" t="s">
        <v>202</v>
      </c>
      <c r="E16" s="375"/>
      <c r="F16" s="410">
        <f>ROUND(50000*0.8,0)</f>
        <v>40000</v>
      </c>
    </row>
    <row r="17" spans="2:9" ht="8.1" customHeight="1" x14ac:dyDescent="0.2">
      <c r="B17" s="375"/>
      <c r="C17" s="375"/>
      <c r="D17" s="76"/>
      <c r="E17" s="375"/>
      <c r="F17" s="407"/>
    </row>
    <row r="18" spans="2:9" ht="25.5" x14ac:dyDescent="0.2">
      <c r="B18" s="375"/>
      <c r="C18" s="375"/>
      <c r="D18" s="76" t="s">
        <v>203</v>
      </c>
      <c r="E18" s="375"/>
      <c r="F18" s="410">
        <f>ROUND(30000*0.8+(0.8*0.5*1400),0)</f>
        <v>24560</v>
      </c>
    </row>
    <row r="19" spans="2:9" ht="8.1" customHeight="1" x14ac:dyDescent="0.2">
      <c r="B19" s="375"/>
      <c r="C19" s="375"/>
      <c r="D19" s="76"/>
      <c r="E19" s="375"/>
      <c r="F19" s="407"/>
    </row>
    <row r="20" spans="2:9" ht="25.5" x14ac:dyDescent="0.2">
      <c r="B20" s="375"/>
      <c r="C20" s="375"/>
      <c r="D20" s="76" t="s">
        <v>204</v>
      </c>
      <c r="E20" s="375"/>
      <c r="F20" s="410">
        <f>-20-25888</f>
        <v>-25908</v>
      </c>
    </row>
    <row r="21" spans="2:9" ht="8.1" customHeight="1" x14ac:dyDescent="0.2">
      <c r="B21" s="375"/>
      <c r="C21" s="375"/>
      <c r="D21" s="76"/>
      <c r="E21" s="375"/>
      <c r="F21" s="407"/>
    </row>
    <row r="22" spans="2:9" ht="115.5" customHeight="1" x14ac:dyDescent="0.2">
      <c r="B22" s="375"/>
      <c r="C22" s="375"/>
      <c r="D22" s="76" t="s">
        <v>205</v>
      </c>
      <c r="E22" s="375"/>
      <c r="F22" s="410">
        <f>-207025+36000-5511</f>
        <v>-176536</v>
      </c>
    </row>
    <row r="23" spans="2:9" ht="8.1" customHeight="1" x14ac:dyDescent="0.2">
      <c r="B23" s="375"/>
      <c r="C23" s="375"/>
      <c r="D23" s="76"/>
      <c r="E23" s="375"/>
      <c r="F23" s="407"/>
    </row>
    <row r="24" spans="2:9" ht="25.5" x14ac:dyDescent="0.2">
      <c r="B24" s="375"/>
      <c r="C24" s="375"/>
      <c r="D24" s="76" t="s">
        <v>206</v>
      </c>
      <c r="E24" s="375"/>
      <c r="F24" s="407">
        <f>-773+329</f>
        <v>-444</v>
      </c>
    </row>
    <row r="25" spans="2:9" ht="8.1" customHeight="1" x14ac:dyDescent="0.2">
      <c r="B25" s="375"/>
      <c r="C25" s="375"/>
      <c r="D25" s="76"/>
      <c r="E25" s="375"/>
      <c r="F25" s="407"/>
    </row>
    <row r="26" spans="2:9" ht="39.75" customHeight="1" x14ac:dyDescent="0.2">
      <c r="B26" s="375"/>
      <c r="C26" s="375"/>
      <c r="D26" s="76" t="s">
        <v>207</v>
      </c>
      <c r="E26" s="375"/>
      <c r="F26" s="407"/>
      <c r="I26" s="23"/>
    </row>
    <row r="27" spans="2:9" x14ac:dyDescent="0.2">
      <c r="B27" s="375"/>
      <c r="C27" s="375"/>
      <c r="D27" s="383" t="s">
        <v>208</v>
      </c>
      <c r="E27" s="375"/>
      <c r="F27" s="407">
        <f>ROUND(-0.8*(94314)-(16100),0)</f>
        <v>-91551</v>
      </c>
    </row>
    <row r="28" spans="2:9" x14ac:dyDescent="0.2">
      <c r="B28" s="375"/>
      <c r="C28" s="375"/>
      <c r="D28" s="383" t="s">
        <v>209</v>
      </c>
      <c r="E28" s="375"/>
      <c r="F28" s="407">
        <f>ROUND((12699+(0.5*547))*0.8+1+77,0)</f>
        <v>10456</v>
      </c>
    </row>
    <row r="29" spans="2:9" x14ac:dyDescent="0.2">
      <c r="B29" s="375"/>
      <c r="C29" s="375"/>
      <c r="D29" s="383" t="s">
        <v>210</v>
      </c>
      <c r="E29" s="375"/>
      <c r="F29" s="407">
        <v>-63000</v>
      </c>
    </row>
    <row r="30" spans="2:9" ht="15" x14ac:dyDescent="0.2">
      <c r="B30" s="375"/>
      <c r="C30" s="375"/>
      <c r="D30" s="383" t="s">
        <v>211</v>
      </c>
      <c r="E30" s="375"/>
      <c r="F30" s="408">
        <v>-8000</v>
      </c>
    </row>
    <row r="31" spans="2:9" ht="8.1" customHeight="1" x14ac:dyDescent="0.2">
      <c r="B31" s="375"/>
      <c r="C31" s="375"/>
      <c r="D31" s="375"/>
      <c r="E31" s="375"/>
      <c r="F31" s="407"/>
      <c r="H31" s="23"/>
    </row>
    <row r="32" spans="2:9" ht="15" x14ac:dyDescent="0.2">
      <c r="B32" s="375"/>
      <c r="C32" s="375"/>
      <c r="D32" s="375" t="s">
        <v>212</v>
      </c>
      <c r="E32" s="375"/>
      <c r="F32" s="409">
        <f>SUM(F10:F30)+1</f>
        <v>8035206</v>
      </c>
      <c r="H32" s="23"/>
    </row>
    <row r="33" spans="1:8" ht="15" x14ac:dyDescent="0.2">
      <c r="B33" s="375"/>
      <c r="C33" s="375"/>
      <c r="D33" s="375"/>
      <c r="E33" s="375"/>
      <c r="F33" s="409"/>
      <c r="H33" s="23"/>
    </row>
    <row r="34" spans="1:8" ht="15" x14ac:dyDescent="0.2">
      <c r="B34" s="375"/>
      <c r="C34" s="375"/>
      <c r="D34" s="375"/>
      <c r="E34" s="375"/>
      <c r="F34" s="409"/>
      <c r="H34" s="23"/>
    </row>
    <row r="35" spans="1:8" ht="15" x14ac:dyDescent="0.2">
      <c r="B35" s="375"/>
      <c r="C35" s="375"/>
      <c r="D35" s="375"/>
      <c r="E35" s="375"/>
      <c r="F35" s="409"/>
      <c r="H35" s="23"/>
    </row>
    <row r="36" spans="1:8" ht="15" x14ac:dyDescent="0.2">
      <c r="B36" s="375"/>
      <c r="C36" s="375"/>
      <c r="D36" s="375"/>
      <c r="E36" s="375"/>
      <c r="F36" s="409"/>
      <c r="H36" s="23"/>
    </row>
    <row r="37" spans="1:8" x14ac:dyDescent="0.2">
      <c r="F37" s="25"/>
    </row>
    <row r="38" spans="1:8" x14ac:dyDescent="0.2">
      <c r="A38" s="16" t="s">
        <v>84</v>
      </c>
    </row>
    <row r="39" spans="1:8" ht="9.75" customHeight="1" x14ac:dyDescent="0.2">
      <c r="F39" s="23"/>
      <c r="G39" s="61"/>
    </row>
    <row r="40" spans="1:8" x14ac:dyDescent="0.2">
      <c r="D40" s="439" t="s">
        <v>213</v>
      </c>
    </row>
    <row r="42" spans="1:8" x14ac:dyDescent="0.2">
      <c r="F42" s="23"/>
    </row>
    <row r="45" spans="1:8" ht="20.25" x14ac:dyDescent="0.55000000000000004">
      <c r="C45" s="491" t="s">
        <v>531</v>
      </c>
      <c r="D45" s="491"/>
      <c r="E45" s="221"/>
      <c r="F45" s="221"/>
    </row>
    <row r="46" spans="1:8" ht="31.5" x14ac:dyDescent="0.25">
      <c r="D46" s="240" t="s">
        <v>532</v>
      </c>
      <c r="E46" s="221"/>
      <c r="F46" s="286" t="str">
        <f>IF(ROUND(F32,0)-ROUND(GWStmtAct!G54,0)=0,"Yes",F32-GWStmtAct!G54)</f>
        <v>Yes</v>
      </c>
    </row>
    <row r="47" spans="1:8" ht="15.75" x14ac:dyDescent="0.25">
      <c r="D47" s="221"/>
      <c r="E47" s="221"/>
      <c r="F47" s="235"/>
    </row>
    <row r="48" spans="1:8" ht="15.75" x14ac:dyDescent="0.25">
      <c r="D48" s="221"/>
      <c r="E48" s="221"/>
      <c r="F48" s="221"/>
    </row>
    <row r="49" spans="4:6" ht="15.75" x14ac:dyDescent="0.25">
      <c r="D49" s="236" t="s">
        <v>533</v>
      </c>
      <c r="E49" s="221"/>
      <c r="F49" s="237"/>
    </row>
    <row r="50" spans="4:6" ht="18" x14ac:dyDescent="0.4">
      <c r="D50" s="236" t="s">
        <v>534</v>
      </c>
      <c r="E50" s="221"/>
      <c r="F50" s="238"/>
    </row>
    <row r="51" spans="4:6" ht="18" x14ac:dyDescent="0.4">
      <c r="D51" s="236" t="s">
        <v>535</v>
      </c>
      <c r="E51" s="221"/>
      <c r="F51" s="239">
        <f>+F49-F50</f>
        <v>0</v>
      </c>
    </row>
    <row r="52" spans="4:6" ht="15.75" x14ac:dyDescent="0.25">
      <c r="D52" s="221"/>
      <c r="E52" s="221"/>
      <c r="F52" s="221"/>
    </row>
  </sheetData>
  <mergeCells count="5">
    <mergeCell ref="A2:F2"/>
    <mergeCell ref="A3:F3"/>
    <mergeCell ref="A4:F4"/>
    <mergeCell ref="A5:F5"/>
    <mergeCell ref="C45:D45"/>
  </mergeCells>
  <conditionalFormatting sqref="F46">
    <cfRule type="cellIs" dxfId="16" priority="1" operator="notEqual">
      <formula>"Yes"</formula>
    </cfRule>
  </conditionalFormatting>
  <printOptions horizontalCentered="1" verticalCentered="1"/>
  <pageMargins left="0.5" right="0.5" top="0.5" bottom="0.5" header="0.5" footer="0.5"/>
  <pageSetup orientation="portrait" r:id="rId1"/>
  <rowBreaks count="1" manualBreakCount="1">
    <brk id="38" max="5"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sheetPr>
  <dimension ref="A1:Q71"/>
  <sheetViews>
    <sheetView showGridLines="0" zoomScaleNormal="100" workbookViewId="0">
      <selection activeCell="C1" sqref="C1"/>
    </sheetView>
  </sheetViews>
  <sheetFormatPr defaultRowHeight="12.75" x14ac:dyDescent="0.2"/>
  <cols>
    <col min="1" max="1" width="1.7109375" style="16" customWidth="1"/>
    <col min="2" max="2" width="1.7109375" style="375" customWidth="1"/>
    <col min="3" max="3" width="36.28515625" style="375" bestFit="1" customWidth="1"/>
    <col min="4" max="4" width="12.42578125" style="16" customWidth="1"/>
    <col min="5" max="5" width="11.7109375" style="16" customWidth="1"/>
    <col min="6" max="6" width="12.42578125" style="16" customWidth="1"/>
    <col min="7" max="7" width="12.85546875" style="16" customWidth="1"/>
    <col min="8" max="8" width="2.7109375" style="16" customWidth="1"/>
    <col min="9" max="11" width="13.85546875" style="16" customWidth="1"/>
    <col min="12" max="12" width="12.28515625" style="16" customWidth="1"/>
    <col min="13" max="13" width="11.7109375" style="16" customWidth="1"/>
    <col min="14" max="16384" width="9.140625" style="16"/>
  </cols>
  <sheetData>
    <row r="1" spans="1:14" x14ac:dyDescent="0.2">
      <c r="G1" s="49"/>
      <c r="L1" s="49" t="s">
        <v>214</v>
      </c>
    </row>
    <row r="2" spans="1:14" x14ac:dyDescent="0.2">
      <c r="A2" s="472" t="s">
        <v>0</v>
      </c>
      <c r="B2" s="472"/>
      <c r="C2" s="472"/>
      <c r="D2" s="472"/>
      <c r="E2" s="472"/>
      <c r="F2" s="472"/>
      <c r="G2" s="472"/>
      <c r="H2" s="472"/>
      <c r="I2" s="472"/>
      <c r="J2" s="472"/>
      <c r="K2" s="472"/>
      <c r="L2" s="472"/>
    </row>
    <row r="3" spans="1:14" x14ac:dyDescent="0.2">
      <c r="A3" s="472" t="s">
        <v>215</v>
      </c>
      <c r="B3" s="472"/>
      <c r="C3" s="472"/>
      <c r="D3" s="472"/>
      <c r="E3" s="472"/>
      <c r="F3" s="472"/>
      <c r="G3" s="472"/>
      <c r="H3" s="472"/>
      <c r="I3" s="472"/>
      <c r="J3" s="472"/>
      <c r="K3" s="472"/>
      <c r="L3" s="472"/>
    </row>
    <row r="4" spans="1:14" x14ac:dyDescent="0.2">
      <c r="A4" s="472" t="s">
        <v>216</v>
      </c>
      <c r="B4" s="472"/>
      <c r="C4" s="472"/>
      <c r="D4" s="472"/>
      <c r="E4" s="472"/>
      <c r="F4" s="472"/>
      <c r="G4" s="472"/>
      <c r="H4" s="472"/>
      <c r="I4" s="472"/>
      <c r="J4" s="472"/>
      <c r="K4" s="472"/>
      <c r="L4" s="472"/>
    </row>
    <row r="5" spans="1:14" x14ac:dyDescent="0.2">
      <c r="A5" s="472" t="s">
        <v>512</v>
      </c>
      <c r="B5" s="472"/>
      <c r="C5" s="472"/>
      <c r="D5" s="472"/>
      <c r="E5" s="472"/>
      <c r="F5" s="472"/>
      <c r="G5" s="472"/>
      <c r="H5" s="472"/>
      <c r="I5" s="472"/>
      <c r="J5" s="472"/>
      <c r="K5" s="472"/>
      <c r="L5" s="472"/>
      <c r="M5" s="367"/>
    </row>
    <row r="7" spans="1:14" ht="15" x14ac:dyDescent="0.35">
      <c r="D7" s="462" t="s">
        <v>217</v>
      </c>
      <c r="E7" s="462"/>
      <c r="F7" s="462"/>
      <c r="G7" s="462"/>
      <c r="H7" s="21"/>
      <c r="I7" s="462" t="s">
        <v>218</v>
      </c>
      <c r="J7" s="462"/>
      <c r="K7" s="462"/>
      <c r="L7" s="462"/>
    </row>
    <row r="8" spans="1:14" ht="60" x14ac:dyDescent="0.35">
      <c r="D8" s="206" t="s">
        <v>219</v>
      </c>
      <c r="E8" s="206" t="s">
        <v>220</v>
      </c>
      <c r="F8" s="206" t="s">
        <v>221</v>
      </c>
      <c r="G8" s="206" t="s">
        <v>222</v>
      </c>
      <c r="H8" s="21"/>
      <c r="I8" s="206" t="s">
        <v>219</v>
      </c>
      <c r="J8" s="206" t="s">
        <v>220</v>
      </c>
      <c r="K8" s="206" t="s">
        <v>221</v>
      </c>
      <c r="L8" s="206" t="s">
        <v>222</v>
      </c>
    </row>
    <row r="9" spans="1:14" x14ac:dyDescent="0.2">
      <c r="A9" s="382" t="s">
        <v>223</v>
      </c>
      <c r="D9" s="375"/>
      <c r="E9" s="375"/>
      <c r="F9" s="375"/>
      <c r="G9" s="375"/>
      <c r="H9" s="102"/>
      <c r="I9" s="375"/>
      <c r="J9" s="375"/>
      <c r="K9" s="375"/>
      <c r="L9" s="375"/>
    </row>
    <row r="10" spans="1:14" x14ac:dyDescent="0.2">
      <c r="A10" s="375"/>
      <c r="B10" s="375" t="s">
        <v>169</v>
      </c>
      <c r="C10" s="377"/>
      <c r="D10" s="412">
        <f>ROUND(755275+561+48500*0.8+0.8*27219+0.8*0.5*1260+(50000*0.8)+(30000*0.8)+(1400*0.8*0.5),0)</f>
        <v>881475</v>
      </c>
      <c r="E10" s="412">
        <f>ROUND(685275+48500*0.8+0.8*27219+0.8*0.5*1260+(50000*0.8)+(30000*0.8)+(1400*0.8*0.5),0)</f>
        <v>810914</v>
      </c>
      <c r="F10" s="412">
        <v>702640</v>
      </c>
      <c r="G10" s="412">
        <f>F10-E10</f>
        <v>-108274</v>
      </c>
      <c r="H10" s="102"/>
      <c r="I10" s="412">
        <f>3964350+115000000</f>
        <v>118964350</v>
      </c>
      <c r="J10" s="412">
        <f>3964350+115000000</f>
        <v>118964350</v>
      </c>
      <c r="K10" s="412">
        <f>3964714+115000000</f>
        <v>118964714</v>
      </c>
      <c r="L10" s="412">
        <v>364</v>
      </c>
      <c r="N10" s="57"/>
    </row>
    <row r="11" spans="1:14" x14ac:dyDescent="0.2">
      <c r="A11" s="375"/>
      <c r="B11" s="375" t="s">
        <v>170</v>
      </c>
      <c r="C11" s="377"/>
      <c r="D11" s="413">
        <f>1979200+30119059</f>
        <v>32098259</v>
      </c>
      <c r="E11" s="413">
        <f>2000000+30119059+1032+198968</f>
        <v>32319059</v>
      </c>
      <c r="F11" s="413">
        <v>32319059</v>
      </c>
      <c r="G11" s="413">
        <f>E11-F11</f>
        <v>0</v>
      </c>
      <c r="H11" s="102"/>
      <c r="I11" s="413">
        <v>0</v>
      </c>
      <c r="J11" s="413">
        <v>0</v>
      </c>
      <c r="K11" s="413">
        <v>0</v>
      </c>
      <c r="L11" s="413">
        <v>0</v>
      </c>
    </row>
    <row r="12" spans="1:14" x14ac:dyDescent="0.2">
      <c r="A12" s="375"/>
      <c r="B12" s="375" t="s">
        <v>224</v>
      </c>
      <c r="C12" s="377"/>
      <c r="D12" s="413">
        <v>0</v>
      </c>
      <c r="E12" s="413">
        <v>0</v>
      </c>
      <c r="F12" s="413">
        <v>0</v>
      </c>
      <c r="G12" s="413">
        <v>0</v>
      </c>
      <c r="H12" s="102"/>
      <c r="I12" s="413">
        <v>0</v>
      </c>
      <c r="J12" s="413">
        <v>0</v>
      </c>
      <c r="K12" s="413">
        <v>0</v>
      </c>
      <c r="L12" s="413">
        <v>0</v>
      </c>
    </row>
    <row r="13" spans="1:14" x14ac:dyDescent="0.2">
      <c r="A13" s="375"/>
      <c r="B13" s="375" t="s">
        <v>225</v>
      </c>
      <c r="C13" s="377"/>
      <c r="D13" s="413">
        <v>0</v>
      </c>
      <c r="E13" s="413">
        <v>0</v>
      </c>
      <c r="F13" s="413">
        <v>0</v>
      </c>
      <c r="G13" s="413">
        <v>0</v>
      </c>
      <c r="H13" s="102"/>
      <c r="I13" s="413">
        <v>0</v>
      </c>
      <c r="J13" s="413">
        <v>0</v>
      </c>
      <c r="K13" s="413">
        <v>0</v>
      </c>
      <c r="L13" s="413">
        <v>0</v>
      </c>
    </row>
    <row r="14" spans="1:14" ht="15" x14ac:dyDescent="0.2">
      <c r="A14" s="375"/>
      <c r="B14" s="375" t="s">
        <v>172</v>
      </c>
      <c r="C14" s="377"/>
      <c r="D14" s="414">
        <v>40000</v>
      </c>
      <c r="E14" s="414">
        <f>50800-1032</f>
        <v>49768</v>
      </c>
      <c r="F14" s="414">
        <f>42838-1032+40000+1032</f>
        <v>82838</v>
      </c>
      <c r="G14" s="414">
        <f>F14-E14</f>
        <v>33070</v>
      </c>
      <c r="H14" s="102"/>
      <c r="I14" s="414">
        <v>0</v>
      </c>
      <c r="J14" s="414">
        <v>0</v>
      </c>
      <c r="K14" s="414">
        <v>0</v>
      </c>
      <c r="L14" s="414">
        <v>0</v>
      </c>
    </row>
    <row r="15" spans="1:14" ht="15" x14ac:dyDescent="0.2">
      <c r="A15" s="375"/>
      <c r="C15" s="377" t="s">
        <v>175</v>
      </c>
      <c r="D15" s="414">
        <f>SUM(D10:D14)</f>
        <v>33019734</v>
      </c>
      <c r="E15" s="414">
        <f>SUM(E10:E14)</f>
        <v>33179741</v>
      </c>
      <c r="F15" s="414">
        <f>SUM(F10:F14)</f>
        <v>33104537</v>
      </c>
      <c r="G15" s="414">
        <f>SUM(G10:G14)</f>
        <v>-75204</v>
      </c>
      <c r="H15" s="102"/>
      <c r="I15" s="414">
        <f>SUM(I10:I14)</f>
        <v>118964350</v>
      </c>
      <c r="J15" s="414">
        <f>SUM(J10:J14)</f>
        <v>118964350</v>
      </c>
      <c r="K15" s="414">
        <f>SUM(K10:K14)</f>
        <v>118964714</v>
      </c>
      <c r="L15" s="414">
        <v>364</v>
      </c>
    </row>
    <row r="16" spans="1:14" ht="5.0999999999999996" customHeight="1" x14ac:dyDescent="0.2">
      <c r="A16" s="375"/>
      <c r="D16" s="413"/>
      <c r="E16" s="413"/>
      <c r="F16" s="413"/>
      <c r="G16" s="413"/>
      <c r="H16" s="102"/>
      <c r="I16" s="413"/>
      <c r="J16" s="413"/>
      <c r="K16" s="413"/>
      <c r="L16" s="413"/>
    </row>
    <row r="17" spans="1:17" x14ac:dyDescent="0.2">
      <c r="A17" s="382" t="s">
        <v>226</v>
      </c>
      <c r="D17" s="413"/>
      <c r="E17" s="413"/>
      <c r="F17" s="413"/>
      <c r="G17" s="413"/>
      <c r="H17" s="102"/>
      <c r="I17" s="413"/>
      <c r="J17" s="413"/>
      <c r="K17" s="413"/>
      <c r="L17" s="413"/>
      <c r="P17" s="57"/>
    </row>
    <row r="18" spans="1:17" x14ac:dyDescent="0.2">
      <c r="A18" s="377" t="s">
        <v>176</v>
      </c>
      <c r="D18" s="413"/>
      <c r="E18" s="413"/>
      <c r="F18" s="413"/>
      <c r="G18" s="413"/>
      <c r="H18" s="102"/>
      <c r="I18" s="413"/>
      <c r="J18" s="413"/>
      <c r="K18" s="413"/>
      <c r="L18" s="413"/>
      <c r="O18" s="56">
        <f>E15-E43</f>
        <v>0</v>
      </c>
      <c r="P18" s="56"/>
    </row>
    <row r="19" spans="1:17" x14ac:dyDescent="0.2">
      <c r="A19" s="377"/>
      <c r="B19" s="377" t="s">
        <v>96</v>
      </c>
      <c r="D19" s="413"/>
      <c r="E19" s="413"/>
      <c r="F19" s="413"/>
      <c r="G19" s="413"/>
      <c r="H19" s="102"/>
      <c r="I19" s="413"/>
      <c r="J19" s="413"/>
      <c r="K19" s="413"/>
      <c r="L19" s="413"/>
    </row>
    <row r="20" spans="1:17" x14ac:dyDescent="0.2">
      <c r="A20" s="377"/>
      <c r="C20" s="375" t="s">
        <v>97</v>
      </c>
      <c r="D20" s="413">
        <f>ROUND(939113+5000000+48500*0.8+0.8*27219+0.8*0.5*1260+(50000*0.8)+(30000*0.8)+(1400*0.8+0.5),0)</f>
        <v>6065313</v>
      </c>
      <c r="E20" s="413">
        <f>ROUND(939113+5000000+48500*0.8+0.8*27219+0.8*0.5*1260+(50000*0.8)+(30000*0.8)+(1400*0.8*0.5),0)</f>
        <v>6064752</v>
      </c>
      <c r="F20" s="413">
        <f>GASB34GovtFundsIS!D22</f>
        <v>6063981</v>
      </c>
      <c r="G20" s="413">
        <f>E20-F20</f>
        <v>771</v>
      </c>
      <c r="H20" s="102"/>
      <c r="I20" s="413">
        <f>2700000+75000000</f>
        <v>77700000</v>
      </c>
      <c r="J20" s="413">
        <f>2710000+75000000</f>
        <v>77710000</v>
      </c>
      <c r="K20" s="413">
        <f>2682457+75000000</f>
        <v>77682457</v>
      </c>
      <c r="L20" s="413">
        <f>J20-K20</f>
        <v>27543</v>
      </c>
    </row>
    <row r="21" spans="1:17" x14ac:dyDescent="0.2">
      <c r="A21" s="377"/>
      <c r="C21" s="375" t="s">
        <v>98</v>
      </c>
      <c r="D21" s="413">
        <f>146900+2000000</f>
        <v>2146900</v>
      </c>
      <c r="E21" s="413">
        <f>146900+2000000</f>
        <v>2146900</v>
      </c>
      <c r="F21" s="413">
        <f>146497+2000000</f>
        <v>2146497</v>
      </c>
      <c r="G21" s="413">
        <f t="shared" ref="G21:G37" si="0">E21-F21</f>
        <v>403</v>
      </c>
      <c r="H21" s="102"/>
      <c r="I21" s="413">
        <f>415000+35000000</f>
        <v>35415000</v>
      </c>
      <c r="J21" s="413">
        <f>414900+35000000</f>
        <v>35414900</v>
      </c>
      <c r="K21" s="413">
        <f>475641+35000000</f>
        <v>35475641</v>
      </c>
      <c r="L21" s="413">
        <f t="shared" ref="L21:L37" si="1">J21-K21</f>
        <v>-60741</v>
      </c>
      <c r="Q21" s="57"/>
    </row>
    <row r="22" spans="1:17" x14ac:dyDescent="0.2">
      <c r="A22" s="377"/>
      <c r="C22" s="375" t="s">
        <v>99</v>
      </c>
      <c r="D22" s="413">
        <f>108125+2000000</f>
        <v>2108125</v>
      </c>
      <c r="E22" s="413">
        <f>108125+2000000+198968</f>
        <v>2307093</v>
      </c>
      <c r="F22" s="413">
        <f>107903+2000000</f>
        <v>2107903</v>
      </c>
      <c r="G22" s="413">
        <f t="shared" si="0"/>
        <v>199190</v>
      </c>
      <c r="H22" s="102"/>
      <c r="I22" s="413">
        <v>0</v>
      </c>
      <c r="J22" s="413">
        <v>0</v>
      </c>
      <c r="K22" s="413">
        <v>0</v>
      </c>
      <c r="L22" s="413">
        <f t="shared" si="1"/>
        <v>0</v>
      </c>
    </row>
    <row r="23" spans="1:17" x14ac:dyDescent="0.2">
      <c r="A23" s="377"/>
      <c r="C23" s="375" t="s">
        <v>100</v>
      </c>
      <c r="D23" s="413">
        <f>22975+1000000</f>
        <v>1022975</v>
      </c>
      <c r="E23" s="413">
        <f>22975+1000000</f>
        <v>1022975</v>
      </c>
      <c r="F23" s="413">
        <f>22316+1000000</f>
        <v>1022316</v>
      </c>
      <c r="G23" s="413">
        <f t="shared" si="0"/>
        <v>659</v>
      </c>
      <c r="H23" s="102"/>
      <c r="I23" s="413">
        <v>0</v>
      </c>
      <c r="J23" s="413">
        <v>0</v>
      </c>
      <c r="K23" s="413">
        <v>0</v>
      </c>
      <c r="L23" s="413">
        <f t="shared" si="1"/>
        <v>0</v>
      </c>
    </row>
    <row r="24" spans="1:17" x14ac:dyDescent="0.2">
      <c r="A24" s="377"/>
      <c r="C24" s="375" t="s">
        <v>101</v>
      </c>
      <c r="D24" s="413">
        <f>38000+1000000</f>
        <v>1038000</v>
      </c>
      <c r="E24" s="413">
        <f>38000+1000000</f>
        <v>1038000</v>
      </c>
      <c r="F24" s="413">
        <f>37981+1000000</f>
        <v>1037981</v>
      </c>
      <c r="G24" s="413">
        <f t="shared" si="0"/>
        <v>19</v>
      </c>
      <c r="H24" s="102"/>
      <c r="I24" s="413">
        <v>0</v>
      </c>
      <c r="J24" s="413">
        <v>0</v>
      </c>
      <c r="K24" s="413">
        <v>0</v>
      </c>
      <c r="L24" s="413">
        <f t="shared" si="1"/>
        <v>0</v>
      </c>
    </row>
    <row r="25" spans="1:17" x14ac:dyDescent="0.2">
      <c r="A25" s="377"/>
      <c r="C25" s="375" t="s">
        <v>102</v>
      </c>
      <c r="D25" s="413">
        <f>95000+1000000</f>
        <v>1095000</v>
      </c>
      <c r="E25" s="413">
        <f>95000+1000000</f>
        <v>1095000</v>
      </c>
      <c r="F25" s="413">
        <f>94952+1000000</f>
        <v>1094952</v>
      </c>
      <c r="G25" s="413">
        <f t="shared" si="0"/>
        <v>48</v>
      </c>
      <c r="H25" s="102"/>
      <c r="I25" s="413">
        <v>0</v>
      </c>
      <c r="J25" s="413">
        <v>0</v>
      </c>
      <c r="K25" s="413">
        <v>0</v>
      </c>
      <c r="L25" s="413">
        <f t="shared" si="1"/>
        <v>0</v>
      </c>
    </row>
    <row r="26" spans="1:17" x14ac:dyDescent="0.2">
      <c r="A26" s="377"/>
      <c r="B26" s="377" t="s">
        <v>103</v>
      </c>
      <c r="C26" s="398"/>
      <c r="D26" s="413"/>
      <c r="E26" s="413"/>
      <c r="F26" s="413"/>
      <c r="G26" s="413"/>
      <c r="H26" s="102"/>
      <c r="I26" s="413"/>
      <c r="J26" s="413"/>
      <c r="K26" s="413"/>
      <c r="L26" s="413"/>
    </row>
    <row r="27" spans="1:17" x14ac:dyDescent="0.2">
      <c r="A27" s="377"/>
      <c r="C27" s="76" t="s">
        <v>104</v>
      </c>
      <c r="D27" s="413">
        <f>15000+1000000</f>
        <v>1015000</v>
      </c>
      <c r="E27" s="413">
        <f>15000+1000000</f>
        <v>1015000</v>
      </c>
      <c r="F27" s="413">
        <f>14990+1000000</f>
        <v>1014990</v>
      </c>
      <c r="G27" s="413">
        <f t="shared" si="0"/>
        <v>10</v>
      </c>
      <c r="H27" s="102"/>
      <c r="I27" s="413">
        <v>117000</v>
      </c>
      <c r="J27" s="413">
        <v>117000</v>
      </c>
      <c r="K27" s="413">
        <v>83951</v>
      </c>
      <c r="L27" s="413">
        <f t="shared" si="1"/>
        <v>33049</v>
      </c>
    </row>
    <row r="28" spans="1:17" x14ac:dyDescent="0.2">
      <c r="A28" s="377"/>
      <c r="C28" s="76" t="s">
        <v>105</v>
      </c>
      <c r="D28" s="413">
        <f>60000+1000000</f>
        <v>1060000</v>
      </c>
      <c r="E28" s="413">
        <f>60000+1000000</f>
        <v>1060000</v>
      </c>
      <c r="F28" s="413">
        <f>59684+1000000</f>
        <v>1059684</v>
      </c>
      <c r="G28" s="413">
        <f t="shared" si="0"/>
        <v>316</v>
      </c>
      <c r="H28" s="102"/>
      <c r="I28" s="413">
        <v>24000</v>
      </c>
      <c r="J28" s="413">
        <v>23700</v>
      </c>
      <c r="K28" s="413">
        <v>23704</v>
      </c>
      <c r="L28" s="413">
        <f t="shared" si="1"/>
        <v>-4</v>
      </c>
    </row>
    <row r="29" spans="1:17" ht="25.5" x14ac:dyDescent="0.2">
      <c r="A29" s="377"/>
      <c r="C29" s="76" t="s">
        <v>106</v>
      </c>
      <c r="D29" s="415">
        <f>37000+1000000</f>
        <v>1037000</v>
      </c>
      <c r="E29" s="415">
        <f>37000+1000000</f>
        <v>1037000</v>
      </c>
      <c r="F29" s="415">
        <f>36850+1000000</f>
        <v>1036850</v>
      </c>
      <c r="G29" s="415">
        <f t="shared" si="0"/>
        <v>150</v>
      </c>
      <c r="H29" s="104"/>
      <c r="I29" s="415">
        <v>20500</v>
      </c>
      <c r="J29" s="415">
        <v>20000</v>
      </c>
      <c r="K29" s="415">
        <v>19754</v>
      </c>
      <c r="L29" s="415">
        <f t="shared" si="1"/>
        <v>246</v>
      </c>
    </row>
    <row r="30" spans="1:17" x14ac:dyDescent="0.2">
      <c r="A30" s="377"/>
      <c r="C30" s="76" t="s">
        <v>107</v>
      </c>
      <c r="D30" s="413">
        <v>170000</v>
      </c>
      <c r="E30" s="413">
        <v>170000</v>
      </c>
      <c r="F30" s="413">
        <v>165487</v>
      </c>
      <c r="G30" s="413">
        <f t="shared" si="0"/>
        <v>4513</v>
      </c>
      <c r="H30" s="102"/>
      <c r="I30" s="413">
        <v>251000</v>
      </c>
      <c r="J30" s="413">
        <v>249000</v>
      </c>
      <c r="K30" s="413">
        <v>248895</v>
      </c>
      <c r="L30" s="413">
        <f t="shared" si="1"/>
        <v>105</v>
      </c>
    </row>
    <row r="31" spans="1:17" x14ac:dyDescent="0.2">
      <c r="A31" s="377"/>
      <c r="C31" s="76" t="s">
        <v>108</v>
      </c>
      <c r="D31" s="413">
        <f>300000+6761+4000000</f>
        <v>4306761</v>
      </c>
      <c r="E31" s="413">
        <f>300000+4000000</f>
        <v>4300000</v>
      </c>
      <c r="F31" s="413">
        <f>293056+4000000</f>
        <v>4293056</v>
      </c>
      <c r="G31" s="413">
        <f t="shared" si="0"/>
        <v>6944</v>
      </c>
      <c r="H31" s="102"/>
      <c r="I31" s="413">
        <f>283000+5000000</f>
        <v>5283000</v>
      </c>
      <c r="J31" s="413">
        <f>280550+5000000</f>
        <v>5280550</v>
      </c>
      <c r="K31" s="413">
        <f>280501+5000000</f>
        <v>5280501</v>
      </c>
      <c r="L31" s="413">
        <f t="shared" si="1"/>
        <v>49</v>
      </c>
    </row>
    <row r="32" spans="1:17" x14ac:dyDescent="0.2">
      <c r="A32" s="377"/>
      <c r="C32" s="76" t="s">
        <v>109</v>
      </c>
      <c r="D32" s="413">
        <f>281000+4000000</f>
        <v>4281000</v>
      </c>
      <c r="E32" s="413">
        <f>281000+4000000</f>
        <v>4281000</v>
      </c>
      <c r="F32" s="413">
        <f>281548+4000000</f>
        <v>4281548</v>
      </c>
      <c r="G32" s="413">
        <f t="shared" si="0"/>
        <v>-548</v>
      </c>
      <c r="H32" s="102"/>
      <c r="I32" s="413">
        <v>7900</v>
      </c>
      <c r="J32" s="413">
        <v>7900</v>
      </c>
      <c r="K32" s="413">
        <v>7901</v>
      </c>
      <c r="L32" s="413">
        <f t="shared" si="1"/>
        <v>-1</v>
      </c>
    </row>
    <row r="33" spans="1:12" x14ac:dyDescent="0.2">
      <c r="A33" s="377"/>
      <c r="C33" s="76" t="s">
        <v>110</v>
      </c>
      <c r="D33" s="413">
        <f>38500+119059</f>
        <v>157559</v>
      </c>
      <c r="E33" s="413">
        <f>38500+119059</f>
        <v>157559</v>
      </c>
      <c r="F33" s="413">
        <f>37981+119059</f>
        <v>157040</v>
      </c>
      <c r="G33" s="413">
        <f t="shared" si="0"/>
        <v>519</v>
      </c>
      <c r="H33" s="102"/>
      <c r="I33" s="413">
        <v>131950</v>
      </c>
      <c r="J33" s="413">
        <v>127300</v>
      </c>
      <c r="K33" s="413">
        <v>127910</v>
      </c>
      <c r="L33" s="413">
        <f t="shared" si="1"/>
        <v>-610</v>
      </c>
    </row>
    <row r="34" spans="1:12" x14ac:dyDescent="0.2">
      <c r="A34" s="377"/>
      <c r="C34" s="76" t="s">
        <v>111</v>
      </c>
      <c r="D34" s="413">
        <f>169962+18564+3000000</f>
        <v>3188526</v>
      </c>
      <c r="E34" s="413">
        <f>169962+3000000</f>
        <v>3169962</v>
      </c>
      <c r="F34" s="413">
        <f>161196+3000000</f>
        <v>3161196</v>
      </c>
      <c r="G34" s="413">
        <f t="shared" si="0"/>
        <v>8766</v>
      </c>
      <c r="H34" s="102"/>
      <c r="I34" s="413">
        <v>0</v>
      </c>
      <c r="J34" s="413">
        <v>0</v>
      </c>
      <c r="K34" s="413">
        <v>0</v>
      </c>
      <c r="L34" s="413">
        <f t="shared" si="1"/>
        <v>0</v>
      </c>
    </row>
    <row r="35" spans="1:12" x14ac:dyDescent="0.2">
      <c r="A35" s="377"/>
      <c r="C35" s="76" t="s">
        <v>112</v>
      </c>
      <c r="D35" s="413">
        <f>220000+35000+3000000</f>
        <v>3255000</v>
      </c>
      <c r="E35" s="413">
        <f>220000+35000+3000000</f>
        <v>3255000</v>
      </c>
      <c r="F35" s="413">
        <f>219767+35000+3000000</f>
        <v>3254767</v>
      </c>
      <c r="G35" s="413">
        <f t="shared" si="0"/>
        <v>233</v>
      </c>
      <c r="H35" s="102"/>
      <c r="I35" s="413">
        <v>0</v>
      </c>
      <c r="J35" s="413">
        <v>0</v>
      </c>
      <c r="K35" s="413">
        <v>0</v>
      </c>
      <c r="L35" s="413">
        <f t="shared" si="1"/>
        <v>0</v>
      </c>
    </row>
    <row r="36" spans="1:12" x14ac:dyDescent="0.2">
      <c r="A36" s="377"/>
      <c r="B36" s="375" t="s">
        <v>113</v>
      </c>
      <c r="C36" s="398"/>
      <c r="D36" s="413">
        <f>19000+30000+1000000</f>
        <v>1049000</v>
      </c>
      <c r="E36" s="413">
        <f>19000+30000+1000000</f>
        <v>1049000</v>
      </c>
      <c r="F36" s="413">
        <f>18990+30000+1000000</f>
        <v>1048990</v>
      </c>
      <c r="G36" s="413">
        <f t="shared" si="0"/>
        <v>10</v>
      </c>
      <c r="H36" s="102"/>
      <c r="I36" s="413">
        <v>0</v>
      </c>
      <c r="J36" s="413">
        <v>0</v>
      </c>
      <c r="K36" s="413">
        <v>0</v>
      </c>
      <c r="L36" s="413">
        <f t="shared" si="1"/>
        <v>0</v>
      </c>
    </row>
    <row r="37" spans="1:12" x14ac:dyDescent="0.2">
      <c r="A37" s="377"/>
      <c r="B37" s="375" t="s">
        <v>114</v>
      </c>
      <c r="D37" s="413">
        <f>75500-65000</f>
        <v>10500</v>
      </c>
      <c r="E37" s="413">
        <f>75500-65000</f>
        <v>10500</v>
      </c>
      <c r="F37" s="413">
        <f>75363-65000</f>
        <v>10363</v>
      </c>
      <c r="G37" s="413">
        <f t="shared" si="0"/>
        <v>137</v>
      </c>
      <c r="H37" s="102"/>
      <c r="I37" s="413">
        <v>0</v>
      </c>
      <c r="J37" s="413">
        <v>0</v>
      </c>
      <c r="K37" s="413">
        <v>0</v>
      </c>
      <c r="L37" s="413">
        <f t="shared" si="1"/>
        <v>0</v>
      </c>
    </row>
    <row r="38" spans="1:12" x14ac:dyDescent="0.2">
      <c r="A38" s="375"/>
      <c r="D38" s="375"/>
      <c r="E38" s="375"/>
      <c r="F38" s="375"/>
      <c r="G38" s="375"/>
      <c r="H38" s="375"/>
      <c r="I38" s="375"/>
      <c r="J38" s="375"/>
      <c r="K38" s="375"/>
      <c r="L38" s="375"/>
    </row>
    <row r="39" spans="1:12" x14ac:dyDescent="0.2">
      <c r="A39" s="372" t="s">
        <v>227</v>
      </c>
      <c r="D39" s="413"/>
      <c r="E39" s="413"/>
      <c r="F39" s="413"/>
      <c r="G39" s="413"/>
      <c r="H39" s="102"/>
      <c r="I39" s="413"/>
      <c r="J39" s="413"/>
      <c r="K39" s="413"/>
      <c r="L39" s="413"/>
    </row>
    <row r="40" spans="1:12" x14ac:dyDescent="0.2">
      <c r="A40" s="377"/>
      <c r="C40" s="375" t="s">
        <v>228</v>
      </c>
      <c r="D40" s="413">
        <v>0</v>
      </c>
      <c r="E40" s="413">
        <v>0</v>
      </c>
      <c r="F40" s="413">
        <v>0</v>
      </c>
      <c r="G40" s="413">
        <v>0</v>
      </c>
      <c r="H40" s="102"/>
      <c r="I40" s="413">
        <v>0</v>
      </c>
      <c r="J40" s="413">
        <v>0</v>
      </c>
      <c r="K40" s="413">
        <v>0</v>
      </c>
      <c r="L40" s="413">
        <v>0</v>
      </c>
    </row>
    <row r="41" spans="1:12" x14ac:dyDescent="0.2">
      <c r="A41" s="377"/>
      <c r="C41" s="375" t="s">
        <v>229</v>
      </c>
      <c r="D41" s="413">
        <v>0</v>
      </c>
      <c r="E41" s="413">
        <v>0</v>
      </c>
      <c r="F41" s="413">
        <v>0</v>
      </c>
      <c r="G41" s="413">
        <v>0</v>
      </c>
      <c r="H41" s="102"/>
      <c r="I41" s="413">
        <v>0</v>
      </c>
      <c r="J41" s="413">
        <v>0</v>
      </c>
      <c r="K41" s="413">
        <v>0</v>
      </c>
      <c r="L41" s="413">
        <v>0</v>
      </c>
    </row>
    <row r="42" spans="1:12" ht="15" x14ac:dyDescent="0.2">
      <c r="A42" s="377"/>
      <c r="C42" s="375" t="s">
        <v>230</v>
      </c>
      <c r="D42" s="414">
        <v>0</v>
      </c>
      <c r="E42" s="414">
        <v>0</v>
      </c>
      <c r="F42" s="414">
        <v>0</v>
      </c>
      <c r="G42" s="414">
        <v>0</v>
      </c>
      <c r="H42" s="102"/>
      <c r="I42" s="414">
        <v>0</v>
      </c>
      <c r="J42" s="414">
        <v>0</v>
      </c>
      <c r="K42" s="414">
        <v>0</v>
      </c>
      <c r="L42" s="414">
        <v>0</v>
      </c>
    </row>
    <row r="43" spans="1:12" ht="15" x14ac:dyDescent="0.2">
      <c r="A43" s="375"/>
      <c r="C43" s="377" t="s">
        <v>186</v>
      </c>
      <c r="D43" s="414">
        <f>SUM(D20:D42)</f>
        <v>33006659</v>
      </c>
      <c r="E43" s="414">
        <f>SUM(E20:E42)</f>
        <v>33179741</v>
      </c>
      <c r="F43" s="414">
        <f>SUM(F20:F42)</f>
        <v>32957601</v>
      </c>
      <c r="G43" s="414">
        <f>SUM(G20:G42)</f>
        <v>222140</v>
      </c>
      <c r="H43" s="102"/>
      <c r="I43" s="414">
        <f>SUM(I20:I42)</f>
        <v>118950350</v>
      </c>
      <c r="J43" s="414">
        <f>SUM(J20:J42)</f>
        <v>118950350</v>
      </c>
      <c r="K43" s="414">
        <f>SUM(K20:K42)</f>
        <v>118950714</v>
      </c>
      <c r="L43" s="414">
        <f>SUM(L20:L42)</f>
        <v>-364</v>
      </c>
    </row>
    <row r="44" spans="1:12" ht="5.0999999999999996" customHeight="1" x14ac:dyDescent="0.2">
      <c r="A44" s="375"/>
      <c r="D44" s="413"/>
      <c r="E44" s="413"/>
      <c r="F44" s="413"/>
      <c r="G44" s="413"/>
      <c r="H44" s="102"/>
      <c r="I44" s="413"/>
      <c r="J44" s="413"/>
      <c r="K44" s="413"/>
      <c r="L44" s="413"/>
    </row>
    <row r="45" spans="1:12" ht="15" x14ac:dyDescent="0.2">
      <c r="A45" s="382" t="s">
        <v>231</v>
      </c>
      <c r="D45" s="414">
        <f>ROUND(D15-D43,0)</f>
        <v>13075</v>
      </c>
      <c r="E45" s="414">
        <f>E15-E43</f>
        <v>0</v>
      </c>
      <c r="F45" s="414">
        <f>F15-F43</f>
        <v>146936</v>
      </c>
      <c r="G45" s="414">
        <f>G15+G43</f>
        <v>146936</v>
      </c>
      <c r="H45" s="102"/>
      <c r="I45" s="414">
        <f>I15-I43</f>
        <v>14000</v>
      </c>
      <c r="J45" s="414">
        <f>J15-J43</f>
        <v>14000</v>
      </c>
      <c r="K45" s="414">
        <f>K15-K43</f>
        <v>14000</v>
      </c>
      <c r="L45" s="414">
        <f>L15+L43</f>
        <v>0</v>
      </c>
    </row>
    <row r="46" spans="1:12" ht="15" x14ac:dyDescent="0.2">
      <c r="A46" s="382"/>
      <c r="D46" s="414"/>
      <c r="E46" s="414"/>
      <c r="F46" s="414"/>
      <c r="G46" s="414"/>
      <c r="H46" s="102"/>
      <c r="I46" s="414"/>
      <c r="J46" s="414"/>
      <c r="K46" s="414"/>
      <c r="L46" s="68" t="s">
        <v>51</v>
      </c>
    </row>
    <row r="47" spans="1:12" ht="15" x14ac:dyDescent="0.35">
      <c r="A47" s="17"/>
      <c r="D47" s="207"/>
      <c r="E47" s="207"/>
      <c r="F47" s="207"/>
      <c r="G47" s="207"/>
      <c r="H47" s="21"/>
      <c r="I47" s="207"/>
      <c r="J47" s="207"/>
      <c r="K47" s="207"/>
      <c r="L47" s="68" t="s">
        <v>650</v>
      </c>
    </row>
    <row r="48" spans="1:12" ht="15" x14ac:dyDescent="0.35">
      <c r="A48" s="17"/>
      <c r="D48" s="462" t="s">
        <v>217</v>
      </c>
      <c r="E48" s="462"/>
      <c r="F48" s="462"/>
      <c r="G48" s="462"/>
      <c r="H48" s="21"/>
      <c r="I48" s="462" t="s">
        <v>218</v>
      </c>
      <c r="J48" s="462"/>
      <c r="K48" s="462"/>
      <c r="L48" s="462"/>
    </row>
    <row r="49" spans="1:12" ht="60" x14ac:dyDescent="0.35">
      <c r="A49" s="17"/>
      <c r="D49" s="206" t="s">
        <v>219</v>
      </c>
      <c r="E49" s="206" t="s">
        <v>220</v>
      </c>
      <c r="F49" s="206" t="s">
        <v>221</v>
      </c>
      <c r="G49" s="206" t="s">
        <v>222</v>
      </c>
      <c r="H49" s="21"/>
      <c r="I49" s="206" t="s">
        <v>219</v>
      </c>
      <c r="J49" s="206" t="s">
        <v>220</v>
      </c>
      <c r="K49" s="206" t="s">
        <v>221</v>
      </c>
      <c r="L49" s="206" t="s">
        <v>222</v>
      </c>
    </row>
    <row r="50" spans="1:12" ht="5.0999999999999996" customHeight="1" x14ac:dyDescent="0.2">
      <c r="D50" s="78"/>
      <c r="E50" s="78"/>
      <c r="F50" s="78"/>
      <c r="G50" s="78"/>
      <c r="H50" s="21"/>
      <c r="I50" s="78"/>
      <c r="J50" s="78"/>
      <c r="K50" s="78"/>
      <c r="L50" s="78"/>
    </row>
    <row r="51" spans="1:12" x14ac:dyDescent="0.2">
      <c r="A51" s="17" t="s">
        <v>232</v>
      </c>
      <c r="D51" s="413"/>
      <c r="E51" s="413"/>
      <c r="F51" s="413"/>
      <c r="G51" s="413"/>
      <c r="H51" s="102"/>
      <c r="I51" s="413"/>
      <c r="J51" s="413"/>
      <c r="K51" s="413"/>
      <c r="L51" s="413"/>
    </row>
    <row r="52" spans="1:12" x14ac:dyDescent="0.2">
      <c r="A52" s="62"/>
      <c r="B52" s="375" t="s">
        <v>504</v>
      </c>
      <c r="D52" s="413">
        <v>0</v>
      </c>
      <c r="E52" s="413">
        <v>0</v>
      </c>
      <c r="F52" s="413">
        <v>0</v>
      </c>
      <c r="G52" s="413">
        <v>0</v>
      </c>
      <c r="H52" s="102"/>
      <c r="I52" s="413">
        <v>0</v>
      </c>
      <c r="J52" s="413">
        <v>0</v>
      </c>
      <c r="K52" s="413">
        <v>0</v>
      </c>
      <c r="L52" s="413">
        <v>0</v>
      </c>
    </row>
    <row r="53" spans="1:12" x14ac:dyDescent="0.2">
      <c r="B53" s="377" t="s">
        <v>188</v>
      </c>
      <c r="C53" s="377"/>
      <c r="D53" s="413">
        <v>-13075</v>
      </c>
      <c r="E53" s="413">
        <v>0</v>
      </c>
      <c r="F53" s="413">
        <v>0</v>
      </c>
      <c r="G53" s="413">
        <v>0</v>
      </c>
      <c r="H53" s="102"/>
      <c r="I53" s="413">
        <v>-14000</v>
      </c>
      <c r="J53" s="413">
        <v>-14000</v>
      </c>
      <c r="K53" s="413">
        <v>-14000</v>
      </c>
      <c r="L53" s="413">
        <v>0</v>
      </c>
    </row>
    <row r="54" spans="1:12" ht="15" x14ac:dyDescent="0.2">
      <c r="B54" s="377" t="s">
        <v>505</v>
      </c>
      <c r="C54" s="377"/>
      <c r="D54" s="414">
        <v>0</v>
      </c>
      <c r="E54" s="414">
        <v>0</v>
      </c>
      <c r="F54" s="414">
        <v>0</v>
      </c>
      <c r="G54" s="416">
        <v>0</v>
      </c>
      <c r="H54" s="102"/>
      <c r="I54" s="414">
        <v>0</v>
      </c>
      <c r="J54" s="414">
        <v>0</v>
      </c>
      <c r="K54" s="414">
        <v>0</v>
      </c>
      <c r="L54" s="416">
        <v>0</v>
      </c>
    </row>
    <row r="55" spans="1:12" ht="15" x14ac:dyDescent="0.2">
      <c r="C55" s="377" t="s">
        <v>234</v>
      </c>
      <c r="D55" s="414">
        <f>SUM(D52:D54)</f>
        <v>-13075</v>
      </c>
      <c r="E55" s="414">
        <f>SUM(E52:E54)</f>
        <v>0</v>
      </c>
      <c r="F55" s="414">
        <f>SUM(F52:F54)</f>
        <v>0</v>
      </c>
      <c r="G55" s="414">
        <v>0</v>
      </c>
      <c r="H55" s="102"/>
      <c r="I55" s="414">
        <f>SUM(I52:I54)</f>
        <v>-14000</v>
      </c>
      <c r="J55" s="414">
        <f>SUM(J52:J54)</f>
        <v>-14000</v>
      </c>
      <c r="K55" s="414">
        <f>SUM(K52:K54)</f>
        <v>-14000</v>
      </c>
      <c r="L55" s="414">
        <f>SUM(L52:L54)</f>
        <v>0</v>
      </c>
    </row>
    <row r="56" spans="1:12" ht="5.0999999999999996" customHeight="1" x14ac:dyDescent="0.2">
      <c r="D56" s="413"/>
      <c r="E56" s="413"/>
      <c r="F56" s="413"/>
      <c r="G56" s="413"/>
      <c r="H56" s="102"/>
      <c r="I56" s="413"/>
      <c r="J56" s="413"/>
      <c r="K56" s="413"/>
      <c r="L56" s="413"/>
    </row>
    <row r="57" spans="1:12" ht="15" x14ac:dyDescent="0.2">
      <c r="A57" s="17" t="s">
        <v>192</v>
      </c>
      <c r="C57" s="377"/>
      <c r="D57" s="417">
        <f>+D45+D55</f>
        <v>0</v>
      </c>
      <c r="E57" s="417">
        <f>+E45+E55</f>
        <v>0</v>
      </c>
      <c r="F57" s="413">
        <f>+F45+F55</f>
        <v>146936</v>
      </c>
      <c r="G57" s="417">
        <f>+G45+G55</f>
        <v>146936</v>
      </c>
      <c r="H57" s="102"/>
      <c r="I57" s="417">
        <f>+I45+I55</f>
        <v>0</v>
      </c>
      <c r="J57" s="417">
        <f>+J45+J55</f>
        <v>0</v>
      </c>
      <c r="K57" s="413">
        <f>+K45+K55</f>
        <v>0</v>
      </c>
      <c r="L57" s="417">
        <f>+L45+L55</f>
        <v>0</v>
      </c>
    </row>
    <row r="58" spans="1:12" x14ac:dyDescent="0.2">
      <c r="A58" s="62" t="s">
        <v>193</v>
      </c>
      <c r="D58" s="375"/>
      <c r="E58" s="375"/>
      <c r="F58" s="418">
        <v>26055</v>
      </c>
      <c r="G58" s="375"/>
      <c r="H58" s="102"/>
      <c r="I58" s="375"/>
      <c r="J58" s="375"/>
      <c r="K58" s="418">
        <v>0</v>
      </c>
      <c r="L58" s="375"/>
    </row>
    <row r="59" spans="1:12" ht="15" x14ac:dyDescent="0.2">
      <c r="A59" s="16" t="s">
        <v>194</v>
      </c>
      <c r="D59" s="419"/>
      <c r="E59" s="419"/>
      <c r="F59" s="420">
        <v>1200</v>
      </c>
      <c r="G59" s="419"/>
      <c r="H59" s="421"/>
      <c r="I59" s="419"/>
      <c r="J59" s="419"/>
      <c r="K59" s="420">
        <v>0</v>
      </c>
      <c r="L59" s="419"/>
    </row>
    <row r="60" spans="1:12" ht="15" x14ac:dyDescent="0.2">
      <c r="A60" s="62" t="s">
        <v>195</v>
      </c>
      <c r="D60" s="375"/>
      <c r="E60" s="375"/>
      <c r="F60" s="422">
        <f>SUM(F57:F59)</f>
        <v>174191</v>
      </c>
      <c r="G60" s="375"/>
      <c r="H60" s="375"/>
      <c r="I60" s="375"/>
      <c r="J60" s="375"/>
      <c r="K60" s="422">
        <f>SUM(K57:K59)</f>
        <v>0</v>
      </c>
      <c r="L60" s="375"/>
    </row>
    <row r="61" spans="1:12" ht="13.5" thickBot="1" x14ac:dyDescent="0.25"/>
    <row r="62" spans="1:12" ht="27.95" customHeight="1" thickBot="1" x14ac:dyDescent="0.25">
      <c r="C62" s="492" t="s">
        <v>649</v>
      </c>
      <c r="D62" s="493"/>
      <c r="E62" s="493"/>
      <c r="F62" s="494"/>
      <c r="G62" s="369"/>
    </row>
    <row r="63" spans="1:12" x14ac:dyDescent="0.2">
      <c r="D63" s="369"/>
      <c r="E63" s="369"/>
      <c r="F63" s="369"/>
      <c r="G63" s="369"/>
    </row>
    <row r="65" spans="1:13" x14ac:dyDescent="0.2">
      <c r="A65" s="16" t="s">
        <v>84</v>
      </c>
    </row>
    <row r="68" spans="1:13" ht="20.25" x14ac:dyDescent="0.55000000000000004">
      <c r="A68" s="491" t="s">
        <v>531</v>
      </c>
      <c r="B68" s="491"/>
      <c r="C68" s="491"/>
      <c r="D68" s="276"/>
      <c r="E68" s="276"/>
      <c r="F68" s="276"/>
      <c r="G68" s="276"/>
      <c r="H68" s="276"/>
      <c r="I68" s="276"/>
      <c r="J68" s="276"/>
      <c r="K68" s="276"/>
      <c r="L68" s="276"/>
      <c r="M68" s="276"/>
    </row>
    <row r="69" spans="1:13" ht="15.75" x14ac:dyDescent="0.25">
      <c r="A69" s="276"/>
      <c r="B69" s="423"/>
      <c r="C69" s="424" t="s">
        <v>548</v>
      </c>
      <c r="D69" s="276"/>
      <c r="E69" s="276"/>
      <c r="F69" s="273" t="str">
        <f>IF(+F57-GASB34GovtFundsIS!D55=0,"Yes",+F57-GASB34GovtFundsIS!D55)</f>
        <v>Yes</v>
      </c>
      <c r="G69" s="276"/>
      <c r="H69" s="276"/>
      <c r="I69" s="276"/>
      <c r="J69" s="276"/>
      <c r="K69" s="273" t="str">
        <f>IF(+K57-GASB34GovtFundsIS!E55=0,"Yes",+K57-GASB34GovtFundsIS!E55)</f>
        <v>Yes</v>
      </c>
      <c r="L69" s="276"/>
      <c r="M69" s="276"/>
    </row>
    <row r="70" spans="1:13" ht="15.75" x14ac:dyDescent="0.25">
      <c r="A70" s="276"/>
      <c r="B70" s="423"/>
      <c r="C70" s="424" t="s">
        <v>549</v>
      </c>
      <c r="D70" s="276"/>
      <c r="E70" s="276"/>
      <c r="F70" s="273" t="str">
        <f>IF(+F60-GASB34GovtFundsIS!D58=0,"Yes",+F60-GASB34GovtFundsIS!D5)</f>
        <v>Yes</v>
      </c>
      <c r="G70" s="276"/>
      <c r="H70" s="276"/>
      <c r="I70" s="276"/>
      <c r="J70" s="276"/>
      <c r="K70" s="273" t="str">
        <f>IF(+K60-GASB34GovtFundsIS!E58=0,"Yes",+K60-GASB34GovtFundsIS!E5)</f>
        <v>Yes</v>
      </c>
      <c r="L70" s="276"/>
      <c r="M70" s="276"/>
    </row>
    <row r="71" spans="1:13" ht="15.75" x14ac:dyDescent="0.25">
      <c r="A71" s="276"/>
      <c r="B71" s="423"/>
      <c r="C71" s="423" t="s">
        <v>563</v>
      </c>
      <c r="D71" s="291" t="str">
        <f>IF(D57=0,"Yes",D57)</f>
        <v>Yes</v>
      </c>
      <c r="E71" s="291" t="str">
        <f>IF(E57=0,"Yes",E57)</f>
        <v>Yes</v>
      </c>
      <c r="F71" s="276"/>
      <c r="G71" s="276"/>
      <c r="H71" s="276"/>
      <c r="I71" s="291" t="str">
        <f>IF(I57=0,"Yes",I57)</f>
        <v>Yes</v>
      </c>
      <c r="J71" s="291" t="str">
        <f>IF(J57=0,"Yes",J57)</f>
        <v>Yes</v>
      </c>
      <c r="K71" s="276"/>
      <c r="L71" s="276"/>
      <c r="M71" s="276"/>
    </row>
  </sheetData>
  <mergeCells count="10">
    <mergeCell ref="A2:L2"/>
    <mergeCell ref="A3:L3"/>
    <mergeCell ref="A4:L4"/>
    <mergeCell ref="A5:L5"/>
    <mergeCell ref="A68:C68"/>
    <mergeCell ref="D7:G7"/>
    <mergeCell ref="I7:L7"/>
    <mergeCell ref="D48:G48"/>
    <mergeCell ref="I48:L48"/>
    <mergeCell ref="C62:F62"/>
  </mergeCells>
  <conditionalFormatting sqref="K69:K70">
    <cfRule type="cellIs" dxfId="15" priority="3" operator="notEqual">
      <formula>"Yes"</formula>
    </cfRule>
  </conditionalFormatting>
  <conditionalFormatting sqref="F69:F70 K69:K70">
    <cfRule type="cellIs" dxfId="14" priority="2" operator="notEqual">
      <formula>"Yes"</formula>
    </cfRule>
  </conditionalFormatting>
  <conditionalFormatting sqref="D71:E71 I71:J71">
    <cfRule type="cellIs" dxfId="13" priority="1" operator="notEqual">
      <formula>"Yes"</formula>
    </cfRule>
  </conditionalFormatting>
  <printOptions horizontalCentered="1"/>
  <pageMargins left="0.5" right="0.5" top="0.5" bottom="0.5" header="0.5" footer="0.5"/>
  <pageSetup scale="76" fitToHeight="2" orientation="landscape" r:id="rId1"/>
  <rowBreaks count="1" manualBreakCount="1">
    <brk id="46"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CFF"/>
  </sheetPr>
  <dimension ref="A1:I64"/>
  <sheetViews>
    <sheetView showGridLines="0" topLeftCell="A50" zoomScaleNormal="100" workbookViewId="0">
      <selection activeCell="B12" sqref="B12"/>
    </sheetView>
  </sheetViews>
  <sheetFormatPr defaultRowHeight="12.75" x14ac:dyDescent="0.2"/>
  <cols>
    <col min="1" max="1" width="45.7109375" style="16" customWidth="1"/>
    <col min="2" max="4" width="15.7109375" style="16" customWidth="1"/>
    <col min="5" max="5" width="9.140625" style="16"/>
    <col min="6" max="6" width="11.7109375" style="16" customWidth="1"/>
    <col min="7" max="7" width="9.140625" style="16"/>
    <col min="8" max="8" width="12.7109375" style="16" customWidth="1"/>
    <col min="9" max="16384" width="9.140625" style="16"/>
  </cols>
  <sheetData>
    <row r="1" spans="1:8" x14ac:dyDescent="0.2">
      <c r="D1" s="49" t="s">
        <v>235</v>
      </c>
    </row>
    <row r="2" spans="1:8" x14ac:dyDescent="0.2">
      <c r="A2" s="472" t="s">
        <v>0</v>
      </c>
      <c r="B2" s="472"/>
      <c r="C2" s="472"/>
      <c r="D2" s="472"/>
    </row>
    <row r="3" spans="1:8" x14ac:dyDescent="0.2">
      <c r="A3" s="472" t="s">
        <v>57</v>
      </c>
      <c r="B3" s="472"/>
      <c r="C3" s="472"/>
      <c r="D3" s="472"/>
    </row>
    <row r="4" spans="1:8" x14ac:dyDescent="0.2">
      <c r="A4" s="472" t="s">
        <v>11</v>
      </c>
      <c r="B4" s="472"/>
      <c r="C4" s="472"/>
      <c r="D4" s="472"/>
    </row>
    <row r="5" spans="1:8" x14ac:dyDescent="0.2">
      <c r="A5" s="482" t="str">
        <f>GASB34GovtFundsBS!A5</f>
        <v>June 30, 2021</v>
      </c>
      <c r="B5" s="483"/>
      <c r="C5" s="483"/>
      <c r="D5" s="483"/>
    </row>
    <row r="7" spans="1:8" ht="15" x14ac:dyDescent="0.35">
      <c r="B7" s="462" t="s">
        <v>12</v>
      </c>
      <c r="C7" s="462"/>
      <c r="D7" s="462"/>
    </row>
    <row r="8" spans="1:8" ht="15" x14ac:dyDescent="0.35">
      <c r="B8" s="202" t="s">
        <v>13</v>
      </c>
      <c r="C8" s="202" t="s">
        <v>14</v>
      </c>
      <c r="D8" s="204"/>
    </row>
    <row r="9" spans="1:8" ht="30" x14ac:dyDescent="0.35">
      <c r="B9" s="196" t="s">
        <v>15</v>
      </c>
      <c r="C9" s="196" t="s">
        <v>16</v>
      </c>
      <c r="D9" s="196" t="s">
        <v>17</v>
      </c>
      <c r="F9" s="242" t="s">
        <v>536</v>
      </c>
      <c r="H9" s="242"/>
    </row>
    <row r="10" spans="1:8" x14ac:dyDescent="0.2">
      <c r="A10" s="20" t="s">
        <v>552</v>
      </c>
    </row>
    <row r="11" spans="1:8" x14ac:dyDescent="0.2">
      <c r="A11" s="375" t="s">
        <v>236</v>
      </c>
      <c r="B11" s="375"/>
      <c r="C11" s="375"/>
      <c r="D11" s="375"/>
    </row>
    <row r="12" spans="1:8" x14ac:dyDescent="0.2">
      <c r="A12" s="384" t="s">
        <v>61</v>
      </c>
      <c r="B12" s="381">
        <f>ROUND(320800-(48500)*0.2*0.7- (27219)*0.2*0.7-(0.2*0.7*1260*0.5)-(50000*0.2*0.7)-(30000*0.2*0.7)-(1400*0.5*0.7*0.2),0)</f>
        <v>298813</v>
      </c>
      <c r="C12" s="381">
        <f>ROUND(27644-(48500)*0.2*0.3-(27219)*0.2*0.3-(0.2*0.3*1260*0.5)-(50000*0.2*0.3)-(30000*0.2*0.3)-(1400*0.5*0.2*0.3),0)</f>
        <v>18221</v>
      </c>
      <c r="D12" s="381">
        <f>SUM(B12:C12)</f>
        <v>317034</v>
      </c>
      <c r="F12" s="220" t="str">
        <f>IF(D12-GWNetPos!C9=0,"Yes",D12-GWNetPos!C9)</f>
        <v>Yes</v>
      </c>
    </row>
    <row r="13" spans="1:8" x14ac:dyDescent="0.2">
      <c r="A13" s="384" t="s">
        <v>62</v>
      </c>
      <c r="B13" s="373">
        <v>142900</v>
      </c>
      <c r="C13" s="373">
        <v>814</v>
      </c>
      <c r="D13" s="373">
        <f>SUM(B13:C13)</f>
        <v>143714</v>
      </c>
      <c r="E13" s="68"/>
      <c r="F13" s="220" t="str">
        <f>IF(D13-GWNetPos!C10=0,"Yes",D13-GWNetPos!C10)</f>
        <v>Yes</v>
      </c>
    </row>
    <row r="14" spans="1:8" x14ac:dyDescent="0.2">
      <c r="A14" s="384" t="str">
        <f>GWNetPos!A11</f>
        <v>Receivables, net of allowance for doubtful accounts</v>
      </c>
      <c r="B14" s="373">
        <v>0</v>
      </c>
      <c r="C14" s="373">
        <v>4500</v>
      </c>
      <c r="D14" s="373">
        <f>SUM(B14:C14)</f>
        <v>4500</v>
      </c>
      <c r="E14" s="68"/>
      <c r="F14" s="220" t="str">
        <f>IF(D14-GWNetPos!C11=0,"Yes",D14-GWNetPos!C11)</f>
        <v>Yes</v>
      </c>
      <c r="G14" s="56">
        <f>SUM(D13:D16)</f>
        <v>190943</v>
      </c>
    </row>
    <row r="15" spans="1:8" x14ac:dyDescent="0.2">
      <c r="A15" s="384" t="str">
        <f>GWNetPos!A12</f>
        <v>Net other post employment benefits asset</v>
      </c>
      <c r="B15" s="373">
        <f>ROUND(GWNetPos!C12*0.7,0)</f>
        <v>48</v>
      </c>
      <c r="C15" s="373">
        <f>ROUND(GWNetPos!C12*0.3,0)</f>
        <v>21</v>
      </c>
      <c r="D15" s="373">
        <f>SUM(B15:C15)</f>
        <v>69</v>
      </c>
      <c r="E15" s="68"/>
      <c r="F15" s="220" t="str">
        <f>IF(D15-GWNetPos!C12=0,"Yes",D15-GWNetPos!C12)</f>
        <v>Yes</v>
      </c>
    </row>
    <row r="16" spans="1:8" ht="15" x14ac:dyDescent="0.2">
      <c r="A16" s="384" t="s">
        <v>66</v>
      </c>
      <c r="B16" s="374">
        <v>42660</v>
      </c>
      <c r="C16" s="374">
        <v>0</v>
      </c>
      <c r="D16" s="374">
        <f>SUM(B16:C16)</f>
        <v>42660</v>
      </c>
      <c r="E16" s="68"/>
      <c r="F16" s="220" t="str">
        <f>IF(D16-GWNetPos!C14=0,"Yes",D16-GWNetPos!C14)</f>
        <v>Yes</v>
      </c>
    </row>
    <row r="17" spans="1:9" ht="15" x14ac:dyDescent="0.2">
      <c r="A17" s="384" t="s">
        <v>238</v>
      </c>
      <c r="B17" s="374">
        <f>SUM(B12:B16)</f>
        <v>484421</v>
      </c>
      <c r="C17" s="374">
        <f>SUM(C12:C16)</f>
        <v>23556</v>
      </c>
      <c r="D17" s="374">
        <f>SUM(D12:D16)</f>
        <v>507977</v>
      </c>
    </row>
    <row r="18" spans="1:9" ht="5.0999999999999996" customHeight="1" x14ac:dyDescent="0.2">
      <c r="A18" s="375"/>
      <c r="B18" s="373"/>
      <c r="C18" s="373"/>
      <c r="D18" s="373"/>
    </row>
    <row r="19" spans="1:9" x14ac:dyDescent="0.2">
      <c r="A19" s="76" t="s">
        <v>239</v>
      </c>
      <c r="B19" s="378"/>
      <c r="C19" s="378"/>
      <c r="D19" s="378"/>
    </row>
    <row r="20" spans="1:9" x14ac:dyDescent="0.2">
      <c r="A20" s="383" t="s">
        <v>240</v>
      </c>
      <c r="B20" s="378"/>
      <c r="C20" s="378"/>
      <c r="D20" s="378"/>
      <c r="E20" s="21"/>
    </row>
    <row r="21" spans="1:9" x14ac:dyDescent="0.2">
      <c r="A21" s="384" t="s">
        <v>241</v>
      </c>
      <c r="B21" s="378">
        <v>42825</v>
      </c>
      <c r="C21" s="378">
        <v>0</v>
      </c>
      <c r="D21" s="378">
        <f>SUM(B21:C21)</f>
        <v>42825</v>
      </c>
      <c r="E21" s="68"/>
    </row>
    <row r="22" spans="1:9" ht="15" x14ac:dyDescent="0.2">
      <c r="A22" s="384" t="s">
        <v>242</v>
      </c>
      <c r="B22" s="374">
        <v>5515</v>
      </c>
      <c r="C22" s="374">
        <v>830</v>
      </c>
      <c r="D22" s="374">
        <f>SUM(B22:C22)</f>
        <v>6345</v>
      </c>
      <c r="E22" s="68"/>
    </row>
    <row r="23" spans="1:9" ht="15.6" customHeight="1" x14ac:dyDescent="0.2">
      <c r="A23" s="383" t="s">
        <v>243</v>
      </c>
      <c r="B23" s="374">
        <f>SUM(B21:B22)</f>
        <v>48340</v>
      </c>
      <c r="C23" s="374">
        <f>SUM(C21:C22)</f>
        <v>830</v>
      </c>
      <c r="D23" s="374">
        <f>SUM(D21:D22)</f>
        <v>49170</v>
      </c>
      <c r="E23" s="68"/>
      <c r="F23" s="220" t="str">
        <f>IF(D23-GWNetPos!C19=0,"Yes",D23-GWNetPos!C19)</f>
        <v>Yes</v>
      </c>
    </row>
    <row r="24" spans="1:9" ht="15" x14ac:dyDescent="0.2">
      <c r="A24" s="393" t="s">
        <v>71</v>
      </c>
      <c r="B24" s="374">
        <f>B17+B23</f>
        <v>532761</v>
      </c>
      <c r="C24" s="374">
        <f>C17+C23</f>
        <v>24386</v>
      </c>
      <c r="D24" s="374">
        <f>SUM(B24:C24)</f>
        <v>557147</v>
      </c>
      <c r="F24" s="290">
        <f>IF(ROUND(D24,0)-ROUND(GWNetPos!C20,0)=0,"Yes",D24-GWNetPos!C20)</f>
        <v>7700</v>
      </c>
      <c r="G24" s="289" t="str">
        <f>IF(F24-GWNetPos!C13,"= Internal Balance"," ")</f>
        <v>= Internal Balance</v>
      </c>
      <c r="I24" s="57"/>
    </row>
    <row r="25" spans="1:9" ht="5.0999999999999996" customHeight="1" x14ac:dyDescent="0.2">
      <c r="A25" s="379"/>
      <c r="B25" s="425"/>
      <c r="C25" s="425"/>
      <c r="D25" s="425"/>
    </row>
    <row r="26" spans="1:9" hidden="1" x14ac:dyDescent="0.2">
      <c r="A26" s="375" t="s">
        <v>639</v>
      </c>
      <c r="B26" s="378">
        <f>ROUND(GWNetPos!C22*0.7,0)</f>
        <v>30808</v>
      </c>
      <c r="C26" s="378">
        <f>ROUND(GWNetPos!C22*0.3,0)</f>
        <v>13203</v>
      </c>
      <c r="D26" s="378">
        <f>SUM(B26:C26)</f>
        <v>44011</v>
      </c>
    </row>
    <row r="27" spans="1:9" hidden="1" x14ac:dyDescent="0.2">
      <c r="A27" s="375" t="str">
        <f>GWNetPos!A23</f>
        <v>Deferred outflows of resources - retire health benefits</v>
      </c>
      <c r="B27" s="378">
        <f>ROUND(GWNetPos!C23*0.7,0)</f>
        <v>12285</v>
      </c>
      <c r="C27" s="378">
        <f>ROUND(GWNetPos!C23*0.3,0)</f>
        <v>5265</v>
      </c>
      <c r="D27" s="378">
        <f>SUM(B27:C27)</f>
        <v>17550</v>
      </c>
    </row>
    <row r="28" spans="1:9" hidden="1" x14ac:dyDescent="0.2">
      <c r="A28" s="375" t="str">
        <f>GWNetPos!A24</f>
        <v>Deferred outflows of resources - deferred income plan</v>
      </c>
      <c r="B28" s="378">
        <f>ROUND(GWNetPos!C24*0.7,0)</f>
        <v>293</v>
      </c>
      <c r="C28" s="378">
        <f>ROUND(GWNetPos!C24*0.3,0)</f>
        <v>125</v>
      </c>
      <c r="D28" s="378">
        <f>SUM(B28:C28)</f>
        <v>418</v>
      </c>
    </row>
    <row r="29" spans="1:9" ht="15" x14ac:dyDescent="0.2">
      <c r="A29" s="372" t="s">
        <v>496</v>
      </c>
      <c r="B29" s="426">
        <f>SUM(B26:B28)</f>
        <v>43386</v>
      </c>
      <c r="C29" s="426">
        <f>SUM(C26:C28)</f>
        <v>18593</v>
      </c>
      <c r="D29" s="426">
        <f>SUM(D26:D28)</f>
        <v>61979</v>
      </c>
      <c r="F29" s="220" t="str">
        <f>IF(D29-GWNetPos!C25=0,"Yes",D29-GWNetPos!C25)</f>
        <v>Yes</v>
      </c>
    </row>
    <row r="30" spans="1:9" ht="5.0999999999999996" customHeight="1" x14ac:dyDescent="0.2">
      <c r="A30" s="375"/>
      <c r="B30" s="373"/>
      <c r="C30" s="373"/>
      <c r="D30" s="373"/>
    </row>
    <row r="31" spans="1:9" x14ac:dyDescent="0.2">
      <c r="A31" s="372" t="s">
        <v>553</v>
      </c>
      <c r="B31" s="373"/>
      <c r="C31" s="373"/>
      <c r="D31" s="373"/>
    </row>
    <row r="32" spans="1:9" x14ac:dyDescent="0.2">
      <c r="A32" s="377" t="s">
        <v>244</v>
      </c>
      <c r="B32" s="373"/>
      <c r="C32" s="373"/>
      <c r="D32" s="373"/>
    </row>
    <row r="33" spans="1:9" x14ac:dyDescent="0.2">
      <c r="A33" s="384" t="s">
        <v>72</v>
      </c>
      <c r="B33" s="373">
        <v>3000</v>
      </c>
      <c r="C33" s="373">
        <v>2200</v>
      </c>
      <c r="D33" s="427">
        <f>SUM(B33:C33)</f>
        <v>5200</v>
      </c>
      <c r="E33" s="68"/>
    </row>
    <row r="34" spans="1:9" ht="15.6" customHeight="1" x14ac:dyDescent="0.2">
      <c r="A34" s="383" t="s">
        <v>246</v>
      </c>
      <c r="B34" s="374">
        <v>7700</v>
      </c>
      <c r="C34" s="374">
        <v>0</v>
      </c>
      <c r="D34" s="428">
        <f>SUM(B34:C34)</f>
        <v>7700</v>
      </c>
      <c r="E34" s="68"/>
    </row>
    <row r="35" spans="1:9" ht="15" x14ac:dyDescent="0.2">
      <c r="A35" s="384" t="s">
        <v>247</v>
      </c>
      <c r="B35" s="374">
        <f>SUM(B33:B34)</f>
        <v>10700</v>
      </c>
      <c r="C35" s="374">
        <f>SUM(C33:C34)</f>
        <v>2200</v>
      </c>
      <c r="D35" s="374">
        <f>SUM(D33:D34)</f>
        <v>12900</v>
      </c>
      <c r="E35" s="68"/>
    </row>
    <row r="36" spans="1:9" ht="5.0999999999999996" customHeight="1" x14ac:dyDescent="0.2">
      <c r="A36" s="377"/>
      <c r="B36" s="378"/>
      <c r="C36" s="378"/>
      <c r="D36" s="378"/>
    </row>
    <row r="37" spans="1:9" x14ac:dyDescent="0.2">
      <c r="A37" s="375" t="s">
        <v>248</v>
      </c>
      <c r="B37" s="378"/>
      <c r="C37" s="378"/>
      <c r="D37" s="378"/>
    </row>
    <row r="38" spans="1:9" x14ac:dyDescent="0.2">
      <c r="A38" s="384" t="s">
        <v>77</v>
      </c>
      <c r="B38" s="378">
        <f>ROUND(0.7*GWNetPos!C33,0)</f>
        <v>57009</v>
      </c>
      <c r="C38" s="378">
        <f>ROUND(0.3*GWNetPos!C33,0)</f>
        <v>24432</v>
      </c>
      <c r="D38" s="378">
        <f>SUM(B38:C38)</f>
        <v>81441</v>
      </c>
      <c r="E38" s="68"/>
    </row>
    <row r="39" spans="1:9" x14ac:dyDescent="0.2">
      <c r="A39" s="384" t="str">
        <f>GWNetPos!A34</f>
        <v>Net other post employment benefits liability</v>
      </c>
      <c r="B39" s="378">
        <f>ROUND(GWNetPos!C34*0.7,0)</f>
        <v>153075</v>
      </c>
      <c r="C39" s="378">
        <f>ROUND(GWNetPos!C34*0.3,0)</f>
        <v>65603</v>
      </c>
      <c r="D39" s="378">
        <f>SUM(B39:C39)</f>
        <v>218678</v>
      </c>
      <c r="E39" s="68"/>
    </row>
    <row r="40" spans="1:9" ht="15" x14ac:dyDescent="0.2">
      <c r="A40" s="384" t="s">
        <v>210</v>
      </c>
      <c r="B40" s="374">
        <v>5000</v>
      </c>
      <c r="C40" s="374">
        <v>8016</v>
      </c>
      <c r="D40" s="428">
        <f>SUM(B40:C40)</f>
        <v>13016</v>
      </c>
      <c r="E40" s="68"/>
    </row>
    <row r="41" spans="1:9" ht="15" x14ac:dyDescent="0.2">
      <c r="A41" s="384" t="s">
        <v>249</v>
      </c>
      <c r="B41" s="374">
        <f>SUM(B38:B40)</f>
        <v>215084</v>
      </c>
      <c r="C41" s="374">
        <f>SUM(C38:C40)</f>
        <v>98051</v>
      </c>
      <c r="D41" s="374">
        <f>SUM(D38:D40)</f>
        <v>313135</v>
      </c>
      <c r="E41" s="68"/>
    </row>
    <row r="42" spans="1:9" ht="15" x14ac:dyDescent="0.2">
      <c r="A42" s="385" t="s">
        <v>79</v>
      </c>
      <c r="B42" s="374">
        <f>B41+B35</f>
        <v>225784</v>
      </c>
      <c r="C42" s="374">
        <f>C41+C35</f>
        <v>100251</v>
      </c>
      <c r="D42" s="374">
        <f>D41+D35</f>
        <v>326035</v>
      </c>
      <c r="F42" s="290">
        <f>IF(D42-GWNetPos!C36=0,"Yes",D42-GWNetPos!C36)</f>
        <v>7700</v>
      </c>
      <c r="G42" s="289" t="str">
        <f>IF(F42-GWNetPos!C13,"= Internal Balance"," ")</f>
        <v>= Internal Balance</v>
      </c>
      <c r="I42" s="56"/>
    </row>
    <row r="43" spans="1:9" ht="5.0999999999999996" customHeight="1" x14ac:dyDescent="0.2">
      <c r="A43" s="377"/>
      <c r="B43" s="378"/>
      <c r="C43" s="378"/>
      <c r="D43" s="378"/>
    </row>
    <row r="44" spans="1:9" hidden="1" x14ac:dyDescent="0.2">
      <c r="A44" s="375" t="s">
        <v>498</v>
      </c>
      <c r="B44" s="378">
        <f>ROUND(GWNetPos!C39*0.7,0)</f>
        <v>3227</v>
      </c>
      <c r="C44" s="378">
        <f>ROUND(GWNetPos!C39*0.3,0)</f>
        <v>1383</v>
      </c>
      <c r="D44" s="378">
        <f>SUM(B44:C44)</f>
        <v>4610</v>
      </c>
    </row>
    <row r="45" spans="1:9" hidden="1" x14ac:dyDescent="0.2">
      <c r="A45" s="375" t="str">
        <f>GWNetPos!A40</f>
        <v>Deferred inflows of resources - retire health benefits</v>
      </c>
      <c r="B45" s="378">
        <f>ROUND(GWNetPos!C40*0.7,0)</f>
        <v>77440</v>
      </c>
      <c r="C45" s="378">
        <f>ROUND(GWNetPos!C40*0.3,0)</f>
        <v>33189</v>
      </c>
      <c r="D45" s="378">
        <f>SUM(B45:C45)</f>
        <v>110629</v>
      </c>
    </row>
    <row r="46" spans="1:9" hidden="1" x14ac:dyDescent="0.2">
      <c r="A46" s="375" t="str">
        <f>GWNetPos!A41</f>
        <v>Deferred inflows of resources - deferred income plan</v>
      </c>
      <c r="B46" s="378">
        <v>0</v>
      </c>
      <c r="C46" s="378">
        <v>0</v>
      </c>
      <c r="D46" s="378">
        <v>0</v>
      </c>
    </row>
    <row r="47" spans="1:9" ht="15" x14ac:dyDescent="0.2">
      <c r="A47" s="372" t="s">
        <v>499</v>
      </c>
      <c r="B47" s="428">
        <f>SUM(B44:B46)</f>
        <v>80667</v>
      </c>
      <c r="C47" s="428">
        <f>SUM(C44:C46)</f>
        <v>34572</v>
      </c>
      <c r="D47" s="428">
        <f>SUM(D44:D46)</f>
        <v>115239</v>
      </c>
      <c r="F47" s="220" t="str">
        <f>IF(D47-GWNetPos!C42=0,"Yes",D47-GWNetPos!C42)</f>
        <v>Yes</v>
      </c>
    </row>
    <row r="48" spans="1:9" ht="5.0999999999999996" customHeight="1" x14ac:dyDescent="0.2">
      <c r="A48" s="372"/>
      <c r="B48" s="373"/>
      <c r="C48" s="373"/>
      <c r="D48" s="373"/>
    </row>
    <row r="49" spans="1:6" x14ac:dyDescent="0.2">
      <c r="A49" s="372" t="s">
        <v>561</v>
      </c>
      <c r="B49" s="373"/>
      <c r="C49" s="373"/>
      <c r="D49" s="373"/>
    </row>
    <row r="50" spans="1:6" x14ac:dyDescent="0.2">
      <c r="A50" s="383" t="s">
        <v>80</v>
      </c>
      <c r="B50" s="373">
        <f>48340</f>
        <v>48340</v>
      </c>
      <c r="C50" s="373">
        <v>830</v>
      </c>
      <c r="D50" s="373">
        <f>SUM(B50:C50)</f>
        <v>49170</v>
      </c>
      <c r="F50" s="220" t="str">
        <f>IF(D50-GWNetPos!C45=0,"Yes",D50-GWNetPos!C45)</f>
        <v>Yes</v>
      </c>
    </row>
    <row r="51" spans="1:6" x14ac:dyDescent="0.2">
      <c r="A51" s="383" t="s">
        <v>501</v>
      </c>
      <c r="B51" s="373">
        <f>ROUND(GWNetPos!C50*0.7,0)</f>
        <v>341</v>
      </c>
      <c r="C51" s="373">
        <f>ROUND(GWNetPos!C50*0.3,0)</f>
        <v>146</v>
      </c>
      <c r="D51" s="373">
        <f>SUM(B51:C51)</f>
        <v>487</v>
      </c>
      <c r="F51" s="220" t="str">
        <f>IF(D51-GWNetPos!C50=0,"Yes",D51-GWNetPos!C50)</f>
        <v>Yes</v>
      </c>
    </row>
    <row r="52" spans="1:6" ht="15.6" customHeight="1" x14ac:dyDescent="0.2">
      <c r="A52" s="383" t="s">
        <v>250</v>
      </c>
      <c r="B52" s="374">
        <v>221015</v>
      </c>
      <c r="C52" s="374">
        <v>-92820</v>
      </c>
      <c r="D52" s="374">
        <f>SUM(B52:C52)</f>
        <v>128195</v>
      </c>
      <c r="F52" s="220" t="str">
        <f>IF(ROUND(D52,0)-ROUND(GWNetPos!C51,0)=0,"Yes",D52-GWNetPos!C51)</f>
        <v>Yes</v>
      </c>
    </row>
    <row r="53" spans="1:6" ht="15" x14ac:dyDescent="0.2">
      <c r="A53" s="393" t="s">
        <v>83</v>
      </c>
      <c r="B53" s="380">
        <f>SUM(B50:B52)</f>
        <v>269696</v>
      </c>
      <c r="C53" s="380">
        <f>SUM(C50:C52)</f>
        <v>-91844</v>
      </c>
      <c r="D53" s="380">
        <f>SUM(D50:D52)</f>
        <v>177852</v>
      </c>
    </row>
    <row r="54" spans="1:6" x14ac:dyDescent="0.2">
      <c r="A54" s="76"/>
      <c r="B54" s="375"/>
      <c r="C54" s="375"/>
      <c r="D54" s="389"/>
    </row>
    <row r="56" spans="1:6" x14ac:dyDescent="0.2">
      <c r="A56" s="16" t="s">
        <v>84</v>
      </c>
    </row>
    <row r="58" spans="1:6" x14ac:dyDescent="0.2">
      <c r="B58" s="57"/>
      <c r="C58" s="57"/>
      <c r="D58" s="57"/>
    </row>
    <row r="60" spans="1:6" ht="20.25" x14ac:dyDescent="0.55000000000000004">
      <c r="A60" s="280" t="s">
        <v>513</v>
      </c>
      <c r="B60" s="221"/>
    </row>
    <row r="61" spans="1:6" ht="31.5" x14ac:dyDescent="0.2">
      <c r="A61" s="230" t="s">
        <v>514</v>
      </c>
      <c r="B61" s="225" t="str">
        <f>IF(+B24+B29-B42-B47-B53=0,"Yes",B24+B29-B42-B47-B53)</f>
        <v>Yes</v>
      </c>
      <c r="C61" s="225" t="str">
        <f>IF(+C24+C29-C42-C47-C53=0,"Yes",C24+C29-C42-C47-C53)</f>
        <v>Yes</v>
      </c>
      <c r="D61" s="225" t="str">
        <f>IF(+D24+D29-D42-D47-D53=0,"Yes",D24+D29-D42-D47-D53)</f>
        <v>Yes</v>
      </c>
    </row>
    <row r="62" spans="1:6" ht="15.75" x14ac:dyDescent="0.25">
      <c r="A62" s="277" t="s">
        <v>550</v>
      </c>
      <c r="B62" s="276"/>
      <c r="C62" s="276"/>
      <c r="D62" s="288" t="str">
        <f>IF(D53-GWNetPos!C52=0,"Yes",D53-GWNetPos!C52)</f>
        <v>Yes</v>
      </c>
    </row>
    <row r="63" spans="1:6" ht="15.75" x14ac:dyDescent="0.25">
      <c r="A63" s="277" t="s">
        <v>633</v>
      </c>
      <c r="B63" s="276"/>
      <c r="C63" s="276"/>
      <c r="D63" s="288" t="str">
        <f>IF(D53-'MD&amp;A Tables'!D23=0,"Yes",D53-'MD&amp;A Tables'!D23)</f>
        <v>Yes</v>
      </c>
    </row>
    <row r="64" spans="1:6" ht="15.75" x14ac:dyDescent="0.25">
      <c r="A64" s="276"/>
      <c r="B64" s="276"/>
      <c r="C64" s="276"/>
      <c r="D64" s="276"/>
    </row>
  </sheetData>
  <mergeCells count="5">
    <mergeCell ref="A2:D2"/>
    <mergeCell ref="A3:D3"/>
    <mergeCell ref="A4:D4"/>
    <mergeCell ref="A5:D5"/>
    <mergeCell ref="B7:D7"/>
  </mergeCells>
  <conditionalFormatting sqref="B61:D61 F12:F16 F23:F24 F29 F42 F47 F50:F51">
    <cfRule type="cellIs" dxfId="12" priority="3" operator="notEqual">
      <formula>"Yes"</formula>
    </cfRule>
  </conditionalFormatting>
  <conditionalFormatting sqref="D62">
    <cfRule type="cellIs" dxfId="11" priority="2" operator="notEqual">
      <formula>"Yes"</formula>
    </cfRule>
  </conditionalFormatting>
  <conditionalFormatting sqref="D63">
    <cfRule type="cellIs" dxfId="10" priority="1" operator="notEqual">
      <formula>"Yes"</formula>
    </cfRule>
  </conditionalFormatting>
  <printOptions horizontalCentered="1"/>
  <pageMargins left="0.5" right="0.5" top="0.5" bottom="0.5" header="0.3" footer="0.3"/>
  <pageSetup scale="9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CFF"/>
  </sheetPr>
  <dimension ref="A1:I59"/>
  <sheetViews>
    <sheetView showGridLines="0" zoomScaleNormal="100" workbookViewId="0"/>
  </sheetViews>
  <sheetFormatPr defaultRowHeight="12.75" x14ac:dyDescent="0.2"/>
  <cols>
    <col min="1" max="1" width="45.7109375" style="16" customWidth="1"/>
    <col min="2" max="5" width="15.7109375" style="16" customWidth="1"/>
    <col min="6" max="6" width="9.5703125" style="16" bestFit="1" customWidth="1"/>
    <col min="7" max="7" width="9.140625" style="16"/>
    <col min="8" max="8" width="9.5703125" style="16" bestFit="1" customWidth="1"/>
    <col min="9" max="16384" width="9.140625" style="16"/>
  </cols>
  <sheetData>
    <row r="1" spans="1:6" x14ac:dyDescent="0.2">
      <c r="D1" s="49" t="s">
        <v>251</v>
      </c>
    </row>
    <row r="2" spans="1:6" x14ac:dyDescent="0.2">
      <c r="A2" s="472" t="s">
        <v>0</v>
      </c>
      <c r="B2" s="472"/>
      <c r="C2" s="472"/>
      <c r="D2" s="472"/>
      <c r="E2" s="367"/>
    </row>
    <row r="3" spans="1:6" x14ac:dyDescent="0.2">
      <c r="A3" s="472" t="s">
        <v>252</v>
      </c>
      <c r="B3" s="472"/>
      <c r="C3" s="472"/>
      <c r="D3" s="472"/>
      <c r="E3" s="367"/>
    </row>
    <row r="4" spans="1:6" x14ac:dyDescent="0.2">
      <c r="A4" s="472" t="s">
        <v>11</v>
      </c>
      <c r="B4" s="472"/>
      <c r="C4" s="472"/>
      <c r="D4" s="472"/>
      <c r="E4" s="367"/>
    </row>
    <row r="5" spans="1:6" x14ac:dyDescent="0.2">
      <c r="A5" s="496" t="str">
        <f>GASB34GovtFundsBudget!A5</f>
        <v>For the Year Ended June 30, 2021</v>
      </c>
      <c r="B5" s="496"/>
      <c r="C5" s="496"/>
      <c r="D5" s="496"/>
      <c r="E5" s="367"/>
    </row>
    <row r="6" spans="1:6" x14ac:dyDescent="0.2">
      <c r="A6" s="16" t="s">
        <v>151</v>
      </c>
      <c r="E6" s="21"/>
    </row>
    <row r="7" spans="1:6" ht="15" x14ac:dyDescent="0.35">
      <c r="B7" s="462" t="s">
        <v>12</v>
      </c>
      <c r="C7" s="462"/>
      <c r="D7" s="462"/>
      <c r="E7" s="21"/>
    </row>
    <row r="8" spans="1:6" ht="15" x14ac:dyDescent="0.35">
      <c r="B8" s="202" t="s">
        <v>13</v>
      </c>
      <c r="C8" s="202" t="s">
        <v>14</v>
      </c>
      <c r="D8" s="204"/>
      <c r="E8" s="21"/>
    </row>
    <row r="9" spans="1:6" ht="30" x14ac:dyDescent="0.35">
      <c r="B9" s="368" t="s">
        <v>15</v>
      </c>
      <c r="C9" s="196" t="s">
        <v>16</v>
      </c>
      <c r="D9" s="196" t="s">
        <v>17</v>
      </c>
      <c r="E9" s="80"/>
    </row>
    <row r="10" spans="1:6" x14ac:dyDescent="0.2">
      <c r="A10" s="372" t="s">
        <v>564</v>
      </c>
      <c r="B10" s="375"/>
      <c r="C10" s="375"/>
      <c r="D10" s="375"/>
      <c r="E10" s="21"/>
    </row>
    <row r="11" spans="1:6" x14ac:dyDescent="0.2">
      <c r="A11" s="384" t="s">
        <v>253</v>
      </c>
      <c r="B11" s="376">
        <f>406290</f>
        <v>406290</v>
      </c>
      <c r="C11" s="376">
        <v>0</v>
      </c>
      <c r="D11" s="376">
        <f>SUM(B11:C11)</f>
        <v>406290</v>
      </c>
      <c r="E11" s="81"/>
      <c r="F11" s="57"/>
    </row>
    <row r="12" spans="1:6" ht="15" x14ac:dyDescent="0.2">
      <c r="A12" s="384" t="s">
        <v>254</v>
      </c>
      <c r="B12" s="374">
        <v>0</v>
      </c>
      <c r="C12" s="374">
        <f>147002</f>
        <v>147002</v>
      </c>
      <c r="D12" s="374">
        <f>SUM(B12:C12)</f>
        <v>147002</v>
      </c>
      <c r="E12" s="55"/>
      <c r="F12" s="57"/>
    </row>
    <row r="13" spans="1:6" ht="15" x14ac:dyDescent="0.2">
      <c r="A13" s="377" t="s">
        <v>255</v>
      </c>
      <c r="B13" s="374">
        <f>SUM(B11:B12)</f>
        <v>406290</v>
      </c>
      <c r="C13" s="374">
        <f>SUM(C11:C12)</f>
        <v>147002</v>
      </c>
      <c r="D13" s="374">
        <f>SUM(D11:D12)</f>
        <v>553292</v>
      </c>
      <c r="E13" s="55"/>
      <c r="F13" s="57"/>
    </row>
    <row r="14" spans="1:6" ht="5.0999999999999996" customHeight="1" x14ac:dyDescent="0.2">
      <c r="A14" s="377"/>
      <c r="B14" s="378"/>
      <c r="C14" s="378"/>
      <c r="D14" s="378"/>
      <c r="E14" s="55"/>
      <c r="F14" s="57"/>
    </row>
    <row r="15" spans="1:6" x14ac:dyDescent="0.2">
      <c r="A15" s="372" t="s">
        <v>565</v>
      </c>
      <c r="B15" s="373"/>
      <c r="C15" s="373"/>
      <c r="D15" s="373"/>
      <c r="E15" s="55"/>
      <c r="F15" s="57"/>
    </row>
    <row r="16" spans="1:6" x14ac:dyDescent="0.2">
      <c r="A16" s="384" t="s">
        <v>256</v>
      </c>
      <c r="B16" s="373"/>
      <c r="C16" s="373"/>
      <c r="D16" s="373"/>
      <c r="E16" s="55"/>
      <c r="F16" s="57"/>
    </row>
    <row r="17" spans="1:9" x14ac:dyDescent="0.2">
      <c r="A17" s="385" t="s">
        <v>257</v>
      </c>
      <c r="B17" s="373">
        <v>840290</v>
      </c>
      <c r="C17" s="373">
        <v>0</v>
      </c>
      <c r="D17" s="373">
        <f>SUM(B17:C17)</f>
        <v>840290</v>
      </c>
      <c r="E17" s="55"/>
      <c r="F17" s="57"/>
    </row>
    <row r="18" spans="1:9" x14ac:dyDescent="0.2">
      <c r="A18" s="385" t="s">
        <v>258</v>
      </c>
      <c r="B18" s="373">
        <v>19641</v>
      </c>
      <c r="C18" s="373">
        <v>0</v>
      </c>
      <c r="D18" s="373">
        <f t="shared" ref="D18:D25" si="0">SUM(B18:C18)</f>
        <v>19641</v>
      </c>
      <c r="E18" s="55"/>
      <c r="F18" s="57"/>
    </row>
    <row r="19" spans="1:9" x14ac:dyDescent="0.2">
      <c r="A19" s="384" t="s">
        <v>259</v>
      </c>
      <c r="B19" s="373">
        <f>ROUND(78000+(75513)*0.2*0.7+(58537*0.2*0.7)+(1043*0.2*0.7*0.5)+(94314*0.2*0.7)-(12699*0.2*0.7)+(547*0.2*0.7*0.5)+14,0)</f>
        <v>108318</v>
      </c>
      <c r="C19" s="373">
        <f>ROUND(129070+(75513)*0.3*0.2+(58537*0.3*0.2)+(1043*0.3*0.2*0.5)+(94314*0.3*0.2)-(12699*0.3*0.2)+(547*0.5*0.3*0.2)+6,0)</f>
        <v>142064</v>
      </c>
      <c r="D19" s="373">
        <f t="shared" si="0"/>
        <v>250382</v>
      </c>
      <c r="E19" s="55"/>
      <c r="F19" s="57"/>
    </row>
    <row r="20" spans="1:9" x14ac:dyDescent="0.2">
      <c r="A20" s="384" t="s">
        <v>260</v>
      </c>
      <c r="B20" s="373">
        <v>58000</v>
      </c>
      <c r="C20" s="373">
        <v>0</v>
      </c>
      <c r="D20" s="373">
        <f t="shared" si="0"/>
        <v>58000</v>
      </c>
      <c r="E20" s="55"/>
      <c r="F20" s="57"/>
    </row>
    <row r="21" spans="1:9" x14ac:dyDescent="0.2">
      <c r="A21" s="384" t="s">
        <v>261</v>
      </c>
      <c r="B21" s="373">
        <v>6557</v>
      </c>
      <c r="C21" s="373">
        <v>12408</v>
      </c>
      <c r="D21" s="373">
        <f t="shared" si="0"/>
        <v>18965</v>
      </c>
      <c r="E21" s="55"/>
      <c r="F21" s="57"/>
    </row>
    <row r="22" spans="1:9" x14ac:dyDescent="0.2">
      <c r="A22" s="384" t="s">
        <v>262</v>
      </c>
      <c r="B22" s="373">
        <v>1886</v>
      </c>
      <c r="C22" s="373">
        <v>0</v>
      </c>
      <c r="D22" s="373">
        <f t="shared" si="0"/>
        <v>1886</v>
      </c>
      <c r="E22" s="55"/>
      <c r="F22" s="57"/>
      <c r="G22" s="57"/>
    </row>
    <row r="23" spans="1:9" x14ac:dyDescent="0.2">
      <c r="A23" s="384" t="s">
        <v>32</v>
      </c>
      <c r="B23" s="378">
        <v>7765</v>
      </c>
      <c r="C23" s="378">
        <v>300</v>
      </c>
      <c r="D23" s="373">
        <f t="shared" si="0"/>
        <v>8065</v>
      </c>
      <c r="E23" s="55"/>
      <c r="F23" s="57"/>
    </row>
    <row r="24" spans="1:9" x14ac:dyDescent="0.2">
      <c r="A24" s="384" t="s">
        <v>263</v>
      </c>
      <c r="B24" s="378">
        <f>7600-321</f>
        <v>7279</v>
      </c>
      <c r="C24" s="378">
        <f>2186+325</f>
        <v>2511</v>
      </c>
      <c r="D24" s="373">
        <f t="shared" si="0"/>
        <v>9790</v>
      </c>
      <c r="E24" s="55"/>
      <c r="F24" s="57"/>
      <c r="H24" s="56"/>
    </row>
    <row r="25" spans="1:9" ht="15" x14ac:dyDescent="0.2">
      <c r="A25" s="384" t="s">
        <v>172</v>
      </c>
      <c r="B25" s="374">
        <v>7000</v>
      </c>
      <c r="C25" s="374">
        <v>0</v>
      </c>
      <c r="D25" s="374">
        <f t="shared" si="0"/>
        <v>7000</v>
      </c>
      <c r="E25" s="55"/>
      <c r="F25" s="57"/>
      <c r="H25" s="56"/>
      <c r="I25" s="56"/>
    </row>
    <row r="26" spans="1:9" ht="15" x14ac:dyDescent="0.2">
      <c r="A26" s="377" t="s">
        <v>659</v>
      </c>
      <c r="B26" s="374">
        <f>SUM(B17:B25)</f>
        <v>1056736</v>
      </c>
      <c r="C26" s="374">
        <f>SUM(C17:C25)</f>
        <v>157283</v>
      </c>
      <c r="D26" s="374">
        <f>SUM(D17:D25)</f>
        <v>1214019</v>
      </c>
      <c r="E26" s="55"/>
      <c r="F26" s="57"/>
      <c r="G26" s="56"/>
    </row>
    <row r="27" spans="1:9" ht="18" customHeight="1" x14ac:dyDescent="0.2">
      <c r="A27" s="429" t="s">
        <v>264</v>
      </c>
      <c r="B27" s="404">
        <f>B13-B26</f>
        <v>-650446</v>
      </c>
      <c r="C27" s="404">
        <f>C13-C26</f>
        <v>-10281</v>
      </c>
      <c r="D27" s="404">
        <f>D13-D26</f>
        <v>-660727</v>
      </c>
      <c r="E27" s="396"/>
      <c r="F27" s="57"/>
      <c r="G27" s="56"/>
    </row>
    <row r="28" spans="1:9" ht="5.0999999999999996" customHeight="1" x14ac:dyDescent="0.2">
      <c r="A28" s="375"/>
      <c r="B28" s="373"/>
      <c r="C28" s="373"/>
      <c r="D28" s="373"/>
      <c r="E28" s="55"/>
      <c r="F28" s="57"/>
    </row>
    <row r="29" spans="1:9" x14ac:dyDescent="0.2">
      <c r="A29" s="372" t="s">
        <v>566</v>
      </c>
      <c r="B29" s="373"/>
      <c r="C29" s="373"/>
      <c r="D29" s="373"/>
      <c r="E29" s="55"/>
      <c r="F29" s="57"/>
    </row>
    <row r="30" spans="1:9" x14ac:dyDescent="0.2">
      <c r="A30" s="383" t="s">
        <v>23</v>
      </c>
      <c r="B30" s="373">
        <v>552367</v>
      </c>
      <c r="C30" s="373">
        <v>0</v>
      </c>
      <c r="D30" s="373">
        <v>552367</v>
      </c>
      <c r="E30" s="55"/>
      <c r="F30" s="57"/>
    </row>
    <row r="31" spans="1:9" x14ac:dyDescent="0.2">
      <c r="A31" s="383" t="s">
        <v>265</v>
      </c>
      <c r="B31" s="373">
        <v>20641</v>
      </c>
      <c r="C31" s="373">
        <v>0</v>
      </c>
      <c r="D31" s="373">
        <v>20641</v>
      </c>
      <c r="E31" s="55"/>
      <c r="F31" s="57"/>
    </row>
    <row r="32" spans="1:9" ht="12.75" customHeight="1" x14ac:dyDescent="0.2">
      <c r="A32" s="383" t="s">
        <v>266</v>
      </c>
      <c r="B32" s="373">
        <v>120978</v>
      </c>
      <c r="C32" s="373">
        <v>1024</v>
      </c>
      <c r="D32" s="373">
        <v>122002</v>
      </c>
      <c r="E32" s="55"/>
      <c r="F32" s="57"/>
    </row>
    <row r="33" spans="1:8" ht="15.6" customHeight="1" x14ac:dyDescent="0.2">
      <c r="A33" s="383" t="s">
        <v>35</v>
      </c>
      <c r="B33" s="374">
        <v>4000</v>
      </c>
      <c r="C33" s="374">
        <v>0</v>
      </c>
      <c r="D33" s="374">
        <v>4000</v>
      </c>
      <c r="E33" s="55"/>
      <c r="F33" s="57"/>
    </row>
    <row r="34" spans="1:8" ht="15" x14ac:dyDescent="0.2">
      <c r="A34" s="379" t="s">
        <v>267</v>
      </c>
      <c r="B34" s="374">
        <f>SUM(B30:B33)</f>
        <v>697986</v>
      </c>
      <c r="C34" s="374">
        <f>SUM(C30:C33)</f>
        <v>1024</v>
      </c>
      <c r="D34" s="374">
        <f>SUM(D30:D33)</f>
        <v>699010</v>
      </c>
      <c r="E34" s="55"/>
      <c r="F34" s="57"/>
    </row>
    <row r="35" spans="1:8" ht="18" customHeight="1" x14ac:dyDescent="0.2">
      <c r="A35" s="403" t="s">
        <v>268</v>
      </c>
      <c r="B35" s="74">
        <f>B27+B34</f>
        <v>47540</v>
      </c>
      <c r="C35" s="74">
        <f>C27+C34</f>
        <v>-9257</v>
      </c>
      <c r="D35" s="74">
        <f>SUM(B35:C35)</f>
        <v>38283</v>
      </c>
      <c r="E35" s="396"/>
      <c r="F35" s="57"/>
      <c r="G35" s="56"/>
      <c r="H35" s="56"/>
    </row>
    <row r="36" spans="1:8" ht="5.0999999999999996" customHeight="1" x14ac:dyDescent="0.2">
      <c r="A36" s="379"/>
      <c r="B36" s="373"/>
      <c r="C36" s="373"/>
      <c r="D36" s="373"/>
      <c r="E36" s="55"/>
      <c r="F36" s="57"/>
    </row>
    <row r="37" spans="1:8" ht="15" x14ac:dyDescent="0.2">
      <c r="A37" s="76" t="s">
        <v>233</v>
      </c>
      <c r="B37" s="374">
        <v>14000</v>
      </c>
      <c r="C37" s="374">
        <v>0</v>
      </c>
      <c r="D37" s="374">
        <v>14000</v>
      </c>
      <c r="E37" s="55"/>
      <c r="F37" s="57"/>
    </row>
    <row r="38" spans="1:8" ht="18" customHeight="1" x14ac:dyDescent="0.2">
      <c r="A38" s="431" t="s">
        <v>133</v>
      </c>
      <c r="B38" s="430">
        <f>SUM(B35:B37)</f>
        <v>61540</v>
      </c>
      <c r="C38" s="430">
        <f>SUM(C35:C37)</f>
        <v>-9257</v>
      </c>
      <c r="D38" s="430">
        <f>SUM(D35:D37)</f>
        <v>52283</v>
      </c>
      <c r="E38" s="55"/>
      <c r="F38" s="57"/>
      <c r="G38" s="56"/>
      <c r="H38" s="56"/>
    </row>
    <row r="39" spans="1:8" ht="18" customHeight="1" x14ac:dyDescent="0.2">
      <c r="A39" s="97" t="s">
        <v>269</v>
      </c>
      <c r="B39" s="374">
        <f>208479-323</f>
        <v>208156</v>
      </c>
      <c r="C39" s="374">
        <f>-82911+324</f>
        <v>-82587</v>
      </c>
      <c r="D39" s="374">
        <f>SUM(B39:C39)</f>
        <v>125569</v>
      </c>
      <c r="E39" s="55"/>
      <c r="F39" s="57"/>
      <c r="G39" s="56"/>
      <c r="H39" s="56"/>
    </row>
    <row r="40" spans="1:8" ht="15" x14ac:dyDescent="0.2">
      <c r="A40" s="375" t="s">
        <v>270</v>
      </c>
      <c r="B40" s="380">
        <f>B38+B39</f>
        <v>269696</v>
      </c>
      <c r="C40" s="380">
        <f>C38+C39</f>
        <v>-91844</v>
      </c>
      <c r="D40" s="380">
        <f>D38+D39</f>
        <v>177852</v>
      </c>
      <c r="E40" s="81"/>
      <c r="F40" s="57"/>
      <c r="G40" s="56"/>
      <c r="H40" s="56"/>
    </row>
    <row r="41" spans="1:8" x14ac:dyDescent="0.2">
      <c r="F41" s="57"/>
    </row>
    <row r="42" spans="1:8" x14ac:dyDescent="0.2">
      <c r="B42" s="57"/>
      <c r="C42" s="57"/>
      <c r="D42" s="57"/>
    </row>
    <row r="43" spans="1:8" x14ac:dyDescent="0.2">
      <c r="A43" s="16" t="s">
        <v>84</v>
      </c>
    </row>
    <row r="44" spans="1:8" x14ac:dyDescent="0.2">
      <c r="D44" s="57"/>
    </row>
    <row r="46" spans="1:8" x14ac:dyDescent="0.2">
      <c r="D46" s="61"/>
    </row>
    <row r="52" spans="1:4" ht="20.25" x14ac:dyDescent="0.55000000000000004">
      <c r="A52" s="280" t="s">
        <v>513</v>
      </c>
      <c r="B52" s="221"/>
      <c r="C52" s="276"/>
      <c r="D52" s="276"/>
    </row>
    <row r="53" spans="1:4" ht="31.5" x14ac:dyDescent="0.2">
      <c r="A53" s="230" t="s">
        <v>537</v>
      </c>
      <c r="B53" s="225" t="str">
        <f>IF(+ROUND(B40,0)-ROUND('Net Pos-Prop'!B53,0)=0,"Yes",+B40-'Net Pos-Prop'!B53)</f>
        <v>Yes</v>
      </c>
      <c r="C53" s="225" t="str">
        <f>IF(+ROUND(C40,0)-ROUND('Net Pos-Prop'!C53,0)=0,"Yes",+C40-'Net Pos-Prop'!C53)</f>
        <v>Yes</v>
      </c>
      <c r="D53" s="225" t="str">
        <f>IF(+ROUND(D40,0)-ROUND('Net Pos-Prop'!D53,0)=0,"Yes",+D40-'Net Pos-Prop'!D53)</f>
        <v>Yes</v>
      </c>
    </row>
    <row r="54" spans="1:4" ht="31.5" x14ac:dyDescent="0.2">
      <c r="A54" s="230" t="s">
        <v>551</v>
      </c>
      <c r="B54" s="225" t="str">
        <f>IF(ROUND(B38,0)-ROUND('SFSF-BA'!F66,0)=0,"Yes",B38-'SFSF-BA'!F66)</f>
        <v>Yes</v>
      </c>
      <c r="C54" s="225" t="str">
        <f>IF(ROUND(C38,0)-ROUND('CCF-BA'!F50,0)=0,"Yes",C38-'CCF-BA'!F50)</f>
        <v>Yes</v>
      </c>
      <c r="D54" s="225"/>
    </row>
    <row r="55" spans="1:4" ht="15.75" x14ac:dyDescent="0.25">
      <c r="A55" s="230"/>
      <c r="B55" s="231"/>
      <c r="C55" s="276"/>
      <c r="D55" s="276"/>
    </row>
    <row r="56" spans="1:4" ht="15.75" x14ac:dyDescent="0.2">
      <c r="A56" s="230" t="s">
        <v>530</v>
      </c>
      <c r="B56" s="226" t="str">
        <f>IF(OR(B38&lt;=0,B40&lt;=0),"na   ",IF((B40/B38)-1&gt;GASB34GovtFundsBS!$G$70,"nm   ",(B40/B38)-1))</f>
        <v xml:space="preserve">nm   </v>
      </c>
      <c r="C56" s="226" t="str">
        <f>IF(OR(C38&lt;=0,C40&lt;=0),"na   ",IF((C40/C38)-1&gt;GASB34GovtFundsBS!$G$70,"nm   ",(C40/C38)-1))</f>
        <v xml:space="preserve">na   </v>
      </c>
      <c r="D56" s="226">
        <f>IF(OR(D38&lt;=0,D40&lt;=0),"na   ",IF((D40/D38)-1&gt;GASB34GovtFundsBS!$G$70,"nm   ",(D40/D38)-1))</f>
        <v>2.4017175755025533</v>
      </c>
    </row>
    <row r="57" spans="1:4" ht="15.75" x14ac:dyDescent="0.25">
      <c r="A57" s="495" t="str">
        <f>GASB34GovtFundsBS!C70</f>
        <v>Note:  % chg &gt; 300 is presented as not meaningful (nm).</v>
      </c>
      <c r="B57" s="495"/>
      <c r="C57" s="495"/>
      <c r="D57" s="276"/>
    </row>
    <row r="58" spans="1:4" ht="15.75" x14ac:dyDescent="0.25">
      <c r="A58" s="276"/>
      <c r="B58" s="276"/>
      <c r="C58" s="276"/>
      <c r="D58" s="276"/>
    </row>
    <row r="59" spans="1:4" ht="15.75" x14ac:dyDescent="0.25">
      <c r="A59" s="276"/>
      <c r="B59" s="276"/>
      <c r="C59" s="276"/>
      <c r="D59" s="276"/>
    </row>
  </sheetData>
  <mergeCells count="6">
    <mergeCell ref="A57:C57"/>
    <mergeCell ref="B7:D7"/>
    <mergeCell ref="A2:D2"/>
    <mergeCell ref="A3:D3"/>
    <mergeCell ref="A4:D4"/>
    <mergeCell ref="A5:D5"/>
  </mergeCells>
  <conditionalFormatting sqref="B53:C54">
    <cfRule type="cellIs" dxfId="9" priority="1" operator="notEqual">
      <formula>"Yes"</formula>
    </cfRule>
  </conditionalFormatting>
  <printOptions horizontalCentered="1"/>
  <pageMargins left="0.7" right="0.7" top="0.75" bottom="0.75" header="0.3" footer="0.3"/>
  <pageSetup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p:properties xmlns:p="http://schemas.microsoft.com/office/2006/metadata/properties" xmlns:xsi="http://www.w3.org/2001/XMLSchema-instance" xmlns:pc="http://schemas.microsoft.com/office/infopath/2007/PartnerControls">
  <documentManagement>
    <Description0 xmlns="b0d8bf0e-b15b-456f-8ae4-2bdf59acac1f" xsi:nil="true"/>
    <Publication_x0020_Date xmlns="b0d8bf0e-b15b-456f-8ae4-2bdf59acac1f" xsi:nil="true"/>
    <Sort_x0020_Order xmlns="b0d8bf0e-b15b-456f-8ae4-2bdf59acac1f" xsi:nil="true"/>
    <Category xmlns="b0d8bf0e-b15b-456f-8ae4-2bdf59acac1f" xsi:nil="true"/>
    <Resource_x0020_Category xmlns="b0d8bf0e-b15b-456f-8ae4-2bdf59acac1f" xsi:nil="true"/>
    <Resource_x0020_Group xmlns="b0d8bf0e-b15b-456f-8ae4-2bdf59acac1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63E6D748AC7C9C43A96C5224165110D7" ma:contentTypeVersion="14" ma:contentTypeDescription="Create a new document." ma:contentTypeScope="" ma:versionID="04c839d3a56f026a73d1cf96db788e9e">
  <xsd:schema xmlns:xsd="http://www.w3.org/2001/XMLSchema" xmlns:xs="http://www.w3.org/2001/XMLSchema" xmlns:p="http://schemas.microsoft.com/office/2006/metadata/properties" xmlns:ns2="b0d8bf0e-b15b-456f-8ae4-2bdf59acac1f" xmlns:ns3="d4ea4015-5b02-447c-9074-d5807a41497e" targetNamespace="http://schemas.microsoft.com/office/2006/metadata/properties" ma:root="true" ma:fieldsID="9e4fe7c83c102520a0fb93416c304af6" ns2:_="" ns3:_="">
    <xsd:import namespace="b0d8bf0e-b15b-456f-8ae4-2bdf59acac1f"/>
    <xsd:import namespace="d4ea4015-5b02-447c-9074-d5807a41497e"/>
    <xsd:element name="properties">
      <xsd:complexType>
        <xsd:sequence>
          <xsd:element name="documentManagement">
            <xsd:complexType>
              <xsd:all>
                <xsd:element ref="ns2:Category" minOccurs="0"/>
                <xsd:element ref="ns2:Description0" minOccurs="0"/>
                <xsd:element ref="ns2:Publication_x0020_Date" minOccurs="0"/>
                <xsd:element ref="ns2:Resource_x0020_Category" minOccurs="0"/>
                <xsd:element ref="ns2:Resource_x0020_Group" minOccurs="0"/>
                <xsd:element ref="ns2:Sort_x0020_Order" minOccurs="0"/>
                <xsd:element ref="ns3:_dlc_DocId" minOccurs="0"/>
                <xsd:element ref="ns3:_dlc_DocIdUrl" minOccurs="0"/>
                <xsd:element ref="ns3: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d8bf0e-b15b-456f-8ae4-2bdf59acac1f" elementFormDefault="qualified">
    <xsd:import namespace="http://schemas.microsoft.com/office/2006/documentManagement/types"/>
    <xsd:import namespace="http://schemas.microsoft.com/office/infopath/2007/PartnerControls"/>
    <xsd:element name="Category" ma:index="4" nillable="true" ma:displayName="Category" ma:description="Category" ma:internalName="Category" ma:readOnly="false">
      <xsd:simpleType>
        <xsd:restriction base="dms:Text">
          <xsd:maxLength value="255"/>
        </xsd:restriction>
      </xsd:simpleType>
    </xsd:element>
    <xsd:element name="Description0" ma:index="5" nillable="true" ma:displayName="Description" ma:description="Description" ma:internalName="Description0" ma:readOnly="false">
      <xsd:simpleType>
        <xsd:restriction base="dms:Text">
          <xsd:maxLength value="255"/>
        </xsd:restriction>
      </xsd:simpleType>
    </xsd:element>
    <xsd:element name="Publication_x0020_Date" ma:index="7" nillable="true" ma:displayName="Publication Date" ma:description="Publication Date" ma:internalName="Publication_x0020_Date" ma:readOnly="false">
      <xsd:simpleType>
        <xsd:restriction base="dms:Text">
          <xsd:maxLength value="255"/>
        </xsd:restriction>
      </xsd:simpleType>
    </xsd:element>
    <xsd:element name="Resource_x0020_Category" ma:index="8" nillable="true" ma:displayName="Resource Category" ma:description="Determines if the item appears on the Sample Financial Statements page OR the Aids to Financial Statement Preparation page" ma:format="Dropdown" ma:internalName="Resource_x0020_Category" ma:readOnly="false">
      <xsd:simpleType>
        <xsd:restriction base="dms:Choice">
          <xsd:enumeration value="Sample Financial Statement"/>
          <xsd:enumeration value="Preparation Aid"/>
        </xsd:restriction>
      </xsd:simpleType>
    </xsd:element>
    <xsd:element name="Resource_x0020_Group" ma:index="9" nillable="true" ma:displayName="Resource Group" ma:format="Dropdown" ma:internalName="Resource_x0020_Group" ma:readOnly="false">
      <xsd:simpleType>
        <xsd:restriction base="dms:Choice">
          <xsd:enumeration value="Board of Education Specific Worksheets"/>
          <xsd:enumeration value="Charter School Specific Worksheets"/>
          <xsd:enumeration value="County Specific Worksheets"/>
          <xsd:enumeration value="Municipal Specific Worksheets"/>
          <xsd:enumeration value="Writing a Management Discussion &amp; Analysis"/>
        </xsd:restriction>
      </xsd:simpleType>
    </xsd:element>
    <xsd:element name="Sort_x0020_Order" ma:index="10" nillable="true" ma:displayName="Sort Order" ma:internalName="Sort_x0020_Order"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d4ea4015-5b02-447c-9074-d5807a41497e" elementFormDefault="qualified">
    <xsd:import namespace="http://schemas.microsoft.com/office/2006/documentManagement/types"/>
    <xsd:import namespace="http://schemas.microsoft.com/office/infopath/2007/PartnerControls"/>
    <xsd:element name="_dlc_DocId" ma:index="15" nillable="true" ma:displayName="Document ID Value" ma:description="The value of the document ID assigned to this item." ma:internalName="_dlc_DocId" ma:readOnly="true">
      <xsd:simpleType>
        <xsd:restriction base="dms:Text"/>
      </xsd:simpleType>
    </xsd:element>
    <xsd:element name="_dlc_DocIdUrl" ma:index="1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7" nillable="true" ma:displayName="Persist ID" ma:description="Keep ID on add." ma:hidden="true" ma:internalName="_dlc_DocIdPersistId" ma:readOnly="true">
      <xsd:simpleType>
        <xsd:restriction base="dms:Boolean"/>
      </xsd:simpleType>
    </xsd:element>
    <xsd:element name="SharedWithUsers" ma:index="1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3" ma:displayName="Title"/>
        <xsd:element ref="dc:subject" minOccurs="0" maxOccurs="1"/>
        <xsd:element ref="dc:description" minOccurs="0" maxOccurs="1"/>
        <xsd:element name="keywords" minOccurs="0" maxOccurs="1" type="xsd:string" ma:index="6"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3C3D52-32C0-4812-8AD3-0041E8938A96}">
  <ds:schemaRefs>
    <ds:schemaRef ds:uri="http://schemas.microsoft.com/sharepoint/events"/>
  </ds:schemaRefs>
</ds:datastoreItem>
</file>

<file path=customXml/itemProps2.xml><?xml version="1.0" encoding="utf-8"?>
<ds:datastoreItem xmlns:ds="http://schemas.openxmlformats.org/officeDocument/2006/customXml" ds:itemID="{D897A312-D13B-40F6-94CD-7CEE01A0321F}">
  <ds:schemaRefs>
    <ds:schemaRef ds:uri="http://schemas.microsoft.com/office/2006/metadata/properties"/>
    <ds:schemaRef ds:uri="http://purl.org/dc/elements/1.1/"/>
    <ds:schemaRef ds:uri="http://schemas.microsoft.com/office/2006/documentManagement/types"/>
    <ds:schemaRef ds:uri="b0d8bf0e-b15b-456f-8ae4-2bdf59acac1f"/>
    <ds:schemaRef ds:uri="http://purl.org/dc/terms/"/>
    <ds:schemaRef ds:uri="http://www.w3.org/XML/1998/namespace"/>
    <ds:schemaRef ds:uri="http://purl.org/dc/dcmitype/"/>
    <ds:schemaRef ds:uri="http://schemas.microsoft.com/office/infopath/2007/PartnerControls"/>
    <ds:schemaRef ds:uri="http://schemas.openxmlformats.org/package/2006/metadata/core-properties"/>
    <ds:schemaRef ds:uri="d4ea4015-5b02-447c-9074-d5807a41497e"/>
  </ds:schemaRefs>
</ds:datastoreItem>
</file>

<file path=customXml/itemProps3.xml><?xml version="1.0" encoding="utf-8"?>
<ds:datastoreItem xmlns:ds="http://schemas.openxmlformats.org/officeDocument/2006/customXml" ds:itemID="{61FB58B7-CFD5-4514-AA1B-D6C7F7E18635}">
  <ds:schemaRefs>
    <ds:schemaRef ds:uri="http://schemas.microsoft.com/sharepoint/v3/contenttype/forms"/>
  </ds:schemaRefs>
</ds:datastoreItem>
</file>

<file path=customXml/itemProps4.xml><?xml version="1.0" encoding="utf-8"?>
<ds:datastoreItem xmlns:ds="http://schemas.openxmlformats.org/officeDocument/2006/customXml" ds:itemID="{52EE30A6-5E27-41B3-AEDC-5789231D81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d8bf0e-b15b-456f-8ae4-2bdf59acac1f"/>
    <ds:schemaRef ds:uri="d4ea4015-5b02-447c-9074-d5807a4149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30</vt:i4>
      </vt:variant>
    </vt:vector>
  </HeadingPairs>
  <TitlesOfParts>
    <vt:vector size="58" baseType="lpstr">
      <vt:lpstr>MD&amp;A Tables</vt:lpstr>
      <vt:lpstr>GWNetPos</vt:lpstr>
      <vt:lpstr>GWStmtAct</vt:lpstr>
      <vt:lpstr>GASB34GovtFundsBS</vt:lpstr>
      <vt:lpstr>GASB34GovtFundsIS</vt:lpstr>
      <vt:lpstr>Recon Change Net Pos</vt:lpstr>
      <vt:lpstr>GASB34GovtFundsBudget</vt:lpstr>
      <vt:lpstr>Net Pos-Prop</vt:lpstr>
      <vt:lpstr>Rev, exp-Prop</vt:lpstr>
      <vt:lpstr>Cash Flow-Prop</vt:lpstr>
      <vt:lpstr>Fid Fund BS</vt:lpstr>
      <vt:lpstr>Fid Fund IS</vt:lpstr>
      <vt:lpstr>RSI TSERS NPL</vt:lpstr>
      <vt:lpstr>RSI TSERS Contr</vt:lpstr>
      <vt:lpstr>RSI RHBF</vt:lpstr>
      <vt:lpstr>RSI RHBF Contr</vt:lpstr>
      <vt:lpstr>RSI DIPNC</vt:lpstr>
      <vt:lpstr>RSI DIPNC Contr</vt:lpstr>
      <vt:lpstr>BS-NonMajorGovt</vt:lpstr>
      <vt:lpstr>GenFund Bud-Act</vt:lpstr>
      <vt:lpstr>FGF-BA</vt:lpstr>
      <vt:lpstr>COF-BA </vt:lpstr>
      <vt:lpstr>SFSF-BA</vt:lpstr>
      <vt:lpstr>CCF-BA</vt:lpstr>
      <vt:lpstr>Sheet3</vt:lpstr>
      <vt:lpstr>Major Fund Det</vt:lpstr>
      <vt:lpstr>Sheet2</vt:lpstr>
      <vt:lpstr>Sheet1</vt:lpstr>
      <vt:lpstr>'GenFund Bud-Act'!page32</vt:lpstr>
      <vt:lpstr>'GenFund Bud-Act'!page33</vt:lpstr>
      <vt:lpstr>'GenFund Bud-Act'!page34</vt:lpstr>
      <vt:lpstr>'BS-NonMajorGovt'!Print_Area</vt:lpstr>
      <vt:lpstr>'Cash Flow-Prop'!Print_Area</vt:lpstr>
      <vt:lpstr>'CCF-BA'!Print_Area</vt:lpstr>
      <vt:lpstr>'COF-BA '!Print_Area</vt:lpstr>
      <vt:lpstr>'FGF-BA'!Print_Area</vt:lpstr>
      <vt:lpstr>'Fid Fund BS'!Print_Area</vt:lpstr>
      <vt:lpstr>'Fid Fund IS'!Print_Area</vt:lpstr>
      <vt:lpstr>GASB34GovtFundsBS!Print_Area</vt:lpstr>
      <vt:lpstr>GASB34GovtFundsBudget!Print_Area</vt:lpstr>
      <vt:lpstr>GASB34GovtFundsIS!Print_Area</vt:lpstr>
      <vt:lpstr>'GenFund Bud-Act'!Print_Area</vt:lpstr>
      <vt:lpstr>GWNetPos!Print_Area</vt:lpstr>
      <vt:lpstr>GWStmtAct!Print_Area</vt:lpstr>
      <vt:lpstr>'Major Fund Det'!Print_Area</vt:lpstr>
      <vt:lpstr>'MD&amp;A Tables'!Print_Area</vt:lpstr>
      <vt:lpstr>'Net Pos-Prop'!Print_Area</vt:lpstr>
      <vt:lpstr>'Recon Change Net Pos'!Print_Area</vt:lpstr>
      <vt:lpstr>'Rev, exp-Prop'!Print_Area</vt:lpstr>
      <vt:lpstr>'RSI TSERS NPL'!Print_Area</vt:lpstr>
      <vt:lpstr>'SFSF-BA'!Print_Area</vt:lpstr>
      <vt:lpstr>'COF-BA '!Print_Titles</vt:lpstr>
      <vt:lpstr>GASB34GovtFundsBudget!Print_Titles</vt:lpstr>
      <vt:lpstr>'GenFund Bud-Act'!Print_Titles</vt:lpstr>
      <vt:lpstr>Table_1</vt:lpstr>
      <vt:lpstr>Table_2</vt:lpstr>
      <vt:lpstr>Table_3</vt:lpstr>
      <vt:lpstr>Table_4</vt:lpstr>
    </vt:vector>
  </TitlesOfParts>
  <Company>NCDST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Preeta Nayak</dc:creator>
  <cp:lastModifiedBy>Jones Norris</cp:lastModifiedBy>
  <cp:lastPrinted>2021-08-18T14:58:54Z</cp:lastPrinted>
  <dcterms:created xsi:type="dcterms:W3CDTF">2018-07-12T12:21:39Z</dcterms:created>
  <dcterms:modified xsi:type="dcterms:W3CDTF">2021-08-24T21:31:27Z</dcterms:modified>
</cp:coreProperties>
</file>