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Norris\Charter Schools - FYE 2019\Cardinal - nonprofit - 1 school\Cardinal - For Website\"/>
    </mc:Choice>
  </mc:AlternateContent>
  <xr:revisionPtr revIDLastSave="0" documentId="8_{76F5FA4E-D8C4-4048-8650-0647369B93A4}" xr6:coauthVersionLast="41" xr6:coauthVersionMax="41" xr10:uidLastSave="{00000000-0000-0000-0000-000000000000}"/>
  <bookViews>
    <workbookView xWindow="28680" yWindow="-120" windowWidth="29040" windowHeight="15840" tabRatio="776" xr2:uid="{00000000-000D-0000-FFFF-FFFF00000000}"/>
  </bookViews>
  <sheets>
    <sheet name="Table Index" sheetId="5" r:id="rId1"/>
    <sheet name="For MD&amp;A" sheetId="6" r:id="rId2"/>
    <sheet name="Govt Wide - Fund Recon" sheetId="1" r:id="rId3"/>
    <sheet name="Capital Assets" sheetId="2" r:id="rId4"/>
    <sheet name="Long-Term Obligations" sheetId="3" r:id="rId5"/>
    <sheet name="Other Tables" sheetId="4" r:id="rId6"/>
  </sheets>
  <definedNames>
    <definedName name="Asset_Useful_Life_Table_I.E.4">'Capital Assets'!$F$5:$G$10</definedName>
    <definedName name="BTA_Capital_Assets">'Capital Assets'!$B$46:$J$73</definedName>
    <definedName name="Capital_Lease_Table">'Long-Term Obligations'!$B$36:$D$49</definedName>
    <definedName name="Deferred_Inflows_Table">'Other Tables'!$B$5:$D$8</definedName>
    <definedName name="Depreciation_by_Program_Table">'Capital Assets'!$F$37:$G$41</definedName>
    <definedName name="Encumbrances_Note">'Other Tables'!$G$33:$H$36</definedName>
    <definedName name="Govt_Capital_Assets">'Capital Assets'!$B$14:$J$31</definedName>
    <definedName name="Interfund_Balance_Note">'Other Tables'!$B$12:$E$13</definedName>
    <definedName name="Interfund_Transfer_Note">'Other Tables'!$C$18:$E$19</definedName>
    <definedName name="Lease_Minimum_Payments">'Long-Term Obligations'!$B$37:$D$49</definedName>
    <definedName name="Leased_Assets">'Long-Term Obligations'!$E$26:$H$32</definedName>
    <definedName name="Long_Term_Debt">'Long-Term Obligations'!$E$5:$J$15</definedName>
    <definedName name="MDA_Figure_2">'For MD&amp;A'!$A$5:$G$23</definedName>
    <definedName name="MDA_Figure_3">'For MD&amp;A'!$A$31:$G$60</definedName>
    <definedName name="MDA_Figure_4">'For MD&amp;A'!$A$69:$G$78</definedName>
    <definedName name="MDA_Figure_5">'For MD&amp;A'!$A$86:$G$95</definedName>
    <definedName name="Payment_by_School">'Long-Term Obligations'!$B$68:$D$78</definedName>
    <definedName name="Remaining_Fund_Balance">'Other Tables'!$B$24:$D$30</definedName>
    <definedName name="Table_BTA_Capital_Assets">'Capital Assets'!$B$46:$J$48</definedName>
    <definedName name="Table_Govt_Capital_Assets">'Capital Assets'!$B$14:$J$16</definedName>
    <definedName name="Table_I.E.9.a">'Govt Wide - Fund Recon'!$B$5:$D$13</definedName>
    <definedName name="Table_I.E.9.b">'Govt Wide - Fund Recon'!$B$24:$D$33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4" i="6" l="1"/>
  <c r="B44" i="6"/>
  <c r="B1" i="4" l="1"/>
  <c r="B1" i="3"/>
  <c r="B1" i="2"/>
  <c r="B1" i="1"/>
  <c r="B3" i="5"/>
  <c r="J92" i="6" l="1"/>
  <c r="I92" i="6"/>
  <c r="G92" i="6"/>
  <c r="F92" i="6"/>
  <c r="J49" i="6"/>
  <c r="I49" i="6"/>
  <c r="G49" i="6"/>
  <c r="F49" i="6"/>
  <c r="K49" i="6" s="1"/>
  <c r="J43" i="6"/>
  <c r="I43" i="6"/>
  <c r="G43" i="6"/>
  <c r="F43" i="6"/>
  <c r="K92" i="6" l="1"/>
  <c r="K43" i="6"/>
  <c r="J93" i="6"/>
  <c r="I93" i="6"/>
  <c r="J91" i="6"/>
  <c r="I91" i="6"/>
  <c r="J90" i="6"/>
  <c r="I90" i="6"/>
  <c r="J76" i="6"/>
  <c r="I76" i="6"/>
  <c r="J75" i="6"/>
  <c r="I75" i="6"/>
  <c r="J74" i="6"/>
  <c r="I74" i="6"/>
  <c r="J73" i="6"/>
  <c r="I73" i="6"/>
  <c r="I26" i="6"/>
  <c r="J56" i="6"/>
  <c r="I56" i="6"/>
  <c r="J53" i="6"/>
  <c r="I53" i="6"/>
  <c r="J52" i="6"/>
  <c r="I52" i="6"/>
  <c r="J51" i="6"/>
  <c r="I51" i="6"/>
  <c r="J50" i="6"/>
  <c r="I50" i="6"/>
  <c r="J48" i="6"/>
  <c r="I48" i="6"/>
  <c r="J47" i="6"/>
  <c r="I47" i="6"/>
  <c r="J44" i="6"/>
  <c r="I44" i="6"/>
  <c r="J42" i="6"/>
  <c r="I42" i="6"/>
  <c r="J41" i="6"/>
  <c r="I41" i="6"/>
  <c r="J39" i="6"/>
  <c r="I39" i="6"/>
  <c r="J38" i="6"/>
  <c r="I38" i="6"/>
  <c r="J37" i="6"/>
  <c r="I37" i="6"/>
  <c r="J21" i="6"/>
  <c r="I21" i="6"/>
  <c r="J20" i="6"/>
  <c r="I20" i="6"/>
  <c r="J18" i="6"/>
  <c r="I18" i="6"/>
  <c r="J16" i="6"/>
  <c r="J15" i="6"/>
  <c r="J12" i="6"/>
  <c r="I12" i="6"/>
  <c r="J10" i="6"/>
  <c r="I10" i="6"/>
  <c r="J58" i="6"/>
  <c r="I58" i="6"/>
  <c r="B39" i="3" l="1"/>
  <c r="B40" i="3" s="1"/>
  <c r="B41" i="3" s="1"/>
  <c r="B42" i="3" s="1"/>
  <c r="C34" i="6"/>
  <c r="C72" i="6" s="1"/>
  <c r="C89" i="6" s="1"/>
  <c r="B34" i="6"/>
  <c r="B72" i="6" s="1"/>
  <c r="B89" i="6" s="1"/>
  <c r="E8" i="6"/>
  <c r="G8" i="6" s="1"/>
  <c r="G34" i="6" s="1"/>
  <c r="G72" i="6" s="1"/>
  <c r="G89" i="6" s="1"/>
  <c r="D8" i="6"/>
  <c r="F8" i="6" s="1"/>
  <c r="F34" i="6" s="1"/>
  <c r="F72" i="6" s="1"/>
  <c r="F89" i="6" s="1"/>
  <c r="D34" i="6" l="1"/>
  <c r="D72" i="6" s="1"/>
  <c r="D89" i="6" s="1"/>
  <c r="B44" i="3"/>
  <c r="B45" i="3"/>
  <c r="B43" i="3"/>
  <c r="E34" i="6"/>
  <c r="E72" i="6" s="1"/>
  <c r="E89" i="6" s="1"/>
  <c r="F93" i="6"/>
  <c r="G93" i="6"/>
  <c r="B94" i="6"/>
  <c r="G90" i="6"/>
  <c r="F90" i="6"/>
  <c r="K90" i="6" s="1"/>
  <c r="G91" i="6"/>
  <c r="F91" i="6"/>
  <c r="K91" i="6" s="1"/>
  <c r="K93" i="6" l="1"/>
  <c r="I22" i="3"/>
  <c r="E77" i="6" l="1"/>
  <c r="E80" i="6" s="1"/>
  <c r="D94" i="6"/>
  <c r="E94" i="6"/>
  <c r="C94" i="6"/>
  <c r="I94" i="6" s="1"/>
  <c r="G94" i="6"/>
  <c r="F94" i="6"/>
  <c r="C80" i="6"/>
  <c r="B80" i="6"/>
  <c r="D77" i="6"/>
  <c r="C77" i="6"/>
  <c r="B77" i="6"/>
  <c r="I77" i="6" s="1"/>
  <c r="G76" i="6"/>
  <c r="F76" i="6"/>
  <c r="G75" i="6"/>
  <c r="F75" i="6"/>
  <c r="G74" i="6"/>
  <c r="F74" i="6"/>
  <c r="G73" i="6"/>
  <c r="F73" i="6"/>
  <c r="K73" i="6" s="1"/>
  <c r="G58" i="6"/>
  <c r="F58" i="6"/>
  <c r="G53" i="6"/>
  <c r="F53" i="6"/>
  <c r="G56" i="6"/>
  <c r="F56" i="6"/>
  <c r="E54" i="6"/>
  <c r="D54" i="6"/>
  <c r="J54" i="6" s="1"/>
  <c r="C54" i="6"/>
  <c r="B54" i="6"/>
  <c r="G52" i="6"/>
  <c r="F52" i="6"/>
  <c r="G51" i="6"/>
  <c r="F51" i="6"/>
  <c r="G50" i="6"/>
  <c r="F50" i="6"/>
  <c r="K50" i="6" s="1"/>
  <c r="G48" i="6"/>
  <c r="F48" i="6"/>
  <c r="G47" i="6"/>
  <c r="F47" i="6"/>
  <c r="E45" i="6"/>
  <c r="E55" i="6" s="1"/>
  <c r="E57" i="6" s="1"/>
  <c r="E59" i="6" s="1"/>
  <c r="D45" i="6"/>
  <c r="C45" i="6"/>
  <c r="B45" i="6"/>
  <c r="G41" i="6"/>
  <c r="G37" i="6"/>
  <c r="F37" i="6"/>
  <c r="E11" i="6"/>
  <c r="E13" i="6" s="1"/>
  <c r="D11" i="6"/>
  <c r="J11" i="6" s="1"/>
  <c r="C11" i="6"/>
  <c r="C13" i="6" s="1"/>
  <c r="B11" i="6"/>
  <c r="B16" i="6"/>
  <c r="I16" i="6" s="1"/>
  <c r="B15" i="6"/>
  <c r="I15" i="6" s="1"/>
  <c r="G21" i="6"/>
  <c r="F21" i="6"/>
  <c r="G20" i="6"/>
  <c r="F20" i="6"/>
  <c r="K20" i="6" s="1"/>
  <c r="G18" i="6"/>
  <c r="F18" i="6"/>
  <c r="E17" i="6"/>
  <c r="D17" i="6"/>
  <c r="C17" i="6"/>
  <c r="G16" i="6"/>
  <c r="G15" i="6"/>
  <c r="B13" i="6"/>
  <c r="G12" i="6"/>
  <c r="F12" i="6"/>
  <c r="G10" i="6"/>
  <c r="F10" i="6"/>
  <c r="I45" i="6" l="1"/>
  <c r="K21" i="6"/>
  <c r="I54" i="6"/>
  <c r="K76" i="6"/>
  <c r="J45" i="6"/>
  <c r="K56" i="6"/>
  <c r="G17" i="6"/>
  <c r="K47" i="6"/>
  <c r="K52" i="6"/>
  <c r="K53" i="6"/>
  <c r="K75" i="6"/>
  <c r="K10" i="6"/>
  <c r="J17" i="6"/>
  <c r="I13" i="6"/>
  <c r="K12" i="6"/>
  <c r="K18" i="6"/>
  <c r="I11" i="6"/>
  <c r="D80" i="6"/>
  <c r="J77" i="6"/>
  <c r="J94" i="6"/>
  <c r="K94" i="6"/>
  <c r="K51" i="6"/>
  <c r="K74" i="6"/>
  <c r="K48" i="6"/>
  <c r="K58" i="6"/>
  <c r="K37" i="6"/>
  <c r="B55" i="6"/>
  <c r="F16" i="6"/>
  <c r="K16" i="6" s="1"/>
  <c r="C22" i="6"/>
  <c r="C26" i="6" s="1"/>
  <c r="D55" i="6"/>
  <c r="J55" i="6" s="1"/>
  <c r="E22" i="6"/>
  <c r="E25" i="6" s="1"/>
  <c r="E26" i="6"/>
  <c r="D13" i="6"/>
  <c r="G98" i="6"/>
  <c r="F98" i="6"/>
  <c r="D64" i="6"/>
  <c r="C55" i="6"/>
  <c r="B17" i="6"/>
  <c r="I17" i="6" s="1"/>
  <c r="G77" i="6"/>
  <c r="F77" i="6"/>
  <c r="K77" i="6" s="1"/>
  <c r="F54" i="6"/>
  <c r="G54" i="6"/>
  <c r="G38" i="6"/>
  <c r="F39" i="6"/>
  <c r="G39" i="6"/>
  <c r="F38" i="6"/>
  <c r="K38" i="6" s="1"/>
  <c r="F42" i="6"/>
  <c r="F44" i="6"/>
  <c r="F41" i="6"/>
  <c r="K41" i="6" s="1"/>
  <c r="F11" i="6"/>
  <c r="K11" i="6" s="1"/>
  <c r="G11" i="6"/>
  <c r="G13" i="6" s="1"/>
  <c r="F15" i="6"/>
  <c r="K15" i="6" s="1"/>
  <c r="I23" i="3"/>
  <c r="K39" i="6" l="1"/>
  <c r="D22" i="6"/>
  <c r="J22" i="6" s="1"/>
  <c r="J13" i="6"/>
  <c r="K54" i="6"/>
  <c r="B57" i="6"/>
  <c r="I55" i="6"/>
  <c r="M21" i="6"/>
  <c r="M20" i="6"/>
  <c r="B22" i="6"/>
  <c r="I22" i="6" s="1"/>
  <c r="D57" i="6"/>
  <c r="J57" i="6" s="1"/>
  <c r="C25" i="6"/>
  <c r="F13" i="6"/>
  <c r="K13" i="6" s="1"/>
  <c r="G22" i="6"/>
  <c r="G27" i="6" s="1"/>
  <c r="G26" i="6"/>
  <c r="G25" i="6"/>
  <c r="E62" i="6"/>
  <c r="D25" i="6"/>
  <c r="D26" i="6"/>
  <c r="C57" i="6"/>
  <c r="F17" i="6"/>
  <c r="K17" i="6" s="1"/>
  <c r="F45" i="6"/>
  <c r="F81" i="6"/>
  <c r="F80" i="6"/>
  <c r="G81" i="6"/>
  <c r="G80" i="6"/>
  <c r="G42" i="6"/>
  <c r="K42" i="6" s="1"/>
  <c r="B59" i="6" l="1"/>
  <c r="B62" i="6" s="1"/>
  <c r="I57" i="6"/>
  <c r="L21" i="6"/>
  <c r="L20" i="6"/>
  <c r="B26" i="6"/>
  <c r="B25" i="6"/>
  <c r="F26" i="6"/>
  <c r="F55" i="6"/>
  <c r="D59" i="6"/>
  <c r="C59" i="6"/>
  <c r="F22" i="6"/>
  <c r="G44" i="6"/>
  <c r="K44" i="6" s="1"/>
  <c r="G28" i="2"/>
  <c r="G23" i="2"/>
  <c r="F27" i="6" l="1"/>
  <c r="K22" i="6"/>
  <c r="F57" i="6"/>
  <c r="G45" i="6"/>
  <c r="K45" i="6" s="1"/>
  <c r="J59" i="6"/>
  <c r="D62" i="6"/>
  <c r="N21" i="6"/>
  <c r="N20" i="6"/>
  <c r="F25" i="6"/>
  <c r="I59" i="6"/>
  <c r="B64" i="6"/>
  <c r="C62" i="6"/>
  <c r="G29" i="2"/>
  <c r="F59" i="6" l="1"/>
  <c r="G55" i="6"/>
  <c r="K55" i="6" s="1"/>
  <c r="I70" i="2"/>
  <c r="H70" i="2"/>
  <c r="G70" i="2"/>
  <c r="J69" i="2"/>
  <c r="J68" i="2"/>
  <c r="J70" i="2" s="1"/>
  <c r="I66" i="2"/>
  <c r="H66" i="2"/>
  <c r="G66" i="2"/>
  <c r="J65" i="2"/>
  <c r="J64" i="2"/>
  <c r="I59" i="2"/>
  <c r="H59" i="2"/>
  <c r="G59" i="2"/>
  <c r="J58" i="2"/>
  <c r="J57" i="2"/>
  <c r="J56" i="2"/>
  <c r="I54" i="2"/>
  <c r="H54" i="2"/>
  <c r="G54" i="2"/>
  <c r="J53" i="2"/>
  <c r="J52" i="2"/>
  <c r="J51" i="2"/>
  <c r="F62" i="6" l="1"/>
  <c r="F63" i="6"/>
  <c r="G57" i="6"/>
  <c r="K57" i="6" s="1"/>
  <c r="J54" i="2"/>
  <c r="G71" i="2"/>
  <c r="J66" i="2"/>
  <c r="J71" i="2" s="1"/>
  <c r="J59" i="2"/>
  <c r="J60" i="2" s="1"/>
  <c r="J72" i="2" s="1"/>
  <c r="G60" i="2"/>
  <c r="I28" i="2"/>
  <c r="H28" i="2"/>
  <c r="J27" i="2"/>
  <c r="J26" i="2"/>
  <c r="J25" i="2"/>
  <c r="I23" i="2"/>
  <c r="H23" i="2"/>
  <c r="J22" i="2"/>
  <c r="J21" i="2"/>
  <c r="J20" i="2"/>
  <c r="J18" i="2"/>
  <c r="G59" i="6" l="1"/>
  <c r="G72" i="2"/>
  <c r="J23" i="2"/>
  <c r="J28" i="2"/>
  <c r="G30" i="2"/>
  <c r="F64" i="6" l="1"/>
  <c r="K59" i="6"/>
  <c r="G62" i="6"/>
  <c r="G63" i="6"/>
  <c r="J30" i="2"/>
  <c r="J29" i="2"/>
  <c r="H30" i="3"/>
  <c r="H29" i="3"/>
  <c r="H28" i="3"/>
  <c r="D17" i="1"/>
  <c r="D38" i="1"/>
  <c r="I8" i="3"/>
  <c r="I9" i="3"/>
  <c r="I18" i="3" l="1"/>
  <c r="D32" i="1"/>
  <c r="D40" i="1" s="1"/>
  <c r="D12" i="1" l="1"/>
  <c r="D19" i="1" s="1"/>
  <c r="E19" i="1" l="1"/>
  <c r="D29" i="4"/>
  <c r="J15" i="3" l="1"/>
  <c r="H15" i="3"/>
  <c r="G15" i="3"/>
  <c r="F15" i="3"/>
  <c r="I14" i="3"/>
  <c r="I15" i="3" s="1"/>
  <c r="J11" i="3"/>
  <c r="H11" i="3"/>
  <c r="G11" i="3"/>
  <c r="F11" i="3"/>
  <c r="I10" i="3"/>
  <c r="I19" i="3" s="1"/>
  <c r="I20" i="3" s="1"/>
  <c r="C46" i="3"/>
  <c r="H31" i="3"/>
  <c r="G31" i="3"/>
  <c r="F31" i="3"/>
  <c r="I11" i="3" l="1"/>
  <c r="C48" i="3"/>
  <c r="G40" i="2"/>
  <c r="C51" i="3" l="1"/>
  <c r="D51" i="3"/>
</calcChain>
</file>

<file path=xl/sharedStrings.xml><?xml version="1.0" encoding="utf-8"?>
<sst xmlns="http://schemas.openxmlformats.org/spreadsheetml/2006/main" count="347" uniqueCount="219">
  <si>
    <t>Description</t>
  </si>
  <si>
    <t>Amount</t>
  </si>
  <si>
    <t>Capital assets used in governmental activities are not financial resources are therefore not reported in the funds (total capital assets on government-wide statement in governmental activities column).</t>
  </si>
  <si>
    <t>Less accumulated depreciation</t>
  </si>
  <si>
    <t>Liabilities that, because they are not due and payable in the current period, do not require current resources to pay and are therefore not reported in the fund statements:</t>
  </si>
  <si>
    <t xml:space="preserve">Bonds, leases, and installment financing     </t>
  </si>
  <si>
    <t>Compensated absences</t>
  </si>
  <si>
    <t>Accrued interest payable</t>
  </si>
  <si>
    <t>Total adjustment</t>
  </si>
  <si>
    <t>Capital outlay expenditures recorded in the fund statements but capitalized as assets on the statement of activities.</t>
  </si>
  <si>
    <t>Depreciation expense that is recorded on the statement of activities but not in the fund statements.</t>
  </si>
  <si>
    <t>New debt issued during the year is recorded as a source of funds on the fund statements but has no effect on the statement of activities, only the statement of net position.</t>
  </si>
  <si>
    <t>Principal payments on debt owed are recorded as a use of funds on the fund statements but again affect only the statement of net position in the government-wide statements.</t>
  </si>
  <si>
    <t>Expenses reported on the statement of activities that do not require the use of current resources to pay are not recorded as expenditures in the fund statements.</t>
  </si>
  <si>
    <t>Difference in interest expense between fund statements (modified accrual) and government-wide statements (full accrual).</t>
  </si>
  <si>
    <t xml:space="preserve">Compensated absences are accrued in the government-wide statements but not in the fund statements, as they do not use current resources.  </t>
  </si>
  <si>
    <t>Governmental activities:</t>
  </si>
  <si>
    <t>Land</t>
  </si>
  <si>
    <t>Buildings</t>
  </si>
  <si>
    <t>Furniture and office equipment</t>
  </si>
  <si>
    <t>Electronic equipment</t>
  </si>
  <si>
    <t>Less accumulated depreciation for:</t>
  </si>
  <si>
    <t>Capital assets being depreciated:</t>
  </si>
  <si>
    <t>Capital assets not being depreciated:</t>
  </si>
  <si>
    <t>Total capital assets being depreciated</t>
  </si>
  <si>
    <t>Total accumulated depreciation</t>
  </si>
  <si>
    <t>Beginning</t>
  </si>
  <si>
    <t>Balances</t>
  </si>
  <si>
    <t>Increases</t>
  </si>
  <si>
    <t>Decreases</t>
  </si>
  <si>
    <t>Ending</t>
  </si>
  <si>
    <t>Total capital assets being depreciated, net</t>
  </si>
  <si>
    <t>Business-type activities:</t>
  </si>
  <si>
    <t>Food service equipment</t>
  </si>
  <si>
    <t>Instructional programs</t>
  </si>
  <si>
    <t>Supporting services</t>
  </si>
  <si>
    <t>Total depreciation expense</t>
  </si>
  <si>
    <t>Table Name = Table_I.E.9.a</t>
  </si>
  <si>
    <t>Table Name = Table_I.E.9.b</t>
  </si>
  <si>
    <t>Asset Category</t>
  </si>
  <si>
    <t>Years</t>
  </si>
  <si>
    <t>Table Name = Depreciation_by_Program_Table</t>
  </si>
  <si>
    <t>Table Name = Asset_Useful_Life_Table_I.E.4</t>
  </si>
  <si>
    <t>Class of Property</t>
  </si>
  <si>
    <t>Cost</t>
  </si>
  <si>
    <t>Accumulated</t>
  </si>
  <si>
    <t>Depreciation</t>
  </si>
  <si>
    <t>Net</t>
  </si>
  <si>
    <t>Book Value</t>
  </si>
  <si>
    <t>Total</t>
  </si>
  <si>
    <t>Fiscal Years Ending June 30</t>
  </si>
  <si>
    <t>Total minimum lease payments</t>
  </si>
  <si>
    <t>Less:  amount representing interest</t>
  </si>
  <si>
    <t>Present value of minimum lease payments</t>
  </si>
  <si>
    <t>Amounts</t>
  </si>
  <si>
    <t>Capitalized leases</t>
  </si>
  <si>
    <t>Balance</t>
  </si>
  <si>
    <t>Portion</t>
  </si>
  <si>
    <t>Current</t>
  </si>
  <si>
    <t>Total fund balance</t>
  </si>
  <si>
    <t>Inventories</t>
  </si>
  <si>
    <t>Prepaid items</t>
  </si>
  <si>
    <t>Less:</t>
  </si>
  <si>
    <t xml:space="preserve">Remaining fund balance </t>
  </si>
  <si>
    <t>Table Name = Remaining_Fund_Balance</t>
  </si>
  <si>
    <t>General Fund</t>
  </si>
  <si>
    <t>Non-major funds</t>
  </si>
  <si>
    <t>Fund</t>
  </si>
  <si>
    <t>Unearned</t>
  </si>
  <si>
    <t>Revenue</t>
  </si>
  <si>
    <t>Table Name = Encumbrances_Note</t>
  </si>
  <si>
    <t>Table Name = Interfund_Balance_Note</t>
  </si>
  <si>
    <t>Child Care Fund:</t>
  </si>
  <si>
    <t xml:space="preserve">Compensated absences </t>
  </si>
  <si>
    <t xml:space="preserve">Bonds, leases and installment financing </t>
  </si>
  <si>
    <t xml:space="preserve">Total fund balances - government funds </t>
  </si>
  <si>
    <t>Total net position - governmental activities</t>
  </si>
  <si>
    <t xml:space="preserve">Total change in fund balances - government funds </t>
  </si>
  <si>
    <t>Total change in net position - governmental activities</t>
  </si>
  <si>
    <t>Net change in debt - government activities</t>
  </si>
  <si>
    <t>Lease table compared to debt table</t>
  </si>
  <si>
    <t>Total - governmental capital assets, net</t>
  </si>
  <si>
    <t>Table Name = Govt_Capital_Assets</t>
  </si>
  <si>
    <t>Business-type capital assets, net</t>
  </si>
  <si>
    <t>Table Name = BTA_Capital_Assets</t>
  </si>
  <si>
    <t>Table Name = Leased_Assets</t>
  </si>
  <si>
    <t>Table Name = Lease_Minimum_Payments</t>
  </si>
  <si>
    <t>Table Name = Long_Term_Debt</t>
  </si>
  <si>
    <r>
      <t xml:space="preserve">Total adjustment for </t>
    </r>
    <r>
      <rPr>
        <u/>
        <sz val="12"/>
        <color theme="1"/>
        <rFont val="Times New Roman"/>
        <family val="1"/>
      </rPr>
      <t>introductory paragrap</t>
    </r>
    <r>
      <rPr>
        <sz val="12"/>
        <color theme="1"/>
        <rFont val="Times New Roman"/>
        <family val="1"/>
      </rPr>
      <t>h to table</t>
    </r>
  </si>
  <si>
    <r>
      <t>Total adjustment for</t>
    </r>
    <r>
      <rPr>
        <u/>
        <sz val="12"/>
        <color theme="1"/>
        <rFont val="Times New Roman"/>
        <family val="1"/>
      </rPr>
      <t xml:space="preserve"> introductory paragraph</t>
    </r>
    <r>
      <rPr>
        <sz val="12"/>
        <color theme="1"/>
        <rFont val="Times New Roman"/>
        <family val="1"/>
      </rPr>
      <t xml:space="preserve"> to table</t>
    </r>
  </si>
  <si>
    <t>Food Service Fund:</t>
  </si>
  <si>
    <t>Food service fund capital assets, net</t>
  </si>
  <si>
    <t>Child care fund capital assets, net</t>
  </si>
  <si>
    <t>Table Name = Leased_Assets        &gt;&gt;&gt;</t>
  </si>
  <si>
    <t>Table Name = Long_Term_Debt      &gt;&gt;&gt;</t>
  </si>
  <si>
    <t>Tab = Govt Wide - Fund Recon</t>
  </si>
  <si>
    <t>Itemizes net adjustment for difference between governmental fund balance sheet and the statement of net position.</t>
  </si>
  <si>
    <t>Itemizes net adjustment for difference between governmental fund changes in fund balance and the governmental activities changes in net position.</t>
  </si>
  <si>
    <t>Tab = Capital Assets</t>
  </si>
  <si>
    <t>List useful life of categories of capital assets.</t>
  </si>
  <si>
    <t>Itemizes depreciation by program.</t>
  </si>
  <si>
    <t>Summarizes capital transactions for governmental activities for the year.</t>
  </si>
  <si>
    <t>Summarizes capital transactions for business-type activities for the year.</t>
  </si>
  <si>
    <t>Table Name = Deferred_Inflows</t>
  </si>
  <si>
    <t>Tab = Long-Term Obligations</t>
  </si>
  <si>
    <t>Summarizes future minimum lease payments.</t>
  </si>
  <si>
    <t>Itemizes cost of assets leased, accumulated depreciation and net book value.</t>
  </si>
  <si>
    <t>Summarizes long-term debt transactions for governmental and business-type activities for the year.</t>
  </si>
  <si>
    <t>Tab = Other Tables</t>
  </si>
  <si>
    <t>Itemizes composition of interfund balances.</t>
  </si>
  <si>
    <t>Describes balance in deferred inflows of resources.</t>
  </si>
  <si>
    <t>Table itemizes the proportion of fund balance of the General Fund that is available for appropriation.</t>
  </si>
  <si>
    <t>Summarizes commitments related to purchase order and unperformed contracts at year-end.</t>
  </si>
  <si>
    <t>Tab and Description</t>
  </si>
  <si>
    <t>I.F.2.</t>
  </si>
  <si>
    <t>I.E.9.</t>
  </si>
  <si>
    <t>I.E.4.</t>
  </si>
  <si>
    <t>III.A.2.</t>
  </si>
  <si>
    <t>III.B.2.</t>
  </si>
  <si>
    <t>III.B.5.c.</t>
  </si>
  <si>
    <t>III.B.5.b.</t>
  </si>
  <si>
    <t>III.C.</t>
  </si>
  <si>
    <t>III.D.</t>
  </si>
  <si>
    <t>Note Ref.</t>
  </si>
  <si>
    <t>Net change in debt - business-type activities</t>
  </si>
  <si>
    <t>Capital assets</t>
  </si>
  <si>
    <t>Total assets</t>
  </si>
  <si>
    <t>Long-term liabilities</t>
  </si>
  <si>
    <t>Current and other liabilities</t>
  </si>
  <si>
    <t>Deferred inflows of resources</t>
  </si>
  <si>
    <t>Net investment in capital assets</t>
  </si>
  <si>
    <t>Unrestricted</t>
  </si>
  <si>
    <t>Governmental Activities</t>
  </si>
  <si>
    <t>Business-type Activities</t>
  </si>
  <si>
    <t>Total liabilities</t>
  </si>
  <si>
    <t>Total net position</t>
  </si>
  <si>
    <t>Other current assets</t>
  </si>
  <si>
    <t>Cash and cash equivalents</t>
  </si>
  <si>
    <t>Assets</t>
  </si>
  <si>
    <t>Net position</t>
  </si>
  <si>
    <t>Revenues</t>
  </si>
  <si>
    <t>Program revenues</t>
  </si>
  <si>
    <t>Charges for services</t>
  </si>
  <si>
    <t xml:space="preserve">Operating grants and contributions </t>
  </si>
  <si>
    <t>Capital grants and contributions</t>
  </si>
  <si>
    <t>General revenues</t>
  </si>
  <si>
    <t>Unrestricted grants and contributions</t>
  </si>
  <si>
    <t>Other</t>
  </si>
  <si>
    <t>Total revenues</t>
  </si>
  <si>
    <t>Expenses</t>
  </si>
  <si>
    <t>Instructional services</t>
  </si>
  <si>
    <t>System-wide support services</t>
  </si>
  <si>
    <t>Non-programed charges</t>
  </si>
  <si>
    <t>School food service</t>
  </si>
  <si>
    <t>Child care</t>
  </si>
  <si>
    <t>Interest on long-term debt</t>
  </si>
  <si>
    <t>Total expenses</t>
  </si>
  <si>
    <t>Increase in net position before transfers</t>
  </si>
  <si>
    <t>Transfers</t>
  </si>
  <si>
    <t>Change in net position</t>
  </si>
  <si>
    <t>Net position, beginning</t>
  </si>
  <si>
    <t>Net position, ending</t>
  </si>
  <si>
    <t xml:space="preserve">Net Position:  Bal sheet =  Income Stmt </t>
  </si>
  <si>
    <t xml:space="preserve">Total Column crossfoots? </t>
  </si>
  <si>
    <t>Furniture and other equipment</t>
  </si>
  <si>
    <t>Capital assets, net</t>
  </si>
  <si>
    <t>Capital assets; table = balance sheet?</t>
  </si>
  <si>
    <t>Capital leases</t>
  </si>
  <si>
    <t>Total long-term obligations</t>
  </si>
  <si>
    <t>Condensed Statement of Net Position</t>
  </si>
  <si>
    <t>Condensed Statement of Activities</t>
  </si>
  <si>
    <t>Capital Assets, Net of Depreciation</t>
  </si>
  <si>
    <t>Long-term Obligations</t>
  </si>
  <si>
    <t>Figure 2</t>
  </si>
  <si>
    <t>Figure 3</t>
  </si>
  <si>
    <t>Figure 4</t>
  </si>
  <si>
    <t>Figure 5</t>
  </si>
  <si>
    <t>Liabilities</t>
  </si>
  <si>
    <t>County, State and federal funds</t>
  </si>
  <si>
    <t>Net position and fund balances reconcile?</t>
  </si>
  <si>
    <t>Change: Net position &amp; fund balances reconcile?</t>
  </si>
  <si>
    <t xml:space="preserve">Begin = Prior Ending? </t>
  </si>
  <si>
    <t>Cardinal Charter, Inc.</t>
  </si>
  <si>
    <t>Prepaid facilities rent (General Fund)</t>
  </si>
  <si>
    <r>
      <t xml:space="preserve">Note payable in above schedule </t>
    </r>
    <r>
      <rPr>
        <u/>
        <sz val="12"/>
        <color theme="1"/>
        <rFont val="Times New Roman"/>
        <family val="1"/>
      </rPr>
      <t>includes</t>
    </r>
    <r>
      <rPr>
        <sz val="12"/>
        <color theme="1"/>
        <rFont val="Times New Roman"/>
        <family val="2"/>
      </rPr>
      <t xml:space="preserve"> current amount.</t>
    </r>
  </si>
  <si>
    <t>Balance represents amount owed to the State Public School Fund from the General Fund to repay the fund for a tract of land purchased in violation of G.S. 115C‑218.105(b).</t>
  </si>
  <si>
    <t>Table Name = Interfund_Transfer_Note</t>
  </si>
  <si>
    <t>Amount transferred from the State Public School Fund to the School Food Service Fund to support activities related to providing nutritionally-balanced meals to students.</t>
  </si>
  <si>
    <t>Summarizes interfund transactions during the year.</t>
  </si>
  <si>
    <t>Table Name for Notes</t>
  </si>
  <si>
    <t>Table Name = MDA_Figure_2</t>
  </si>
  <si>
    <t>Table Name = MDA_Figure_3</t>
  </si>
  <si>
    <t>Table Name = MDA_Figure_4</t>
  </si>
  <si>
    <t>Table Name = MDA_Figure_5</t>
  </si>
  <si>
    <t>Tab = For MD&amp;A</t>
  </si>
  <si>
    <t>MD&amp;A</t>
  </si>
  <si>
    <t>MDA Figure 1</t>
  </si>
  <si>
    <r>
      <rPr>
        <u/>
        <sz val="12"/>
        <color theme="1"/>
        <rFont val="Times New Roman"/>
        <family val="1"/>
      </rPr>
      <t>See</t>
    </r>
    <r>
      <rPr>
        <sz val="12"/>
        <color theme="1"/>
        <rFont val="Times New Roman"/>
        <family val="2"/>
      </rPr>
      <t>:  "Appendix - Alternative Graphics for Consideration"</t>
    </r>
  </si>
  <si>
    <t>Following MD&amp;A draft</t>
  </si>
  <si>
    <r>
      <t>While</t>
    </r>
    <r>
      <rPr>
        <u/>
        <sz val="12"/>
        <color theme="1"/>
        <rFont val="Times New Roman"/>
        <family val="1"/>
      </rPr>
      <t xml:space="preserve"> in the Tab with the table</t>
    </r>
    <r>
      <rPr>
        <sz val="12"/>
        <color theme="1"/>
        <rFont val="Times New Roman"/>
        <family val="2"/>
      </rPr>
      <t>, select the requested table from the "Names Box" or using the "Name Manager".</t>
    </r>
  </si>
  <si>
    <t>In the sample financials, the selection was copied and pasted as a Picture (Enhanced Metafile) - for information, see the Appendix referenced below for MDA Figure 1.  However, the best approach is the one with which you are most familiar.</t>
  </si>
  <si>
    <t>Appropriated fund balance in 2020 budget</t>
  </si>
  <si>
    <t>For MD&amp;A text:</t>
  </si>
  <si>
    <t>% chg GA</t>
  </si>
  <si>
    <t>% chg BTA</t>
  </si>
  <si>
    <t>% chg Total</t>
  </si>
  <si>
    <t xml:space="preserve">Net position total  = </t>
  </si>
  <si>
    <t xml:space="preserve">In balance?  </t>
  </si>
  <si>
    <t>Components as % of total net position</t>
  </si>
  <si>
    <t>% Total GA</t>
  </si>
  <si>
    <t>% Total BTA</t>
  </si>
  <si>
    <t>% Total</t>
  </si>
  <si>
    <t>Net Transfers -- check details!</t>
  </si>
  <si>
    <t>Investment earnings</t>
  </si>
  <si>
    <t>Ancillary services</t>
  </si>
  <si>
    <t>Revenue bond</t>
  </si>
  <si>
    <t>Fiscal Year Ended June 30, 2018</t>
  </si>
  <si>
    <t>Note payable direct borrowing</t>
  </si>
  <si>
    <t>Notes payable direct borrowing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</si>
</sst>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yyyy"/>
    <numFmt numFmtId="167" formatCode="0.0%"/>
  </numFmts>
  <fonts count="20" x14ac:knownFonts="1">
    <font>
      <sz val="12"/>
      <color theme="1"/>
      <name val="Times New Roman"/>
      <family val="2"/>
    </font>
    <font>
      <u val="singleAccounting"/>
      <sz val="12"/>
      <color theme="1"/>
      <name val="Times New Roman"/>
      <family val="1"/>
    </font>
    <font>
      <sz val="12"/>
      <color theme="1"/>
      <name val="Times New Roman"/>
      <family val="1"/>
    </font>
    <font>
      <u val="singleAccounting"/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rgb="FFFF0000"/>
      <name val="Times New Roman"/>
      <family val="1"/>
    </font>
    <font>
      <sz val="12"/>
      <color theme="1"/>
      <name val="Century Schoolbook"/>
      <family val="1"/>
    </font>
    <font>
      <sz val="12"/>
      <name val="Times New Roman"/>
      <family val="1"/>
    </font>
    <font>
      <u val="singleAccounting"/>
      <sz val="12"/>
      <name val="Times New Roman"/>
      <family val="1"/>
    </font>
    <font>
      <u val="doubleAccounting"/>
      <sz val="12"/>
      <name val="Times New Roman"/>
      <family val="1"/>
    </font>
    <font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u val="doubleAccounting"/>
      <sz val="12"/>
      <color theme="1"/>
      <name val="Times New Roman"/>
      <family val="1"/>
    </font>
    <font>
      <u val="doubleAccounting"/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u/>
      <sz val="12"/>
      <color theme="1"/>
      <name val="Times New Roman"/>
      <family val="1"/>
    </font>
    <font>
      <b/>
      <u val="singleAccounting"/>
      <sz val="12"/>
      <color theme="1"/>
      <name val="Arial"/>
      <family val="2"/>
    </font>
    <font>
      <u val="singleAccounting"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medium">
        <color rgb="FFCCFFCC"/>
      </left>
      <right/>
      <top style="medium">
        <color rgb="FFCCFFCC"/>
      </top>
      <bottom/>
      <diagonal/>
    </border>
    <border>
      <left/>
      <right style="medium">
        <color rgb="FFCCFFCC"/>
      </right>
      <top style="medium">
        <color rgb="FFCCFFCC"/>
      </top>
      <bottom/>
      <diagonal/>
    </border>
    <border>
      <left style="medium">
        <color rgb="FFCCFFCC"/>
      </left>
      <right/>
      <top/>
      <bottom/>
      <diagonal/>
    </border>
    <border>
      <left/>
      <right style="medium">
        <color rgb="FFCCFFCC"/>
      </right>
      <top/>
      <bottom/>
      <diagonal/>
    </border>
    <border>
      <left style="medium">
        <color rgb="FFCCFFCC"/>
      </left>
      <right/>
      <top/>
      <bottom style="medium">
        <color rgb="FFCCFFCC"/>
      </bottom>
      <diagonal/>
    </border>
    <border>
      <left/>
      <right style="medium">
        <color rgb="FFCCFFCC"/>
      </right>
      <top/>
      <bottom style="medium">
        <color rgb="FFCCFFCC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42" fontId="2" fillId="0" borderId="0" xfId="1" applyNumberFormat="1" applyFont="1"/>
    <xf numFmtId="41" fontId="2" fillId="0" borderId="0" xfId="1" applyNumberFormat="1" applyFont="1"/>
    <xf numFmtId="41" fontId="1" fillId="0" borderId="0" xfId="1" applyNumberFormat="1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2" fillId="2" borderId="0" xfId="0" applyFont="1" applyFill="1"/>
    <xf numFmtId="165" fontId="7" fillId="0" borderId="0" xfId="1" applyNumberFormat="1" applyFont="1" applyFill="1"/>
    <xf numFmtId="164" fontId="7" fillId="0" borderId="0" xfId="1" applyNumberFormat="1" applyFont="1" applyFill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64" fontId="8" fillId="0" borderId="0" xfId="1" applyNumberFormat="1" applyFont="1" applyFill="1"/>
    <xf numFmtId="165" fontId="9" fillId="0" borderId="0" xfId="1" applyNumberFormat="1" applyFont="1" applyFill="1"/>
    <xf numFmtId="42" fontId="2" fillId="0" borderId="0" xfId="0" applyNumberFormat="1" applyFont="1"/>
    <xf numFmtId="0" fontId="2" fillId="0" borderId="0" xfId="0" applyFont="1" applyBorder="1" applyAlignment="1">
      <alignment horizontal="left" wrapText="1" indent="3"/>
    </xf>
    <xf numFmtId="165" fontId="7" fillId="3" borderId="0" xfId="1" applyNumberFormat="1" applyFont="1" applyFill="1"/>
    <xf numFmtId="164" fontId="8" fillId="3" borderId="0" xfId="1" applyNumberFormat="1" applyFont="1" applyFill="1"/>
    <xf numFmtId="0" fontId="2" fillId="0" borderId="0" xfId="0" applyFont="1" applyBorder="1" applyAlignment="1">
      <alignment horizontal="center" wrapText="1"/>
    </xf>
    <xf numFmtId="165" fontId="7" fillId="0" borderId="0" xfId="1" quotePrefix="1" applyNumberFormat="1" applyFont="1" applyFill="1" applyAlignment="1">
      <alignment horizontal="center"/>
    </xf>
    <xf numFmtId="165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164" fontId="1" fillId="0" borderId="0" xfId="0" applyNumberFormat="1" applyFont="1"/>
    <xf numFmtId="165" fontId="12" fillId="0" borderId="0" xfId="0" applyNumberFormat="1" applyFont="1"/>
    <xf numFmtId="165" fontId="7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41" fontId="2" fillId="0" borderId="0" xfId="0" applyNumberFormat="1" applyFont="1"/>
    <xf numFmtId="165" fontId="1" fillId="0" borderId="0" xfId="0" applyNumberFormat="1" applyFont="1"/>
    <xf numFmtId="0" fontId="2" fillId="0" borderId="0" xfId="0" applyFont="1" applyFill="1"/>
    <xf numFmtId="0" fontId="2" fillId="0" borderId="0" xfId="0" applyFont="1" applyAlignment="1">
      <alignment horizontal="left" indent="3"/>
    </xf>
    <xf numFmtId="0" fontId="10" fillId="0" borderId="0" xfId="0" applyFont="1" applyAlignment="1"/>
    <xf numFmtId="0" fontId="10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2" fillId="0" borderId="0" xfId="0" quotePrefix="1" applyNumberFormat="1" applyFont="1" applyFill="1"/>
    <xf numFmtId="164" fontId="2" fillId="0" borderId="0" xfId="0" applyNumberFormat="1" applyFont="1" applyFill="1"/>
    <xf numFmtId="164" fontId="2" fillId="0" borderId="0" xfId="0" quotePrefix="1" applyNumberFormat="1" applyFont="1" applyFill="1"/>
    <xf numFmtId="164" fontId="1" fillId="0" borderId="0" xfId="0" quotePrefix="1" applyNumberFormat="1" applyFont="1" applyFill="1"/>
    <xf numFmtId="0" fontId="2" fillId="0" borderId="0" xfId="0" applyFont="1" applyFill="1" applyAlignment="1">
      <alignment horizontal="left" indent="3"/>
    </xf>
    <xf numFmtId="165" fontId="12" fillId="0" borderId="0" xfId="0" applyNumberFormat="1" applyFont="1" applyFill="1"/>
    <xf numFmtId="165" fontId="1" fillId="0" borderId="0" xfId="0" quotePrefix="1" applyNumberFormat="1" applyFont="1" applyFill="1"/>
    <xf numFmtId="42" fontId="12" fillId="0" borderId="0" xfId="0" applyNumberFormat="1" applyFont="1"/>
    <xf numFmtId="0" fontId="2" fillId="0" borderId="0" xfId="0" applyFont="1" applyAlignment="1">
      <alignment horizontal="right"/>
    </xf>
    <xf numFmtId="164" fontId="12" fillId="0" borderId="0" xfId="0" applyNumberFormat="1" applyFont="1"/>
    <xf numFmtId="165" fontId="12" fillId="0" borderId="0" xfId="0" quotePrefix="1" applyNumberFormat="1" applyFont="1" applyAlignment="1">
      <alignment horizontal="center"/>
    </xf>
    <xf numFmtId="165" fontId="5" fillId="0" borderId="0" xfId="0" quotePrefix="1" applyNumberFormat="1" applyFont="1" applyAlignment="1">
      <alignment horizontal="center"/>
    </xf>
    <xf numFmtId="165" fontId="12" fillId="0" borderId="0" xfId="0" applyNumberFormat="1" applyFont="1" applyAlignment="1"/>
    <xf numFmtId="0" fontId="2" fillId="0" borderId="0" xfId="0" applyFont="1" applyAlignment="1">
      <alignment horizontal="left" indent="1"/>
    </xf>
    <xf numFmtId="0" fontId="0" fillId="0" borderId="0" xfId="0" applyAlignment="1">
      <alignment wrapText="1"/>
    </xf>
    <xf numFmtId="0" fontId="2" fillId="0" borderId="0" xfId="0" applyFont="1" applyFill="1" applyBorder="1"/>
    <xf numFmtId="0" fontId="3" fillId="0" borderId="0" xfId="0" applyFont="1"/>
    <xf numFmtId="0" fontId="0" fillId="0" borderId="0" xfId="0" applyAlignment="1">
      <alignment horizontal="left" indent="1"/>
    </xf>
    <xf numFmtId="165" fontId="2" fillId="0" borderId="0" xfId="0" applyNumberFormat="1" applyFont="1" applyFill="1"/>
    <xf numFmtId="164" fontId="1" fillId="0" borderId="0" xfId="0" applyNumberFormat="1" applyFont="1" applyFill="1"/>
    <xf numFmtId="0" fontId="2" fillId="0" borderId="0" xfId="0" applyFont="1" applyFill="1" applyAlignment="1">
      <alignment horizontal="right"/>
    </xf>
    <xf numFmtId="165" fontId="12" fillId="0" borderId="0" xfId="0" quotePrefix="1" applyNumberFormat="1" applyFont="1" applyFill="1" applyAlignment="1">
      <alignment horizontal="center"/>
    </xf>
    <xf numFmtId="165" fontId="5" fillId="0" borderId="0" xfId="0" quotePrefix="1" applyNumberFormat="1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right" wrapText="1"/>
    </xf>
    <xf numFmtId="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/>
    <xf numFmtId="165" fontId="2" fillId="0" borderId="0" xfId="0" applyNumberFormat="1" applyFont="1" applyFill="1" applyBorder="1"/>
    <xf numFmtId="3" fontId="2" fillId="0" borderId="0" xfId="0" quotePrefix="1" applyNumberFormat="1" applyFont="1" applyFill="1" applyBorder="1"/>
    <xf numFmtId="41" fontId="2" fillId="0" borderId="0" xfId="0" applyNumberFormat="1" applyFont="1" applyFill="1" applyBorder="1"/>
    <xf numFmtId="0" fontId="0" fillId="0" borderId="0" xfId="0" applyAlignment="1">
      <alignment horizontal="center"/>
    </xf>
    <xf numFmtId="166" fontId="3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3" fillId="0" borderId="0" xfId="0" applyNumberFormat="1" applyFont="1"/>
    <xf numFmtId="165" fontId="13" fillId="0" borderId="0" xfId="0" applyNumberFormat="1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indent="2"/>
    </xf>
    <xf numFmtId="0" fontId="0" fillId="0" borderId="0" xfId="0" quotePrefix="1" applyAlignment="1">
      <alignment horizontal="center"/>
    </xf>
    <xf numFmtId="0" fontId="2" fillId="0" borderId="0" xfId="0" applyFont="1" applyBorder="1" applyAlignment="1">
      <alignment horizontal="right" wrapText="1" indent="3"/>
    </xf>
    <xf numFmtId="165" fontId="0" fillId="0" borderId="0" xfId="0" applyNumberForma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65" fontId="0" fillId="0" borderId="0" xfId="0" applyNumberFormat="1" applyFont="1"/>
    <xf numFmtId="0" fontId="2" fillId="2" borderId="0" xfId="0" applyFont="1" applyFill="1" applyAlignment="1">
      <alignment horizontal="left" vertical="center" wrapText="1"/>
    </xf>
    <xf numFmtId="0" fontId="0" fillId="0" borderId="0" xfId="0" applyFill="1"/>
    <xf numFmtId="0" fontId="3" fillId="2" borderId="0" xfId="0" applyFont="1" applyFill="1"/>
    <xf numFmtId="0" fontId="0" fillId="0" borderId="0" xfId="0" applyFont="1" applyFill="1"/>
    <xf numFmtId="0" fontId="2" fillId="0" borderId="0" xfId="0" applyFont="1" applyAlignment="1">
      <alignment horizontal="center"/>
    </xf>
    <xf numFmtId="166" fontId="18" fillId="0" borderId="0" xfId="0" applyNumberFormat="1" applyFont="1" applyAlignment="1"/>
    <xf numFmtId="0" fontId="19" fillId="0" borderId="0" xfId="0" applyFont="1" applyAlignment="1">
      <alignment horizontal="center"/>
    </xf>
    <xf numFmtId="0" fontId="19" fillId="0" borderId="0" xfId="0" applyFont="1"/>
    <xf numFmtId="167" fontId="19" fillId="0" borderId="0" xfId="2" applyNumberFormat="1" applyFont="1" applyAlignment="1">
      <alignment horizontal="center"/>
    </xf>
    <xf numFmtId="167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7" fillId="0" borderId="0" xfId="0" quotePrefix="1" applyFont="1" applyAlignment="1">
      <alignment horizontal="center"/>
    </xf>
    <xf numFmtId="167" fontId="19" fillId="0" borderId="0" xfId="0" applyNumberFormat="1" applyFont="1"/>
    <xf numFmtId="167" fontId="19" fillId="0" borderId="0" xfId="2" applyNumberFormat="1" applyFont="1" applyFill="1" applyAlignment="1">
      <alignment horizontal="center"/>
    </xf>
    <xf numFmtId="9" fontId="0" fillId="0" borderId="0" xfId="2" applyFont="1"/>
    <xf numFmtId="9" fontId="19" fillId="5" borderId="0" xfId="2" applyFont="1" applyFill="1"/>
    <xf numFmtId="164" fontId="19" fillId="0" borderId="0" xfId="0" applyNumberFormat="1" applyFont="1"/>
    <xf numFmtId="164" fontId="0" fillId="0" borderId="0" xfId="0" applyNumberFormat="1" applyFont="1"/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2" fillId="7" borderId="0" xfId="0" applyFont="1" applyFill="1"/>
    <xf numFmtId="0" fontId="0" fillId="0" borderId="0" xfId="0" applyFill="1" applyAlignment="1">
      <alignment horizontal="left" indent="1"/>
    </xf>
    <xf numFmtId="0" fontId="0" fillId="7" borderId="0" xfId="0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4" fillId="6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7" fillId="4" borderId="0" xfId="0" applyFont="1" applyFill="1" applyAlignment="1">
      <alignment horizontal="center"/>
    </xf>
    <xf numFmtId="0" fontId="19" fillId="4" borderId="1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center"/>
    </xf>
    <xf numFmtId="165" fontId="5" fillId="0" borderId="0" xfId="1" quotePrefix="1" applyNumberFormat="1" applyFont="1" applyFill="1" applyAlignment="1">
      <alignment horizontal="center"/>
    </xf>
    <xf numFmtId="0" fontId="2" fillId="0" borderId="0" xfId="0" applyFont="1" applyBorder="1" applyAlignment="1">
      <alignment horizontal="right" wrapText="1" indent="1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 indent="3"/>
    </xf>
    <xf numFmtId="0" fontId="11" fillId="0" borderId="0" xfId="0" applyFont="1" applyAlignment="1">
      <alignment horizontal="left" wrapText="1"/>
    </xf>
    <xf numFmtId="0" fontId="1" fillId="0" borderId="0" xfId="0" applyFont="1" applyFill="1" applyAlignment="1">
      <alignment horizontal="center"/>
    </xf>
    <xf numFmtId="0" fontId="2" fillId="0" borderId="0" xfId="0" quotePrefix="1" applyFont="1" applyFill="1" applyAlignment="1">
      <alignment wrapText="1"/>
    </xf>
    <xf numFmtId="0" fontId="2" fillId="0" borderId="0" xfId="0" quotePrefix="1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66FFFF"/>
      <color rgb="FFFFFFCC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9"/>
  <sheetViews>
    <sheetView showGridLines="0" tabSelected="1" zoomScaleNormal="100" workbookViewId="0">
      <selection activeCell="A3" sqref="A3"/>
    </sheetView>
  </sheetViews>
  <sheetFormatPr defaultRowHeight="15.75" x14ac:dyDescent="0.25"/>
  <cols>
    <col min="1" max="1" width="5.625" customWidth="1"/>
    <col min="2" max="2" width="40.625" customWidth="1"/>
    <col min="3" max="3" width="48.625" customWidth="1"/>
    <col min="4" max="4" width="11.625" customWidth="1"/>
    <col min="5" max="5" width="10.625" customWidth="1"/>
  </cols>
  <sheetData>
    <row r="1" spans="2:5" ht="26.1" customHeight="1" x14ac:dyDescent="0.25">
      <c r="B1" s="124" t="s">
        <v>199</v>
      </c>
      <c r="C1" s="124"/>
      <c r="D1" s="124"/>
      <c r="E1" s="97"/>
    </row>
    <row r="2" spans="2:5" ht="39.950000000000003" customHeight="1" x14ac:dyDescent="0.25">
      <c r="B2" s="123" t="s">
        <v>200</v>
      </c>
      <c r="C2" s="123"/>
      <c r="D2" s="123"/>
      <c r="E2" s="29"/>
    </row>
    <row r="3" spans="2:5" ht="30" customHeight="1" x14ac:dyDescent="0.25">
      <c r="B3" s="116" t="str">
        <f>'For MD&amp;A'!A1</f>
        <v>Cardinal Charter, Inc.</v>
      </c>
      <c r="C3" s="116" t="s">
        <v>216</v>
      </c>
    </row>
    <row r="4" spans="2:5" ht="18" x14ac:dyDescent="0.4">
      <c r="B4" s="98" t="s">
        <v>189</v>
      </c>
      <c r="C4" s="59" t="s">
        <v>113</v>
      </c>
      <c r="D4" s="125" t="s">
        <v>123</v>
      </c>
      <c r="E4" s="125"/>
    </row>
    <row r="5" spans="2:5" x14ac:dyDescent="0.25">
      <c r="B5" s="99" t="s">
        <v>196</v>
      </c>
      <c r="C5" s="13" t="s">
        <v>197</v>
      </c>
      <c r="D5" s="122" t="s">
        <v>198</v>
      </c>
      <c r="E5" s="122"/>
    </row>
    <row r="7" spans="2:5" x14ac:dyDescent="0.25">
      <c r="B7" s="37" t="s">
        <v>190</v>
      </c>
      <c r="C7" t="s">
        <v>194</v>
      </c>
      <c r="D7" s="121" t="s">
        <v>195</v>
      </c>
      <c r="E7" s="121"/>
    </row>
    <row r="8" spans="2:5" x14ac:dyDescent="0.25">
      <c r="B8" s="37"/>
      <c r="C8" t="s">
        <v>169</v>
      </c>
    </row>
    <row r="9" spans="2:5" x14ac:dyDescent="0.25">
      <c r="B9" s="97"/>
    </row>
    <row r="10" spans="2:5" x14ac:dyDescent="0.25">
      <c r="B10" s="37" t="s">
        <v>191</v>
      </c>
      <c r="C10" t="s">
        <v>194</v>
      </c>
      <c r="D10" s="121" t="s">
        <v>195</v>
      </c>
      <c r="E10" s="121"/>
    </row>
    <row r="11" spans="2:5" x14ac:dyDescent="0.25">
      <c r="B11" s="37"/>
      <c r="C11" t="s">
        <v>170</v>
      </c>
    </row>
    <row r="12" spans="2:5" x14ac:dyDescent="0.25">
      <c r="B12" s="97"/>
    </row>
    <row r="13" spans="2:5" x14ac:dyDescent="0.25">
      <c r="B13" s="37" t="s">
        <v>192</v>
      </c>
      <c r="C13" t="s">
        <v>194</v>
      </c>
      <c r="D13" s="121" t="s">
        <v>195</v>
      </c>
      <c r="E13" s="121"/>
    </row>
    <row r="14" spans="2:5" x14ac:dyDescent="0.25">
      <c r="B14" s="37"/>
      <c r="C14" t="s">
        <v>171</v>
      </c>
    </row>
    <row r="15" spans="2:5" x14ac:dyDescent="0.25">
      <c r="B15" s="97"/>
    </row>
    <row r="16" spans="2:5" x14ac:dyDescent="0.25">
      <c r="B16" s="37" t="s">
        <v>193</v>
      </c>
      <c r="C16" t="s">
        <v>194</v>
      </c>
      <c r="D16" s="121" t="s">
        <v>195</v>
      </c>
      <c r="E16" s="121"/>
    </row>
    <row r="17" spans="2:5" x14ac:dyDescent="0.25">
      <c r="C17" t="s">
        <v>172</v>
      </c>
    </row>
    <row r="19" spans="2:5" x14ac:dyDescent="0.25">
      <c r="B19" s="37" t="s">
        <v>37</v>
      </c>
      <c r="C19" t="s">
        <v>95</v>
      </c>
      <c r="D19" s="121" t="s">
        <v>115</v>
      </c>
      <c r="E19" s="121"/>
    </row>
    <row r="20" spans="2:5" ht="31.5" x14ac:dyDescent="0.25">
      <c r="C20" s="6" t="s">
        <v>96</v>
      </c>
    </row>
    <row r="22" spans="2:5" x14ac:dyDescent="0.25">
      <c r="B22" s="37" t="s">
        <v>38</v>
      </c>
      <c r="C22" t="s">
        <v>95</v>
      </c>
      <c r="D22" s="121" t="s">
        <v>114</v>
      </c>
      <c r="E22" s="121"/>
    </row>
    <row r="23" spans="2:5" ht="47.25" x14ac:dyDescent="0.25">
      <c r="C23" s="6" t="s">
        <v>97</v>
      </c>
    </row>
    <row r="25" spans="2:5" x14ac:dyDescent="0.25">
      <c r="B25" s="37" t="s">
        <v>42</v>
      </c>
      <c r="C25" t="s">
        <v>98</v>
      </c>
      <c r="D25" s="121" t="s">
        <v>116</v>
      </c>
      <c r="E25" s="121"/>
    </row>
    <row r="26" spans="2:5" x14ac:dyDescent="0.25">
      <c r="C26" t="s">
        <v>99</v>
      </c>
    </row>
    <row r="27" spans="2:5" x14ac:dyDescent="0.25">
      <c r="C27" s="40"/>
    </row>
    <row r="28" spans="2:5" x14ac:dyDescent="0.25">
      <c r="B28" s="37" t="s">
        <v>82</v>
      </c>
      <c r="C28" t="s">
        <v>98</v>
      </c>
      <c r="D28" s="121" t="s">
        <v>117</v>
      </c>
      <c r="E28" s="121"/>
    </row>
    <row r="29" spans="2:5" ht="31.5" x14ac:dyDescent="0.25">
      <c r="C29" s="57" t="s">
        <v>101</v>
      </c>
    </row>
    <row r="31" spans="2:5" x14ac:dyDescent="0.25">
      <c r="B31" s="37" t="s">
        <v>41</v>
      </c>
      <c r="C31" t="s">
        <v>98</v>
      </c>
      <c r="D31" s="121" t="s">
        <v>117</v>
      </c>
      <c r="E31" s="121"/>
    </row>
    <row r="32" spans="2:5" x14ac:dyDescent="0.25">
      <c r="C32" t="s">
        <v>100</v>
      </c>
    </row>
    <row r="34" spans="2:5" x14ac:dyDescent="0.25">
      <c r="B34" s="37" t="s">
        <v>84</v>
      </c>
      <c r="C34" t="s">
        <v>98</v>
      </c>
      <c r="D34" s="121" t="s">
        <v>117</v>
      </c>
      <c r="E34" s="121"/>
    </row>
    <row r="35" spans="2:5" ht="31.5" x14ac:dyDescent="0.25">
      <c r="C35" s="57" t="s">
        <v>102</v>
      </c>
    </row>
    <row r="36" spans="2:5" x14ac:dyDescent="0.25">
      <c r="C36" s="57"/>
    </row>
    <row r="37" spans="2:5" x14ac:dyDescent="0.25">
      <c r="B37" s="37" t="s">
        <v>85</v>
      </c>
      <c r="C37" t="s">
        <v>104</v>
      </c>
      <c r="D37" s="121" t="s">
        <v>120</v>
      </c>
      <c r="E37" s="121"/>
    </row>
    <row r="38" spans="2:5" ht="31.5" x14ac:dyDescent="0.25">
      <c r="B38" s="37"/>
      <c r="C38" s="57" t="s">
        <v>106</v>
      </c>
    </row>
    <row r="40" spans="2:5" x14ac:dyDescent="0.25">
      <c r="B40" s="37" t="s">
        <v>86</v>
      </c>
      <c r="C40" t="s">
        <v>104</v>
      </c>
      <c r="D40" s="121" t="s">
        <v>120</v>
      </c>
      <c r="E40" s="121"/>
    </row>
    <row r="41" spans="2:5" x14ac:dyDescent="0.25">
      <c r="C41" t="s">
        <v>105</v>
      </c>
    </row>
    <row r="43" spans="2:5" x14ac:dyDescent="0.25">
      <c r="B43" s="37" t="s">
        <v>87</v>
      </c>
      <c r="C43" t="s">
        <v>104</v>
      </c>
      <c r="D43" s="121" t="s">
        <v>119</v>
      </c>
      <c r="E43" s="121"/>
    </row>
    <row r="44" spans="2:5" ht="31.5" x14ac:dyDescent="0.25">
      <c r="C44" s="57" t="s">
        <v>107</v>
      </c>
    </row>
    <row r="46" spans="2:5" x14ac:dyDescent="0.25">
      <c r="B46" s="58" t="s">
        <v>103</v>
      </c>
      <c r="C46" t="s">
        <v>108</v>
      </c>
      <c r="D46" s="121" t="s">
        <v>118</v>
      </c>
      <c r="E46" s="121"/>
    </row>
    <row r="47" spans="2:5" x14ac:dyDescent="0.25">
      <c r="C47" s="57" t="s">
        <v>110</v>
      </c>
    </row>
    <row r="49" spans="2:5" x14ac:dyDescent="0.25">
      <c r="B49" s="37" t="s">
        <v>71</v>
      </c>
      <c r="C49" t="s">
        <v>108</v>
      </c>
      <c r="D49" s="121" t="s">
        <v>121</v>
      </c>
      <c r="E49" s="121"/>
    </row>
    <row r="50" spans="2:5" x14ac:dyDescent="0.25">
      <c r="C50" t="s">
        <v>109</v>
      </c>
    </row>
    <row r="52" spans="2:5" x14ac:dyDescent="0.25">
      <c r="B52" s="37" t="s">
        <v>186</v>
      </c>
      <c r="C52" t="s">
        <v>108</v>
      </c>
      <c r="D52" s="121" t="s">
        <v>121</v>
      </c>
      <c r="E52" s="121"/>
    </row>
    <row r="53" spans="2:5" x14ac:dyDescent="0.25">
      <c r="C53" t="s">
        <v>188</v>
      </c>
    </row>
    <row r="55" spans="2:5" x14ac:dyDescent="0.25">
      <c r="B55" s="37" t="s">
        <v>64</v>
      </c>
      <c r="C55" t="s">
        <v>108</v>
      </c>
      <c r="D55" s="121" t="s">
        <v>122</v>
      </c>
      <c r="E55" s="121"/>
    </row>
    <row r="56" spans="2:5" ht="31.5" x14ac:dyDescent="0.25">
      <c r="C56" s="57" t="s">
        <v>111</v>
      </c>
    </row>
    <row r="58" spans="2:5" x14ac:dyDescent="0.25">
      <c r="B58" s="37" t="s">
        <v>70</v>
      </c>
      <c r="C58" t="s">
        <v>108</v>
      </c>
      <c r="D58" s="121" t="s">
        <v>122</v>
      </c>
      <c r="E58" s="121"/>
    </row>
    <row r="59" spans="2:5" ht="31.5" x14ac:dyDescent="0.25">
      <c r="C59" s="57" t="s">
        <v>112</v>
      </c>
    </row>
  </sheetData>
  <mergeCells count="22">
    <mergeCell ref="D19:E19"/>
    <mergeCell ref="D4:E4"/>
    <mergeCell ref="D7:E7"/>
    <mergeCell ref="D10:E10"/>
    <mergeCell ref="D13:E13"/>
    <mergeCell ref="D16:E16"/>
    <mergeCell ref="D58:E58"/>
    <mergeCell ref="D5:E5"/>
    <mergeCell ref="B2:D2"/>
    <mergeCell ref="B1:D1"/>
    <mergeCell ref="D40:E40"/>
    <mergeCell ref="D43:E43"/>
    <mergeCell ref="D46:E46"/>
    <mergeCell ref="D49:E49"/>
    <mergeCell ref="D52:E52"/>
    <mergeCell ref="D55:E55"/>
    <mergeCell ref="D22:E22"/>
    <mergeCell ref="D25:E25"/>
    <mergeCell ref="D28:E28"/>
    <mergeCell ref="D31:E31"/>
    <mergeCell ref="D34:E34"/>
    <mergeCell ref="D37:E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8"/>
  <sheetViews>
    <sheetView showGridLines="0" workbookViewId="0">
      <selection activeCell="A2" sqref="A2"/>
    </sheetView>
  </sheetViews>
  <sheetFormatPr defaultRowHeight="15.75" x14ac:dyDescent="0.25"/>
  <cols>
    <col min="1" max="1" width="31.625" customWidth="1"/>
    <col min="2" max="7" width="10.625" customWidth="1"/>
    <col min="9" max="11" width="10.625" customWidth="1"/>
    <col min="12" max="14" width="11.625" customWidth="1"/>
  </cols>
  <sheetData>
    <row r="1" spans="1:11" x14ac:dyDescent="0.25">
      <c r="A1" s="92" t="s">
        <v>182</v>
      </c>
    </row>
    <row r="2" spans="1:11" x14ac:dyDescent="0.25">
      <c r="A2" s="92"/>
    </row>
    <row r="3" spans="1:11" x14ac:dyDescent="0.25">
      <c r="A3" s="14" t="s">
        <v>190</v>
      </c>
    </row>
    <row r="5" spans="1:11" x14ac:dyDescent="0.25">
      <c r="A5" s="121" t="s">
        <v>173</v>
      </c>
      <c r="B5" s="121"/>
      <c r="C5" s="121"/>
      <c r="D5" s="121"/>
      <c r="E5" s="121"/>
      <c r="F5" s="121"/>
      <c r="G5" s="121"/>
    </row>
    <row r="6" spans="1:11" ht="20.100000000000001" customHeight="1" x14ac:dyDescent="0.25">
      <c r="A6" s="126" t="s">
        <v>169</v>
      </c>
      <c r="B6" s="126"/>
      <c r="C6" s="126"/>
      <c r="D6" s="126"/>
      <c r="E6" s="126"/>
      <c r="F6" s="126"/>
      <c r="G6" s="126"/>
    </row>
    <row r="7" spans="1:11" ht="20.25" x14ac:dyDescent="0.55000000000000004">
      <c r="B7" s="125" t="s">
        <v>132</v>
      </c>
      <c r="C7" s="125"/>
      <c r="D7" s="125" t="s">
        <v>133</v>
      </c>
      <c r="E7" s="125"/>
      <c r="F7" s="125" t="s">
        <v>49</v>
      </c>
      <c r="G7" s="125"/>
      <c r="I7" s="127" t="s">
        <v>202</v>
      </c>
      <c r="J7" s="127"/>
      <c r="K7" s="127"/>
    </row>
    <row r="8" spans="1:11" ht="18" x14ac:dyDescent="0.4">
      <c r="B8" s="77">
        <v>43646</v>
      </c>
      <c r="C8" s="77">
        <v>43281</v>
      </c>
      <c r="D8" s="77">
        <f>B8</f>
        <v>43646</v>
      </c>
      <c r="E8" s="77">
        <f>C8</f>
        <v>43281</v>
      </c>
      <c r="F8" s="77">
        <f>D8</f>
        <v>43646</v>
      </c>
      <c r="G8" s="77">
        <f>E8</f>
        <v>43281</v>
      </c>
      <c r="I8" s="101" t="s">
        <v>203</v>
      </c>
      <c r="J8" s="101" t="s">
        <v>204</v>
      </c>
      <c r="K8" s="101" t="s">
        <v>205</v>
      </c>
    </row>
    <row r="9" spans="1:11" x14ac:dyDescent="0.25">
      <c r="A9" s="85" t="s">
        <v>138</v>
      </c>
      <c r="I9" s="102"/>
      <c r="J9" s="102"/>
      <c r="K9" s="103"/>
    </row>
    <row r="10" spans="1:11" x14ac:dyDescent="0.25">
      <c r="A10" t="s">
        <v>137</v>
      </c>
      <c r="B10" s="79">
        <v>91584</v>
      </c>
      <c r="C10" s="79">
        <v>46205</v>
      </c>
      <c r="D10" s="79">
        <v>5387</v>
      </c>
      <c r="E10" s="79">
        <v>1215</v>
      </c>
      <c r="F10" s="79">
        <f>B10+D10</f>
        <v>96971</v>
      </c>
      <c r="G10" s="79">
        <f>C10+E10</f>
        <v>47420</v>
      </c>
      <c r="I10" s="104">
        <f>IF(OR(B10&lt;=0,C10&lt;=0),"na   ",IF((B10/C10)-1&gt;$K$26,"nm   ",(B10/C10)-1))</f>
        <v>0.98212314684557955</v>
      </c>
      <c r="J10" s="104" t="str">
        <f>IF(OR(D10&lt;=0,E10&lt;=0),"na   ",IF((D10/E10)-1&gt;$K$26,"nm   ",(D10/E10)-1))</f>
        <v xml:space="preserve">nm   </v>
      </c>
      <c r="K10" s="104">
        <f>IF(OR(F10&lt;=0,G10&lt;=0),"na   ",IF((F10/G10)-1&gt;$K$26,"nm   ",(F10/G10)-1))</f>
        <v>1.0449388443694643</v>
      </c>
    </row>
    <row r="11" spans="1:11" x14ac:dyDescent="0.25">
      <c r="A11" t="s">
        <v>136</v>
      </c>
      <c r="B11" s="78">
        <f>194251-B10</f>
        <v>102667</v>
      </c>
      <c r="C11" s="78">
        <f>146552-C10</f>
        <v>100347</v>
      </c>
      <c r="D11" s="78">
        <f>24178-D10</f>
        <v>18791</v>
      </c>
      <c r="E11" s="78">
        <f>3078-E10</f>
        <v>1863</v>
      </c>
      <c r="F11" s="78">
        <f t="shared" ref="F11" si="0">B11+D11</f>
        <v>121458</v>
      </c>
      <c r="G11" s="78">
        <f t="shared" ref="G11" si="1">C11+E11</f>
        <v>102210</v>
      </c>
      <c r="I11" s="104">
        <f t="shared" ref="I11:I13" si="2">IF(OR(B11&lt;=0,C11&lt;=0),"na   ",IF((B11/C11)-1&gt;$K$26,"nm   ",(B11/C11)-1))</f>
        <v>2.3119774382891256E-2</v>
      </c>
      <c r="J11" s="104" t="str">
        <f t="shared" ref="J11:J13" si="3">IF(OR(D11&lt;=0,E11&lt;=0),"na   ",IF((D11/E11)-1&gt;$K$26,"nm   ",(D11/E11)-1))</f>
        <v xml:space="preserve">nm   </v>
      </c>
      <c r="K11" s="104">
        <f t="shared" ref="K11:K13" si="4">IF(OR(F11&lt;=0,G11&lt;=0),"na   ",IF((F11/G11)-1&gt;$K$26,"nm   ",(F11/G11)-1))</f>
        <v>0.18831816847666571</v>
      </c>
    </row>
    <row r="12" spans="1:11" ht="18" x14ac:dyDescent="0.4">
      <c r="A12" t="s">
        <v>125</v>
      </c>
      <c r="B12" s="80">
        <v>914783</v>
      </c>
      <c r="C12" s="80">
        <v>566936</v>
      </c>
      <c r="D12" s="80">
        <v>33541</v>
      </c>
      <c r="E12" s="80">
        <v>26150</v>
      </c>
      <c r="F12" s="80">
        <f>B12+D12</f>
        <v>948324</v>
      </c>
      <c r="G12" s="80">
        <f>C12+E12</f>
        <v>593086</v>
      </c>
      <c r="I12" s="104">
        <f t="shared" si="2"/>
        <v>0.61355602748811156</v>
      </c>
      <c r="J12" s="104">
        <f t="shared" si="3"/>
        <v>0.28263862332695977</v>
      </c>
      <c r="K12" s="104">
        <f t="shared" si="4"/>
        <v>0.59896541142431281</v>
      </c>
    </row>
    <row r="13" spans="1:11" ht="18" x14ac:dyDescent="0.4">
      <c r="A13" s="84" t="s">
        <v>126</v>
      </c>
      <c r="B13" s="80">
        <f>SUM(B10:B12)</f>
        <v>1109034</v>
      </c>
      <c r="C13" s="80">
        <f t="shared" ref="C13:G13" si="5">SUM(C10:C12)</f>
        <v>713488</v>
      </c>
      <c r="D13" s="80">
        <f t="shared" si="5"/>
        <v>57719</v>
      </c>
      <c r="E13" s="80">
        <f t="shared" si="5"/>
        <v>29228</v>
      </c>
      <c r="F13" s="80">
        <f>SUM(F10:F12)</f>
        <v>1166753</v>
      </c>
      <c r="G13" s="80">
        <f t="shared" si="5"/>
        <v>742716</v>
      </c>
      <c r="I13" s="104">
        <f t="shared" si="2"/>
        <v>0.55438353553248265</v>
      </c>
      <c r="J13" s="104">
        <f t="shared" si="3"/>
        <v>0.97478445326399332</v>
      </c>
      <c r="K13" s="104">
        <f t="shared" si="4"/>
        <v>0.57092751468932934</v>
      </c>
    </row>
    <row r="14" spans="1:11" ht="21.95" customHeight="1" x14ac:dyDescent="0.4">
      <c r="A14" s="86" t="s">
        <v>177</v>
      </c>
      <c r="B14" s="80"/>
      <c r="C14" s="80"/>
      <c r="D14" s="80"/>
      <c r="E14" s="80"/>
      <c r="F14" s="80"/>
      <c r="G14" s="80"/>
      <c r="I14" s="105"/>
      <c r="J14" s="105"/>
      <c r="K14" s="103"/>
    </row>
    <row r="15" spans="1:11" x14ac:dyDescent="0.25">
      <c r="A15" t="s">
        <v>128</v>
      </c>
      <c r="B15" s="78">
        <f>106019+52472</f>
        <v>158491</v>
      </c>
      <c r="C15" s="78">
        <v>105423</v>
      </c>
      <c r="D15" s="78">
        <v>6113</v>
      </c>
      <c r="E15" s="78">
        <v>7939</v>
      </c>
      <c r="F15" s="78">
        <f t="shared" ref="F15:F16" si="6">B15+D15</f>
        <v>164604</v>
      </c>
      <c r="G15" s="78">
        <f t="shared" ref="G15:G16" si="7">C15+E15</f>
        <v>113362</v>
      </c>
      <c r="I15" s="104">
        <f t="shared" ref="I15:I17" si="8">IF(OR(B15&lt;=0,C15&lt;=0),"na   ",IF((B15/C15)-1&gt;$K$26,"nm   ",(B15/C15)-1))</f>
        <v>0.50338161501759582</v>
      </c>
      <c r="J15" s="104">
        <f t="shared" ref="J15:J17" si="9">IF(OR(D15&lt;=0,E15&lt;=0),"na   ",IF((D15/E15)-1&gt;$K$26,"nm   ",(D15/E15)-1))</f>
        <v>-0.23000377881345258</v>
      </c>
      <c r="K15" s="104">
        <f t="shared" ref="K15:K17" si="10">IF(OR(F15&lt;=0,G15&lt;=0),"na   ",IF((F15/G15)-1&gt;$K$26,"nm   ",(F15/G15)-1))</f>
        <v>0.45202095940438602</v>
      </c>
    </row>
    <row r="16" spans="1:11" ht="18" x14ac:dyDescent="0.4">
      <c r="A16" t="s">
        <v>127</v>
      </c>
      <c r="B16" s="80">
        <f>575785-52472</f>
        <v>523313</v>
      </c>
      <c r="C16" s="80">
        <v>180177</v>
      </c>
      <c r="D16" s="80">
        <v>1643</v>
      </c>
      <c r="E16" s="80">
        <v>0</v>
      </c>
      <c r="F16" s="80">
        <f t="shared" si="6"/>
        <v>524956</v>
      </c>
      <c r="G16" s="80">
        <f t="shared" si="7"/>
        <v>180177</v>
      </c>
      <c r="I16" s="104">
        <f t="shared" si="8"/>
        <v>1.9044384133379952</v>
      </c>
      <c r="J16" s="104" t="str">
        <f t="shared" si="9"/>
        <v xml:space="preserve">na   </v>
      </c>
      <c r="K16" s="104">
        <f t="shared" si="10"/>
        <v>1.9135572242850087</v>
      </c>
    </row>
    <row r="17" spans="1:14" ht="18" x14ac:dyDescent="0.4">
      <c r="A17" s="84" t="s">
        <v>134</v>
      </c>
      <c r="B17" s="80">
        <f>SUM(B15:B16)</f>
        <v>681804</v>
      </c>
      <c r="C17" s="80">
        <f t="shared" ref="C17" si="11">SUM(C15:C16)</f>
        <v>285600</v>
      </c>
      <c r="D17" s="80">
        <f t="shared" ref="D17" si="12">SUM(D15:D16)</f>
        <v>7756</v>
      </c>
      <c r="E17" s="80">
        <f t="shared" ref="E17" si="13">SUM(E15:E16)</f>
        <v>7939</v>
      </c>
      <c r="F17" s="80">
        <f>SUM(F15:F16)</f>
        <v>689560</v>
      </c>
      <c r="G17" s="80">
        <f t="shared" ref="G17" si="14">SUM(G15:G16)</f>
        <v>293539</v>
      </c>
      <c r="I17" s="104">
        <f t="shared" si="8"/>
        <v>1.3872689075630253</v>
      </c>
      <c r="J17" s="104">
        <f t="shared" si="9"/>
        <v>-2.3050762060712882E-2</v>
      </c>
      <c r="K17" s="104">
        <f t="shared" si="10"/>
        <v>1.3491256698428487</v>
      </c>
    </row>
    <row r="18" spans="1:14" ht="21.95" customHeight="1" x14ac:dyDescent="0.4">
      <c r="A18" s="85" t="s">
        <v>129</v>
      </c>
      <c r="B18" s="80">
        <v>1500</v>
      </c>
      <c r="C18" s="80">
        <v>1789</v>
      </c>
      <c r="D18" s="80">
        <v>0</v>
      </c>
      <c r="E18" s="80">
        <v>0</v>
      </c>
      <c r="F18" s="80">
        <f t="shared" ref="F18" si="15">B18+D18</f>
        <v>1500</v>
      </c>
      <c r="G18" s="80">
        <f t="shared" ref="G18" si="16">C18+E18</f>
        <v>1789</v>
      </c>
      <c r="I18" s="104">
        <f>IF(OR(B18&lt;=0,C18&lt;=0),"na   ",IF((B18/C18)-1&gt;$K$26,"nm   ",(B18/C18)-1))</f>
        <v>-0.16154276131917267</v>
      </c>
      <c r="J18" s="104" t="str">
        <f>IF(OR(D18&lt;=0,E18&lt;=0),"na   ",IF((D18/E18)-1&gt;$K$26,"nm   ",(D18/E18)-1))</f>
        <v xml:space="preserve">na   </v>
      </c>
      <c r="K18" s="104">
        <f>IF(OR(F18&lt;=0,G18&lt;=0),"na   ",IF((F18/G18)-1&gt;$K$26,"nm   ",(F18/G18)-1))</f>
        <v>-0.16154276131917267</v>
      </c>
      <c r="L18" s="134" t="s">
        <v>208</v>
      </c>
      <c r="M18" s="134"/>
      <c r="N18" s="134"/>
    </row>
    <row r="19" spans="1:14" ht="21.95" customHeight="1" x14ac:dyDescent="0.55000000000000004">
      <c r="A19" s="85" t="s">
        <v>139</v>
      </c>
      <c r="B19" s="78"/>
      <c r="C19" s="78"/>
      <c r="D19" s="78"/>
      <c r="E19" s="78"/>
      <c r="F19" s="78"/>
      <c r="G19" s="78"/>
      <c r="I19" s="105"/>
      <c r="J19" s="105"/>
      <c r="L19" s="108" t="s">
        <v>209</v>
      </c>
      <c r="M19" s="108" t="s">
        <v>210</v>
      </c>
      <c r="N19" s="109" t="s">
        <v>211</v>
      </c>
    </row>
    <row r="20" spans="1:14" x14ac:dyDescent="0.25">
      <c r="A20" t="s">
        <v>130</v>
      </c>
      <c r="B20" s="78">
        <v>366045</v>
      </c>
      <c r="C20" s="78">
        <v>386759</v>
      </c>
      <c r="D20" s="78">
        <v>33541</v>
      </c>
      <c r="E20" s="78">
        <v>26150</v>
      </c>
      <c r="F20" s="78">
        <f t="shared" ref="F20:F21" si="17">B20+D20</f>
        <v>399586</v>
      </c>
      <c r="G20" s="78">
        <f t="shared" ref="G20:G21" si="18">C20+E20</f>
        <v>412909</v>
      </c>
      <c r="I20" s="104">
        <f t="shared" ref="I20:I22" si="19">IF(OR(B20&lt;=0,C20&lt;=0),"na   ",IF((B20/C20)-1&gt;$K$26,"nm   ",(B20/C20)-1))</f>
        <v>-5.3557900397922187E-2</v>
      </c>
      <c r="J20" s="104">
        <f t="shared" ref="J20:J22" si="20">IF(OR(D20&lt;=0,E20&lt;=0),"na   ",IF((D20/E20)-1&gt;$K$26,"nm   ",(D20/E20)-1))</f>
        <v>0.28263862332695977</v>
      </c>
      <c r="K20" s="104">
        <f t="shared" ref="K20:K22" si="21">IF(OR(F20&lt;=0,G20&lt;=0),"na   ",IF((F20/G20)-1&gt;$K$26,"nm   ",(F20/G20)-1))</f>
        <v>-3.2266189402507583E-2</v>
      </c>
      <c r="L20" s="104">
        <f>(B20/$B$22)</f>
        <v>0.859805510534846</v>
      </c>
      <c r="M20" s="104">
        <f>(D20/$D$22)</f>
        <v>0.6713167744130657</v>
      </c>
      <c r="N20" s="104">
        <f>(F20/$F$22)</f>
        <v>0.8400081565211176</v>
      </c>
    </row>
    <row r="21" spans="1:14" ht="18" x14ac:dyDescent="0.4">
      <c r="A21" t="s">
        <v>131</v>
      </c>
      <c r="B21" s="80">
        <v>59685</v>
      </c>
      <c r="C21" s="80">
        <v>39340</v>
      </c>
      <c r="D21" s="80">
        <v>16422</v>
      </c>
      <c r="E21" s="80">
        <v>-4861</v>
      </c>
      <c r="F21" s="80">
        <f t="shared" si="17"/>
        <v>76107</v>
      </c>
      <c r="G21" s="80">
        <f t="shared" si="18"/>
        <v>34479</v>
      </c>
      <c r="I21" s="104">
        <f t="shared" si="19"/>
        <v>0.51715810879511936</v>
      </c>
      <c r="J21" s="104" t="str">
        <f t="shared" si="20"/>
        <v xml:space="preserve">na   </v>
      </c>
      <c r="K21" s="104">
        <f t="shared" si="21"/>
        <v>1.2073436004524494</v>
      </c>
      <c r="L21" s="104">
        <f>(B21/$B$22)</f>
        <v>0.14019448946515398</v>
      </c>
      <c r="M21" s="104">
        <f>(D21/$D$22)</f>
        <v>0.32868322558693436</v>
      </c>
      <c r="N21" s="104">
        <f>(F21/$F$22)</f>
        <v>0.1599918434788824</v>
      </c>
    </row>
    <row r="22" spans="1:14" ht="18" x14ac:dyDescent="0.4">
      <c r="A22" s="84" t="s">
        <v>135</v>
      </c>
      <c r="B22" s="81">
        <f>+B13-B17-B18</f>
        <v>425730</v>
      </c>
      <c r="C22" s="81">
        <f t="shared" ref="C22:G22" si="22">+C13-C17-C18</f>
        <v>426099</v>
      </c>
      <c r="D22" s="81">
        <f t="shared" si="22"/>
        <v>49963</v>
      </c>
      <c r="E22" s="81">
        <f t="shared" si="22"/>
        <v>21289</v>
      </c>
      <c r="F22" s="81">
        <f t="shared" si="22"/>
        <v>475693</v>
      </c>
      <c r="G22" s="81">
        <f t="shared" si="22"/>
        <v>447388</v>
      </c>
      <c r="I22" s="104">
        <f t="shared" si="19"/>
        <v>-8.6599593052316681E-4</v>
      </c>
      <c r="J22" s="104">
        <f t="shared" si="20"/>
        <v>1.3468927615200337</v>
      </c>
      <c r="K22" s="104">
        <f t="shared" si="21"/>
        <v>6.3267231128237622E-2</v>
      </c>
    </row>
    <row r="23" spans="1:14" x14ac:dyDescent="0.25">
      <c r="B23" s="78"/>
      <c r="C23" s="78"/>
      <c r="D23" s="78"/>
      <c r="E23" s="78"/>
      <c r="F23" s="78"/>
      <c r="G23" s="78"/>
      <c r="I23" s="103"/>
      <c r="J23" s="103"/>
      <c r="K23" s="103"/>
    </row>
    <row r="24" spans="1:14" x14ac:dyDescent="0.25">
      <c r="B24" s="78"/>
      <c r="C24" s="78"/>
      <c r="D24" s="78"/>
      <c r="E24" s="78"/>
      <c r="F24" s="78"/>
      <c r="G24" s="78"/>
      <c r="I24" s="103"/>
      <c r="J24" s="103"/>
      <c r="K24" s="103"/>
    </row>
    <row r="25" spans="1:14" ht="16.5" thickBot="1" x14ac:dyDescent="0.3">
      <c r="A25" s="106" t="s">
        <v>206</v>
      </c>
      <c r="B25" s="107" t="str">
        <f>IF(B13-B17-B18-B22=0,"Yes",B13-B17-B18-B22)</f>
        <v>Yes</v>
      </c>
      <c r="C25" s="107" t="str">
        <f t="shared" ref="C25:G25" si="23">IF(C13-C17-C18-C22=0,"Yes",C13-C17-C18-C22)</f>
        <v>Yes</v>
      </c>
      <c r="D25" s="107" t="str">
        <f t="shared" si="23"/>
        <v>Yes</v>
      </c>
      <c r="E25" s="107" t="str">
        <f t="shared" si="23"/>
        <v>Yes</v>
      </c>
      <c r="F25" s="107" t="str">
        <f t="shared" si="23"/>
        <v>Yes</v>
      </c>
      <c r="G25" s="107" t="str">
        <f t="shared" si="23"/>
        <v>Yes</v>
      </c>
      <c r="I25" s="103"/>
      <c r="J25" s="103"/>
      <c r="K25" s="103"/>
    </row>
    <row r="26" spans="1:14" x14ac:dyDescent="0.25">
      <c r="A26" s="106" t="s">
        <v>207</v>
      </c>
      <c r="B26" s="107" t="str">
        <f>IF(B13-B17-B18-B22=0,"Yes",B13-B17-B18-B22)</f>
        <v>Yes</v>
      </c>
      <c r="C26" s="107" t="str">
        <f t="shared" ref="C26:G26" si="24">IF(C13-C17-C18-C22=0,"Yes",C13-C17-C18-C22)</f>
        <v>Yes</v>
      </c>
      <c r="D26" s="107" t="str">
        <f t="shared" si="24"/>
        <v>Yes</v>
      </c>
      <c r="E26" s="107" t="str">
        <f t="shared" si="24"/>
        <v>Yes</v>
      </c>
      <c r="F26" s="107" t="str">
        <f t="shared" si="24"/>
        <v>Yes</v>
      </c>
      <c r="G26" s="107" t="str">
        <f t="shared" si="24"/>
        <v>Yes</v>
      </c>
      <c r="I26" s="128" t="str">
        <f>CONCATENATE("Note:  % chg &gt; ",K26*100," is presented as not meaningful (nm).")</f>
        <v>Note:  % chg &gt; 300 is presented as not meaningful (nm).</v>
      </c>
      <c r="J26" s="129"/>
      <c r="K26" s="113">
        <v>3</v>
      </c>
    </row>
    <row r="27" spans="1:14" x14ac:dyDescent="0.25">
      <c r="A27" s="106" t="s">
        <v>163</v>
      </c>
      <c r="B27" s="107"/>
      <c r="C27" s="107"/>
      <c r="D27" s="107"/>
      <c r="E27" s="107"/>
      <c r="F27" s="107" t="str">
        <f>IF(B22+D22-F22=0,"Yes",B22+D22-F22)</f>
        <v>Yes</v>
      </c>
      <c r="G27" s="107" t="str">
        <f>IF(C22+E22-G22=0,"Yes",C22+E22-G22)</f>
        <v>Yes</v>
      </c>
      <c r="I27" s="130"/>
      <c r="J27" s="131"/>
      <c r="K27" s="103"/>
      <c r="M27" s="112"/>
    </row>
    <row r="28" spans="1:14" x14ac:dyDescent="0.25">
      <c r="A28" s="83"/>
      <c r="B28" s="82"/>
      <c r="C28" s="82"/>
      <c r="D28" s="82"/>
      <c r="E28" s="82"/>
      <c r="F28" s="82"/>
      <c r="G28" s="82"/>
      <c r="I28" s="130"/>
      <c r="J28" s="131"/>
      <c r="K28" s="103"/>
    </row>
    <row r="29" spans="1:14" ht="16.5" thickBot="1" x14ac:dyDescent="0.3">
      <c r="A29" s="14" t="s">
        <v>191</v>
      </c>
      <c r="B29" s="82"/>
      <c r="C29" s="78"/>
      <c r="D29" s="78"/>
      <c r="E29" s="78"/>
      <c r="F29" s="78"/>
      <c r="G29" s="78"/>
      <c r="I29" s="132"/>
      <c r="J29" s="133"/>
      <c r="K29" s="103"/>
    </row>
    <row r="30" spans="1:14" x14ac:dyDescent="0.25">
      <c r="B30" s="82"/>
      <c r="C30" s="78"/>
      <c r="D30" s="78"/>
      <c r="E30" s="78"/>
      <c r="F30" s="78"/>
      <c r="G30" s="78"/>
    </row>
    <row r="31" spans="1:14" x14ac:dyDescent="0.25">
      <c r="A31" s="121" t="s">
        <v>174</v>
      </c>
      <c r="B31" s="121"/>
      <c r="C31" s="121"/>
      <c r="D31" s="121"/>
      <c r="E31" s="121"/>
      <c r="F31" s="121"/>
      <c r="G31" s="121"/>
    </row>
    <row r="32" spans="1:14" ht="20.100000000000001" customHeight="1" x14ac:dyDescent="0.25">
      <c r="A32" s="126" t="s">
        <v>170</v>
      </c>
      <c r="B32" s="126"/>
      <c r="C32" s="126"/>
      <c r="D32" s="126"/>
      <c r="E32" s="126"/>
      <c r="F32" s="126"/>
      <c r="G32" s="126"/>
    </row>
    <row r="33" spans="1:11" ht="20.25" x14ac:dyDescent="0.55000000000000004">
      <c r="B33" s="125" t="s">
        <v>132</v>
      </c>
      <c r="C33" s="125"/>
      <c r="D33" s="125" t="s">
        <v>133</v>
      </c>
      <c r="E33" s="125"/>
      <c r="F33" s="125" t="s">
        <v>49</v>
      </c>
      <c r="G33" s="125"/>
      <c r="I33" s="127" t="s">
        <v>202</v>
      </c>
      <c r="J33" s="127"/>
      <c r="K33" s="127"/>
    </row>
    <row r="34" spans="1:11" ht="18" x14ac:dyDescent="0.4">
      <c r="B34" s="77">
        <f>B8</f>
        <v>43646</v>
      </c>
      <c r="C34" s="77">
        <f t="shared" ref="C34:G34" si="25">C8</f>
        <v>43281</v>
      </c>
      <c r="D34" s="77">
        <f t="shared" si="25"/>
        <v>43646</v>
      </c>
      <c r="E34" s="77">
        <f t="shared" si="25"/>
        <v>43281</v>
      </c>
      <c r="F34" s="77">
        <f t="shared" si="25"/>
        <v>43646</v>
      </c>
      <c r="G34" s="77">
        <f t="shared" si="25"/>
        <v>43281</v>
      </c>
      <c r="I34" s="101" t="s">
        <v>203</v>
      </c>
      <c r="J34" s="101" t="s">
        <v>204</v>
      </c>
      <c r="K34" s="101" t="s">
        <v>205</v>
      </c>
    </row>
    <row r="35" spans="1:11" x14ac:dyDescent="0.25">
      <c r="A35" s="85" t="s">
        <v>140</v>
      </c>
      <c r="I35" s="103"/>
      <c r="J35" s="103"/>
      <c r="K35" s="103"/>
    </row>
    <row r="36" spans="1:11" x14ac:dyDescent="0.25">
      <c r="A36" s="60" t="s">
        <v>141</v>
      </c>
      <c r="I36" s="103"/>
      <c r="J36" s="103"/>
      <c r="K36" s="103"/>
    </row>
    <row r="37" spans="1:11" x14ac:dyDescent="0.25">
      <c r="A37" s="84" t="s">
        <v>142</v>
      </c>
      <c r="B37" s="79">
        <v>0</v>
      </c>
      <c r="C37" s="79">
        <v>0</v>
      </c>
      <c r="D37" s="79">
        <v>68669</v>
      </c>
      <c r="E37" s="79">
        <v>60115</v>
      </c>
      <c r="F37" s="79">
        <f>B37+D37</f>
        <v>68669</v>
      </c>
      <c r="G37" s="79">
        <f>C37+E37</f>
        <v>60115</v>
      </c>
      <c r="I37" s="104" t="str">
        <f>IF(OR(B37&lt;=0,C37&lt;=0),"na   ",IF((B37/C37)-1&gt;$K$26,"nm   ",(B37/C37)-1))</f>
        <v xml:space="preserve">na   </v>
      </c>
      <c r="J37" s="104">
        <f>IF(OR(D37&lt;=0,E37&lt;=0),"na   ",IF((D37/E37)-1&gt;$K$26,"nm   ",(D37/E37)-1))</f>
        <v>0.14229393662147549</v>
      </c>
      <c r="K37" s="104">
        <f>IF(OR(F37&lt;=0,G37&lt;=0),"na   ",IF((F37/G37)-1&gt;$K$26,"nm   ",(F37/G37)-1))</f>
        <v>0.14229393662147549</v>
      </c>
    </row>
    <row r="38" spans="1:11" x14ac:dyDescent="0.25">
      <c r="A38" s="84" t="s">
        <v>143</v>
      </c>
      <c r="B38" s="78">
        <v>46125</v>
      </c>
      <c r="C38" s="78">
        <v>40051</v>
      </c>
      <c r="D38" s="78">
        <v>46351</v>
      </c>
      <c r="E38" s="78">
        <v>40252</v>
      </c>
      <c r="F38" s="78">
        <f t="shared" ref="F38" si="26">B38+D38</f>
        <v>92476</v>
      </c>
      <c r="G38" s="78">
        <f t="shared" ref="G38" si="27">C38+E38</f>
        <v>80303</v>
      </c>
      <c r="I38" s="104">
        <f t="shared" ref="I38:I39" si="28">IF(OR(B38&lt;=0,C38&lt;=0),"na   ",IF((B38/C38)-1&gt;$K$26,"nm   ",(B38/C38)-1))</f>
        <v>0.15165663778682181</v>
      </c>
      <c r="J38" s="104">
        <f t="shared" ref="J38:J39" si="29">IF(OR(D38&lt;=0,E38&lt;=0),"na   ",IF((D38/E38)-1&gt;$K$26,"nm   ",(D38/E38)-1))</f>
        <v>0.15152042134552324</v>
      </c>
      <c r="K38" s="104">
        <f t="shared" ref="K38:K39" si="30">IF(OR(F38&lt;=0,G38&lt;=0),"na   ",IF((F38/G38)-1&gt;$K$26,"nm   ",(F38/G38)-1))</f>
        <v>0.15158835908994672</v>
      </c>
    </row>
    <row r="39" spans="1:11" x14ac:dyDescent="0.25">
      <c r="A39" s="84" t="s">
        <v>144</v>
      </c>
      <c r="B39" s="78">
        <v>0</v>
      </c>
      <c r="C39" s="78">
        <v>0</v>
      </c>
      <c r="D39" s="78">
        <v>934</v>
      </c>
      <c r="E39" s="78">
        <v>0</v>
      </c>
      <c r="F39" s="78">
        <f t="shared" ref="F39" si="31">B39+D39</f>
        <v>934</v>
      </c>
      <c r="G39" s="78">
        <f t="shared" ref="G39" si="32">C39+E39</f>
        <v>0</v>
      </c>
      <c r="I39" s="104" t="str">
        <f t="shared" si="28"/>
        <v xml:space="preserve">na   </v>
      </c>
      <c r="J39" s="104" t="str">
        <f t="shared" si="29"/>
        <v xml:space="preserve">na   </v>
      </c>
      <c r="K39" s="104" t="str">
        <f t="shared" si="30"/>
        <v xml:space="preserve">na   </v>
      </c>
    </row>
    <row r="40" spans="1:11" x14ac:dyDescent="0.25">
      <c r="A40" s="60" t="s">
        <v>145</v>
      </c>
      <c r="I40" s="104"/>
      <c r="J40" s="104"/>
      <c r="K40" s="103"/>
    </row>
    <row r="41" spans="1:11" x14ac:dyDescent="0.25">
      <c r="A41" s="84" t="s">
        <v>178</v>
      </c>
      <c r="B41" s="78">
        <v>500472</v>
      </c>
      <c r="C41" s="78">
        <v>446421</v>
      </c>
      <c r="D41" s="78">
        <v>0</v>
      </c>
      <c r="E41" s="78">
        <v>0</v>
      </c>
      <c r="F41" s="78">
        <f t="shared" ref="F41:F44" si="33">B41+D41</f>
        <v>500472</v>
      </c>
      <c r="G41" s="78">
        <f t="shared" ref="G41:G44" si="34">C41+E41</f>
        <v>446421</v>
      </c>
      <c r="I41" s="104">
        <f t="shared" ref="I41:I44" si="35">IF(OR(B41&lt;=0,C41&lt;=0),"na   ",IF((B41/C41)-1&gt;$K$26,"nm   ",(B41/C41)-1))</f>
        <v>0.12107629345393689</v>
      </c>
      <c r="J41" s="104" t="str">
        <f t="shared" ref="J41:J44" si="36">IF(OR(D41&lt;=0,E41&lt;=0),"na   ",IF((D41/E41)-1&gt;$K$26,"nm   ",(D41/E41)-1))</f>
        <v xml:space="preserve">na   </v>
      </c>
      <c r="K41" s="104">
        <f t="shared" ref="K41:K44" si="37">IF(OR(F41&lt;=0,G41&lt;=0),"na   ",IF((F41/G41)-1&gt;$K$26,"nm   ",(F41/G41)-1))</f>
        <v>0.12107629345393689</v>
      </c>
    </row>
    <row r="42" spans="1:11" x14ac:dyDescent="0.25">
      <c r="A42" s="60" t="s">
        <v>146</v>
      </c>
      <c r="B42" s="78">
        <v>7725</v>
      </c>
      <c r="C42" s="78">
        <v>6875</v>
      </c>
      <c r="D42" s="78">
        <v>0</v>
      </c>
      <c r="E42" s="78">
        <v>0</v>
      </c>
      <c r="F42" s="78">
        <f t="shared" si="33"/>
        <v>7725</v>
      </c>
      <c r="G42" s="78">
        <f t="shared" si="34"/>
        <v>6875</v>
      </c>
      <c r="I42" s="104">
        <f t="shared" si="35"/>
        <v>0.12363636363636354</v>
      </c>
      <c r="J42" s="104" t="str">
        <f t="shared" si="36"/>
        <v xml:space="preserve">na   </v>
      </c>
      <c r="K42" s="104">
        <f t="shared" si="37"/>
        <v>0.12363636363636354</v>
      </c>
    </row>
    <row r="43" spans="1:11" x14ac:dyDescent="0.25">
      <c r="A43" s="119" t="s">
        <v>213</v>
      </c>
      <c r="B43" s="78">
        <v>325</v>
      </c>
      <c r="C43" s="78">
        <v>215</v>
      </c>
      <c r="D43" s="78">
        <v>0</v>
      </c>
      <c r="E43" s="78">
        <v>0</v>
      </c>
      <c r="F43" s="78">
        <f t="shared" ref="F43" si="38">B43+D43</f>
        <v>325</v>
      </c>
      <c r="G43" s="78">
        <f t="shared" ref="G43" si="39">C43+E43</f>
        <v>215</v>
      </c>
      <c r="I43" s="104">
        <f t="shared" ref="I43" si="40">IF(OR(B43&lt;=0,C43&lt;=0),"na   ",IF((B43/C43)-1&gt;$K$26,"nm   ",(B43/C43)-1))</f>
        <v>0.51162790697674421</v>
      </c>
      <c r="J43" s="104" t="str">
        <f t="shared" ref="J43" si="41">IF(OR(D43&lt;=0,E43&lt;=0),"na   ",IF((D43/E43)-1&gt;$K$26,"nm   ",(D43/E43)-1))</f>
        <v xml:space="preserve">na   </v>
      </c>
      <c r="K43" s="104">
        <f t="shared" ref="K43" si="42">IF(OR(F43&lt;=0,G43&lt;=0),"na   ",IF((F43/G43)-1&gt;$K$26,"nm   ",(F43/G43)-1))</f>
        <v>0.51162790697674421</v>
      </c>
    </row>
    <row r="44" spans="1:11" ht="18" x14ac:dyDescent="0.4">
      <c r="A44" s="60" t="s">
        <v>147</v>
      </c>
      <c r="B44" s="80">
        <f>16087-325</f>
        <v>15762</v>
      </c>
      <c r="C44" s="80">
        <f>14317-215</f>
        <v>14102</v>
      </c>
      <c r="D44" s="80">
        <v>0</v>
      </c>
      <c r="E44" s="80">
        <v>0</v>
      </c>
      <c r="F44" s="80">
        <f t="shared" si="33"/>
        <v>15762</v>
      </c>
      <c r="G44" s="80">
        <f t="shared" si="34"/>
        <v>14102</v>
      </c>
      <c r="I44" s="104">
        <f t="shared" si="35"/>
        <v>0.1177137994610693</v>
      </c>
      <c r="J44" s="104" t="str">
        <f t="shared" si="36"/>
        <v xml:space="preserve">na   </v>
      </c>
      <c r="K44" s="104">
        <f t="shared" si="37"/>
        <v>0.1177137994610693</v>
      </c>
    </row>
    <row r="45" spans="1:11" ht="20.100000000000001" customHeight="1" x14ac:dyDescent="0.4">
      <c r="A45" s="84" t="s">
        <v>148</v>
      </c>
      <c r="B45" s="80">
        <f>SUM(B37:B39)+SUM(B41:B44)</f>
        <v>570409</v>
      </c>
      <c r="C45" s="80">
        <f t="shared" ref="C45:E45" si="43">SUM(C37:C39)+SUM(C41:C44)</f>
        <v>507664</v>
      </c>
      <c r="D45" s="80">
        <f t="shared" si="43"/>
        <v>115954</v>
      </c>
      <c r="E45" s="80">
        <f t="shared" si="43"/>
        <v>100367</v>
      </c>
      <c r="F45" s="80">
        <f t="shared" ref="F45" si="44">SUM(F37:F39)+SUM(F41:F44)</f>
        <v>686363</v>
      </c>
      <c r="G45" s="80">
        <f t="shared" ref="G45" si="45">SUM(G37:G39)+SUM(G41:G44)</f>
        <v>608031</v>
      </c>
      <c r="I45" s="104">
        <f>IF(OR(B45&lt;=0,C45&lt;=0),"na   ",IF((B45/C45)-1&gt;$K$26,"nm   ",(B45/C45)-1))</f>
        <v>0.1235955277506382</v>
      </c>
      <c r="J45" s="104">
        <f>IF(OR(D45&lt;=0,E45&lt;=0),"na   ",IF((D45/E45)-1&gt;$K$26,"nm   ",(D45/E45)-1))</f>
        <v>0.1553000488208276</v>
      </c>
      <c r="K45" s="104">
        <f>IF(OR(F45&lt;=0,G45&lt;=0),"na   ",IF((F45/G45)-1&gt;$K$26,"nm   ",(F45/G45)-1))</f>
        <v>0.12882895773406289</v>
      </c>
    </row>
    <row r="46" spans="1:11" ht="21.95" customHeight="1" x14ac:dyDescent="0.25">
      <c r="A46" s="87" t="s">
        <v>149</v>
      </c>
      <c r="I46" s="110"/>
      <c r="J46" s="110"/>
      <c r="K46" s="103"/>
    </row>
    <row r="47" spans="1:11" x14ac:dyDescent="0.25">
      <c r="A47" s="60" t="s">
        <v>150</v>
      </c>
      <c r="B47" s="78">
        <v>464536</v>
      </c>
      <c r="C47" s="78">
        <v>415829</v>
      </c>
      <c r="D47" s="78">
        <v>0</v>
      </c>
      <c r="E47" s="78">
        <v>0</v>
      </c>
      <c r="F47" s="78">
        <f t="shared" ref="F47:F53" si="46">B47+D47</f>
        <v>464536</v>
      </c>
      <c r="G47" s="78">
        <f t="shared" ref="G47:G53" si="47">C47+E47</f>
        <v>415829</v>
      </c>
      <c r="I47" s="104">
        <f t="shared" ref="I47:I53" si="48">IF(OR(B47&lt;=0,C47&lt;=0),"na   ",IF((B47/C47)-1&gt;$K$26,"nm   ",(B47/C47)-1))</f>
        <v>0.11713228274122289</v>
      </c>
      <c r="J47" s="104" t="str">
        <f t="shared" ref="J47:J53" si="49">IF(OR(D47&lt;=0,E47&lt;=0),"na   ",IF((D47/E47)-1&gt;$K$26,"nm   ",(D47/E47)-1))</f>
        <v xml:space="preserve">na   </v>
      </c>
      <c r="K47" s="104">
        <f t="shared" ref="K47:K53" si="50">IF(OR(F47&lt;=0,G47&lt;=0),"na   ",IF((F47/G47)-1&gt;$K$26,"nm   ",(F47/G47)-1))</f>
        <v>0.11713228274122289</v>
      </c>
    </row>
    <row r="48" spans="1:11" x14ac:dyDescent="0.25">
      <c r="A48" s="60" t="s">
        <v>151</v>
      </c>
      <c r="B48" s="78">
        <v>84385</v>
      </c>
      <c r="C48" s="78">
        <v>75103</v>
      </c>
      <c r="D48" s="78">
        <v>0</v>
      </c>
      <c r="E48" s="78">
        <v>0</v>
      </c>
      <c r="F48" s="78">
        <f t="shared" si="46"/>
        <v>84385</v>
      </c>
      <c r="G48" s="78">
        <f t="shared" si="47"/>
        <v>75103</v>
      </c>
      <c r="I48" s="104">
        <f t="shared" si="48"/>
        <v>0.12359026936340767</v>
      </c>
      <c r="J48" s="104" t="str">
        <f t="shared" si="49"/>
        <v xml:space="preserve">na   </v>
      </c>
      <c r="K48" s="104">
        <f t="shared" si="50"/>
        <v>0.12359026936340767</v>
      </c>
    </row>
    <row r="49" spans="1:12" hidden="1" x14ac:dyDescent="0.25">
      <c r="A49" s="60" t="s">
        <v>214</v>
      </c>
      <c r="B49" s="78">
        <v>0</v>
      </c>
      <c r="C49" s="78">
        <v>0</v>
      </c>
      <c r="D49" s="78">
        <v>0</v>
      </c>
      <c r="E49" s="78">
        <v>0</v>
      </c>
      <c r="F49" s="78">
        <f t="shared" ref="F49" si="51">B49+D49</f>
        <v>0</v>
      </c>
      <c r="G49" s="78">
        <f t="shared" ref="G49" si="52">C49+E49</f>
        <v>0</v>
      </c>
      <c r="I49" s="104" t="str">
        <f t="shared" ref="I49" si="53">IF(OR(B49&lt;=0,C49&lt;=0),"na   ",IF((B49/C49)-1&gt;$K$26,"nm   ",(B49/C49)-1))</f>
        <v xml:space="preserve">na   </v>
      </c>
      <c r="J49" s="104" t="str">
        <f t="shared" ref="J49" si="54">IF(OR(D49&lt;=0,E49&lt;=0),"na   ",IF((D49/E49)-1&gt;$K$26,"nm   ",(D49/E49)-1))</f>
        <v xml:space="preserve">na   </v>
      </c>
      <c r="K49" s="104" t="str">
        <f t="shared" ref="K49" si="55">IF(OR(F49&lt;=0,G49&lt;=0),"na   ",IF((F49/G49)-1&gt;$K$26,"nm   ",(F49/G49)-1))</f>
        <v xml:space="preserve">na   </v>
      </c>
    </row>
    <row r="50" spans="1:12" x14ac:dyDescent="0.25">
      <c r="A50" s="60" t="s">
        <v>152</v>
      </c>
      <c r="B50" s="78">
        <v>5685</v>
      </c>
      <c r="C50" s="78">
        <v>5060</v>
      </c>
      <c r="D50" s="78">
        <v>0</v>
      </c>
      <c r="E50" s="78">
        <v>0</v>
      </c>
      <c r="F50" s="78">
        <f t="shared" si="46"/>
        <v>5685</v>
      </c>
      <c r="G50" s="78">
        <f t="shared" si="47"/>
        <v>5060</v>
      </c>
      <c r="I50" s="104">
        <f t="shared" si="48"/>
        <v>0.12351778656126489</v>
      </c>
      <c r="J50" s="104" t="str">
        <f t="shared" si="49"/>
        <v xml:space="preserve">na   </v>
      </c>
      <c r="K50" s="104">
        <f t="shared" si="50"/>
        <v>0.12351778656126489</v>
      </c>
    </row>
    <row r="51" spans="1:12" x14ac:dyDescent="0.25">
      <c r="A51" s="60" t="s">
        <v>153</v>
      </c>
      <c r="B51" s="78">
        <v>0</v>
      </c>
      <c r="C51" s="78">
        <v>0</v>
      </c>
      <c r="D51" s="78">
        <v>83026</v>
      </c>
      <c r="E51" s="78">
        <v>80893</v>
      </c>
      <c r="F51" s="78">
        <f t="shared" si="46"/>
        <v>83026</v>
      </c>
      <c r="G51" s="78">
        <f t="shared" si="47"/>
        <v>80893</v>
      </c>
      <c r="I51" s="104" t="str">
        <f t="shared" si="48"/>
        <v xml:space="preserve">na   </v>
      </c>
      <c r="J51" s="104">
        <f t="shared" si="49"/>
        <v>2.6368165354233364E-2</v>
      </c>
      <c r="K51" s="104">
        <f t="shared" si="50"/>
        <v>2.6368165354233364E-2</v>
      </c>
    </row>
    <row r="52" spans="1:12" x14ac:dyDescent="0.25">
      <c r="A52" s="60" t="s">
        <v>154</v>
      </c>
      <c r="B52" s="78">
        <v>0</v>
      </c>
      <c r="C52" s="78">
        <v>0</v>
      </c>
      <c r="D52" s="78">
        <v>14254</v>
      </c>
      <c r="E52" s="78">
        <v>12686</v>
      </c>
      <c r="F52" s="78">
        <f t="shared" si="46"/>
        <v>14254</v>
      </c>
      <c r="G52" s="78">
        <f t="shared" si="47"/>
        <v>12686</v>
      </c>
      <c r="I52" s="104" t="str">
        <f t="shared" si="48"/>
        <v xml:space="preserve">na   </v>
      </c>
      <c r="J52" s="104">
        <f t="shared" si="49"/>
        <v>0.12360081980135584</v>
      </c>
      <c r="K52" s="104">
        <f t="shared" si="50"/>
        <v>0.12360081980135584</v>
      </c>
    </row>
    <row r="53" spans="1:12" ht="18" x14ac:dyDescent="0.4">
      <c r="A53" s="60" t="s">
        <v>155</v>
      </c>
      <c r="B53" s="80">
        <v>6172</v>
      </c>
      <c r="C53" s="80">
        <v>3100</v>
      </c>
      <c r="D53" s="80">
        <v>0</v>
      </c>
      <c r="E53" s="80">
        <v>0</v>
      </c>
      <c r="F53" s="80">
        <f t="shared" si="46"/>
        <v>6172</v>
      </c>
      <c r="G53" s="80">
        <f t="shared" si="47"/>
        <v>3100</v>
      </c>
      <c r="I53" s="104">
        <f t="shared" si="48"/>
        <v>0.99096774193548387</v>
      </c>
      <c r="J53" s="104" t="str">
        <f t="shared" si="49"/>
        <v xml:space="preserve">na   </v>
      </c>
      <c r="K53" s="104">
        <f t="shared" si="50"/>
        <v>0.99096774193548387</v>
      </c>
    </row>
    <row r="54" spans="1:12" ht="20.100000000000001" customHeight="1" x14ac:dyDescent="0.4">
      <c r="A54" s="84" t="s">
        <v>156</v>
      </c>
      <c r="B54" s="80">
        <f t="shared" ref="B54:G54" si="56">SUM(B47:B53)</f>
        <v>560778</v>
      </c>
      <c r="C54" s="80">
        <f t="shared" si="56"/>
        <v>499092</v>
      </c>
      <c r="D54" s="80">
        <f t="shared" si="56"/>
        <v>97280</v>
      </c>
      <c r="E54" s="80">
        <f t="shared" si="56"/>
        <v>93579</v>
      </c>
      <c r="F54" s="80">
        <f t="shared" si="56"/>
        <v>658058</v>
      </c>
      <c r="G54" s="80">
        <f t="shared" si="56"/>
        <v>592671</v>
      </c>
      <c r="I54" s="104">
        <f>IF(OR(B54&lt;=0,C54&lt;=0),"na   ",IF((B54/C54)-1&gt;$K$26,"nm   ",(B54/C54)-1))</f>
        <v>0.12359645115529805</v>
      </c>
      <c r="J54" s="104">
        <f>IF(OR(D54&lt;=0,E54&lt;=0),"na   ",IF((D54/E54)-1&gt;$K$26,"nm   ",(D54/E54)-1))</f>
        <v>3.9549471569475969E-2</v>
      </c>
      <c r="K54" s="104">
        <f>IF(OR(F54&lt;=0,G54&lt;=0),"na   ",IF((F54/G54)-1&gt;$K$26,"nm   ",(F54/G54)-1))</f>
        <v>0.11032596499575642</v>
      </c>
    </row>
    <row r="55" spans="1:12" ht="20.100000000000001" customHeight="1" x14ac:dyDescent="0.25">
      <c r="A55" t="s">
        <v>157</v>
      </c>
      <c r="B55" s="78">
        <f t="shared" ref="B55:G55" si="57">+B45-B54</f>
        <v>9631</v>
      </c>
      <c r="C55" s="78">
        <f t="shared" si="57"/>
        <v>8572</v>
      </c>
      <c r="D55" s="78">
        <f t="shared" si="57"/>
        <v>18674</v>
      </c>
      <c r="E55" s="78">
        <f t="shared" si="57"/>
        <v>6788</v>
      </c>
      <c r="F55" s="78">
        <f t="shared" si="57"/>
        <v>28305</v>
      </c>
      <c r="G55" s="78">
        <f t="shared" si="57"/>
        <v>15360</v>
      </c>
      <c r="I55" s="111">
        <f>IF(OR(AND(B55&lt;=0,C55&gt;=0),AND(B55&gt;=0,C55&lt;=0)),"na   ",IF((B55/C55)-1&gt;$K$26,"nm   ",(B55/C55)-1))</f>
        <v>0.1235417638824079</v>
      </c>
      <c r="J55" s="111">
        <f>IF(OR(AND(D55&lt;=0,E55&gt;=0),AND(D55&gt;=0,E55&lt;=0)),"na   ",IF((D55/E55)-1&gt;$K$26,"nm   ",(D55/E55)-1))</f>
        <v>1.7510312315851504</v>
      </c>
      <c r="K55" s="111">
        <f>IF(OR(AND(F55&lt;=0,G55&gt;=0),AND(F55&gt;=0,G55&lt;=0)),"na   ",IF((F55/G55)-1&gt;$K$26,"nm   ",(F55/G55)-1))</f>
        <v>0.8427734375</v>
      </c>
    </row>
    <row r="56" spans="1:12" ht="20.100000000000001" customHeight="1" x14ac:dyDescent="0.4">
      <c r="A56" s="60" t="s">
        <v>158</v>
      </c>
      <c r="B56" s="80">
        <v>-10000</v>
      </c>
      <c r="C56" s="80">
        <v>-8000</v>
      </c>
      <c r="D56" s="80">
        <v>10000</v>
      </c>
      <c r="E56" s="80">
        <v>8000</v>
      </c>
      <c r="F56" s="80">
        <f t="shared" ref="F56" si="58">B56+D56</f>
        <v>0</v>
      </c>
      <c r="G56" s="80">
        <f t="shared" ref="G56" si="59">C56+E56</f>
        <v>0</v>
      </c>
      <c r="I56" s="111">
        <f>IF(OR(AND(B56&lt;=0,C56&gt;=0),AND(B56&gt;=0,C56&lt;=0)),"na   ",IF((B56/C56)-1&gt;$K$26,"nm   ",(B56/C56)-1))</f>
        <v>0.25</v>
      </c>
      <c r="J56" s="111">
        <f>IF(OR(AND(D56&lt;=0,E56&gt;=0),AND(D56&gt;=0,E56&lt;=0)),"na   ",IF((D56/E56)-1&gt;$K$26,"nm   ",(D56/E56)-1))</f>
        <v>0.25</v>
      </c>
      <c r="K56" s="111" t="str">
        <f>IF(OR(AND(F56&lt;=0,G56&gt;=0),AND(F56&gt;=0,G56&lt;=0)),"na   ",IF((F56/G56)-1&gt;$K$26,"nm   ",(F56/G56)-1))</f>
        <v xml:space="preserve">na   </v>
      </c>
      <c r="L56" t="s">
        <v>212</v>
      </c>
    </row>
    <row r="57" spans="1:12" ht="18" customHeight="1" x14ac:dyDescent="0.25">
      <c r="A57" s="88" t="s">
        <v>159</v>
      </c>
      <c r="B57" s="78">
        <f>+B55+B56</f>
        <v>-369</v>
      </c>
      <c r="C57" s="78">
        <f t="shared" ref="C57:G57" si="60">+C55+C56</f>
        <v>572</v>
      </c>
      <c r="D57" s="78">
        <f t="shared" si="60"/>
        <v>28674</v>
      </c>
      <c r="E57" s="78">
        <f t="shared" si="60"/>
        <v>14788</v>
      </c>
      <c r="F57" s="78">
        <f>+F55+F56</f>
        <v>28305</v>
      </c>
      <c r="G57" s="78">
        <f t="shared" si="60"/>
        <v>15360</v>
      </c>
      <c r="I57" s="111" t="str">
        <f>IF(OR(AND(B57&lt;=0,C57&gt;=0),AND(B57&gt;=0,C57&lt;=0)),"na   ",IF((B57/C57)-1&gt;$K$26,"nm   ",(B57/C57)-1))</f>
        <v xml:space="preserve">na   </v>
      </c>
      <c r="J57" s="111">
        <f>IF(OR(AND(D57&lt;=0,E57&gt;=0),AND(D57&gt;=0,E57&lt;=0)),"na   ",IF((D57/E57)-1&gt;$K$26,"nm   ",(D57/E57)-1))</f>
        <v>0.93900459832296446</v>
      </c>
      <c r="K57" s="111">
        <f>IF(OR(AND(F57&lt;=0,G57&gt;=0),AND(F57&gt;=0,G57&lt;=0)),"na   ",IF((F57/G57)-1&gt;$K$26,"nm   ",(F57/G57)-1))</f>
        <v>0.8427734375</v>
      </c>
    </row>
    <row r="58" spans="1:12" ht="20.100000000000001" customHeight="1" x14ac:dyDescent="0.4">
      <c r="A58" t="s">
        <v>160</v>
      </c>
      <c r="B58" s="80">
        <v>426099</v>
      </c>
      <c r="C58" s="80">
        <v>425527</v>
      </c>
      <c r="D58" s="80">
        <v>21289</v>
      </c>
      <c r="E58" s="80">
        <v>6501</v>
      </c>
      <c r="F58" s="80">
        <f t="shared" ref="F58" si="61">B58+D58</f>
        <v>447388</v>
      </c>
      <c r="G58" s="80">
        <f t="shared" ref="G58" si="62">C58+E58</f>
        <v>432028</v>
      </c>
      <c r="I58" s="104">
        <f>IF(OR(B58&lt;=0,C58&lt;=0),"na   ",IF((B58/C58)-1&gt;3,"nm   ",(B58/C58)-1))</f>
        <v>1.3442155256893074E-3</v>
      </c>
      <c r="J58" s="104">
        <f>IF(OR(D58&lt;=0,E58&lt;=0),"na   ",IF((D58/E58)-1&gt;3,"nm   ",(D58/E58)-1))</f>
        <v>2.2747269650822952</v>
      </c>
      <c r="K58" s="104">
        <f>IF(OR(F58&lt;=0,G58&lt;=0),"na   ",IF((F58/G58)-1&gt;3,"nm   ",(F58/G58)-1))</f>
        <v>3.5553251178164436E-2</v>
      </c>
    </row>
    <row r="59" spans="1:12" ht="20.100000000000001" customHeight="1" x14ac:dyDescent="0.4">
      <c r="A59" t="s">
        <v>161</v>
      </c>
      <c r="B59" s="81">
        <f>SUM(B57:B58)</f>
        <v>425730</v>
      </c>
      <c r="C59" s="81">
        <f t="shared" ref="C59:G59" si="63">SUM(C57:C58)</f>
        <v>426099</v>
      </c>
      <c r="D59" s="81">
        <f t="shared" si="63"/>
        <v>49963</v>
      </c>
      <c r="E59" s="81">
        <f t="shared" si="63"/>
        <v>21289</v>
      </c>
      <c r="F59" s="81">
        <f t="shared" si="63"/>
        <v>475693</v>
      </c>
      <c r="G59" s="81">
        <f t="shared" si="63"/>
        <v>447388</v>
      </c>
      <c r="I59" s="104">
        <f>IF(OR(B59&lt;=0,C59&lt;=0),"na   ",IF((B59/C59)-1&gt;3,"nm   ",(B59/C59)-1))</f>
        <v>-8.6599593052316681E-4</v>
      </c>
      <c r="J59" s="104">
        <f>IF(OR(D59&lt;=0,E59&lt;=0),"na   ",IF((D59/E59)-1&gt;3,"nm   ",(D59/E59)-1))</f>
        <v>1.3468927615200337</v>
      </c>
      <c r="K59" s="104">
        <f>IF(OR(F59&lt;=0,G59&lt;=0),"na   ",IF((F59/G59)-1&gt;3,"nm   ",(F59/G59)-1))</f>
        <v>6.3267231128237622E-2</v>
      </c>
    </row>
    <row r="62" spans="1:12" x14ac:dyDescent="0.25">
      <c r="A62" s="83" t="s">
        <v>162</v>
      </c>
      <c r="B62" s="76" t="str">
        <f t="shared" ref="B62:G62" si="64">IF(B59-B22=0,"Yes",B59-B22)</f>
        <v>Yes</v>
      </c>
      <c r="C62" s="76" t="str">
        <f t="shared" si="64"/>
        <v>Yes</v>
      </c>
      <c r="D62" s="76" t="str">
        <f t="shared" si="64"/>
        <v>Yes</v>
      </c>
      <c r="E62" s="76" t="str">
        <f t="shared" si="64"/>
        <v>Yes</v>
      </c>
      <c r="F62" s="76" t="str">
        <f t="shared" si="64"/>
        <v>Yes</v>
      </c>
      <c r="G62" s="76" t="str">
        <f t="shared" si="64"/>
        <v>Yes</v>
      </c>
    </row>
    <row r="63" spans="1:12" x14ac:dyDescent="0.25">
      <c r="A63" s="83" t="s">
        <v>163</v>
      </c>
      <c r="F63" s="89" t="str">
        <f>IF(+B59+D59-F59=0,"Yes",+B59+D59-F59)</f>
        <v>Yes</v>
      </c>
      <c r="G63" s="89" t="str">
        <f>IF(+C59+E59-G59=0,"Yes",+C59+E59-G59)</f>
        <v>Yes</v>
      </c>
    </row>
    <row r="64" spans="1:12" x14ac:dyDescent="0.25">
      <c r="A64" s="83" t="s">
        <v>181</v>
      </c>
      <c r="B64" s="91" t="str">
        <f>IF(+B58-C59=0,"Yes",+B58-C59)</f>
        <v>Yes</v>
      </c>
      <c r="D64" s="91" t="str">
        <f>IF(+D58-E59=0,"Yes",+D58-E59)</f>
        <v>Yes</v>
      </c>
      <c r="F64" s="91" t="str">
        <f>IF(+F58-G59=0,"Yes",+F58-G59)</f>
        <v>Yes</v>
      </c>
    </row>
    <row r="65" spans="1:11" x14ac:dyDescent="0.25">
      <c r="A65" s="83"/>
      <c r="B65" s="79"/>
      <c r="D65" s="91"/>
      <c r="F65" s="91"/>
    </row>
    <row r="66" spans="1:11" x14ac:dyDescent="0.25">
      <c r="A66" s="83"/>
      <c r="B66" s="79"/>
      <c r="D66" s="91"/>
      <c r="F66" s="91"/>
    </row>
    <row r="67" spans="1:11" x14ac:dyDescent="0.25">
      <c r="A67" s="14" t="s">
        <v>192</v>
      </c>
      <c r="B67" s="79"/>
      <c r="D67" s="91"/>
      <c r="F67" s="91"/>
    </row>
    <row r="69" spans="1:11" x14ac:dyDescent="0.25">
      <c r="A69" s="121" t="s">
        <v>175</v>
      </c>
      <c r="B69" s="121"/>
      <c r="C69" s="121"/>
      <c r="D69" s="121"/>
      <c r="E69" s="121"/>
      <c r="F69" s="121"/>
      <c r="G69" s="121"/>
    </row>
    <row r="70" spans="1:11" ht="20.100000000000001" customHeight="1" x14ac:dyDescent="0.25">
      <c r="A70" s="126" t="s">
        <v>171</v>
      </c>
      <c r="B70" s="126"/>
      <c r="C70" s="126"/>
      <c r="D70" s="126"/>
      <c r="E70" s="126"/>
      <c r="F70" s="126"/>
      <c r="G70" s="126"/>
    </row>
    <row r="71" spans="1:11" ht="20.25" x14ac:dyDescent="0.55000000000000004">
      <c r="B71" s="125" t="s">
        <v>132</v>
      </c>
      <c r="C71" s="125"/>
      <c r="D71" s="125" t="s">
        <v>133</v>
      </c>
      <c r="E71" s="125"/>
      <c r="F71" s="125" t="s">
        <v>49</v>
      </c>
      <c r="G71" s="125"/>
      <c r="I71" s="127" t="s">
        <v>202</v>
      </c>
      <c r="J71" s="127"/>
      <c r="K71" s="127"/>
    </row>
    <row r="72" spans="1:11" ht="18" x14ac:dyDescent="0.4">
      <c r="B72" s="77">
        <f>B34</f>
        <v>43646</v>
      </c>
      <c r="C72" s="77">
        <f t="shared" ref="C72:G72" si="65">C34</f>
        <v>43281</v>
      </c>
      <c r="D72" s="77">
        <f t="shared" si="65"/>
        <v>43646</v>
      </c>
      <c r="E72" s="77">
        <f t="shared" si="65"/>
        <v>43281</v>
      </c>
      <c r="F72" s="77">
        <f t="shared" si="65"/>
        <v>43646</v>
      </c>
      <c r="G72" s="77">
        <f t="shared" si="65"/>
        <v>43281</v>
      </c>
      <c r="I72" s="101" t="s">
        <v>203</v>
      </c>
      <c r="J72" s="101" t="s">
        <v>204</v>
      </c>
      <c r="K72" s="101" t="s">
        <v>205</v>
      </c>
    </row>
    <row r="73" spans="1:11" x14ac:dyDescent="0.25">
      <c r="A73" t="s">
        <v>17</v>
      </c>
      <c r="B73" s="79">
        <v>9000</v>
      </c>
      <c r="C73" s="79">
        <v>0</v>
      </c>
      <c r="D73" s="79">
        <v>0</v>
      </c>
      <c r="E73" s="79">
        <v>0</v>
      </c>
      <c r="F73" s="79">
        <f>B73+D73</f>
        <v>9000</v>
      </c>
      <c r="G73" s="79">
        <f>C73+E73</f>
        <v>0</v>
      </c>
      <c r="I73" s="104" t="str">
        <f>IF(OR(B73&lt;=0,C73&lt;=0),"na   ",IF((B73/C73)-1&gt;$K$26,"nm   ",(B73/C73)-1))</f>
        <v xml:space="preserve">na   </v>
      </c>
      <c r="J73" s="104" t="str">
        <f>IF(OR(D73&lt;=0,E73&lt;=0),"na   ",IF((D73/E73)-1&gt;$K$26,"nm   ",(D73/E73)-1))</f>
        <v xml:space="preserve">na   </v>
      </c>
      <c r="K73" s="104" t="str">
        <f>IF(OR(F73&lt;=0,G73&lt;=0),"na   ",IF((F73/G73)-1&gt;$K$26,"nm   ",(F73/G73)-1))</f>
        <v xml:space="preserve">na   </v>
      </c>
    </row>
    <row r="74" spans="1:11" x14ac:dyDescent="0.25">
      <c r="A74" t="s">
        <v>18</v>
      </c>
      <c r="B74" s="78">
        <v>396667</v>
      </c>
      <c r="C74" s="78">
        <v>0</v>
      </c>
      <c r="D74" s="78">
        <v>0</v>
      </c>
      <c r="E74" s="78">
        <v>0</v>
      </c>
      <c r="F74" s="78">
        <f t="shared" ref="F74:F76" si="66">B74+D74</f>
        <v>396667</v>
      </c>
      <c r="G74" s="78">
        <f t="shared" ref="G74:G76" si="67">C74+E74</f>
        <v>0</v>
      </c>
      <c r="I74" s="104" t="str">
        <f t="shared" ref="I74:I77" si="68">IF(OR(B74&lt;=0,C74&lt;=0),"na   ",IF((B74/C74)-1&gt;$K$26,"nm   ",(B74/C74)-1))</f>
        <v xml:space="preserve">na   </v>
      </c>
      <c r="J74" s="104" t="str">
        <f t="shared" ref="J74:J77" si="69">IF(OR(D74&lt;=0,E74&lt;=0),"na   ",IF((D74/E74)-1&gt;$K$26,"nm   ",(D74/E74)-1))</f>
        <v xml:space="preserve">na   </v>
      </c>
      <c r="K74" s="104" t="str">
        <f t="shared" ref="K74:K77" si="70">IF(OR(F74&lt;=0,G74&lt;=0),"na   ",IF((F74/G74)-1&gt;$K$26,"nm   ",(F74/G74)-1))</f>
        <v xml:space="preserve">na   </v>
      </c>
    </row>
    <row r="75" spans="1:11" x14ac:dyDescent="0.25">
      <c r="A75" t="s">
        <v>164</v>
      </c>
      <c r="B75" s="78">
        <v>495867</v>
      </c>
      <c r="C75" s="78">
        <v>552103</v>
      </c>
      <c r="D75" s="78">
        <v>23841</v>
      </c>
      <c r="E75" s="78">
        <v>15827</v>
      </c>
      <c r="F75" s="78">
        <f t="shared" si="66"/>
        <v>519708</v>
      </c>
      <c r="G75" s="78">
        <f t="shared" si="67"/>
        <v>567930</v>
      </c>
      <c r="I75" s="104">
        <f t="shared" si="68"/>
        <v>-0.10185780551817325</v>
      </c>
      <c r="J75" s="104">
        <f t="shared" si="69"/>
        <v>0.5063499083844063</v>
      </c>
      <c r="K75" s="104">
        <f t="shared" si="70"/>
        <v>-8.4908351381332237E-2</v>
      </c>
    </row>
    <row r="76" spans="1:11" ht="18" x14ac:dyDescent="0.4">
      <c r="A76" t="s">
        <v>20</v>
      </c>
      <c r="B76" s="80">
        <v>13249</v>
      </c>
      <c r="C76" s="80">
        <v>14833</v>
      </c>
      <c r="D76" s="80">
        <v>9700</v>
      </c>
      <c r="E76" s="80">
        <v>10323</v>
      </c>
      <c r="F76" s="80">
        <f t="shared" si="66"/>
        <v>22949</v>
      </c>
      <c r="G76" s="80">
        <f t="shared" si="67"/>
        <v>25156</v>
      </c>
      <c r="I76" s="104">
        <f t="shared" si="68"/>
        <v>-0.10678891660486756</v>
      </c>
      <c r="J76" s="104">
        <f t="shared" si="69"/>
        <v>-6.035067325389909E-2</v>
      </c>
      <c r="K76" s="104">
        <f t="shared" si="70"/>
        <v>-8.7732548894895901E-2</v>
      </c>
    </row>
    <row r="77" spans="1:11" ht="18" x14ac:dyDescent="0.4">
      <c r="A77" s="84" t="s">
        <v>165</v>
      </c>
      <c r="B77" s="81">
        <f>SUM(B73:B76)</f>
        <v>914783</v>
      </c>
      <c r="C77" s="81">
        <f t="shared" ref="C77:D77" si="71">SUM(C73:C76)</f>
        <v>566936</v>
      </c>
      <c r="D77" s="81">
        <f t="shared" si="71"/>
        <v>33541</v>
      </c>
      <c r="E77" s="81">
        <f>SUM(E73:E76)</f>
        <v>26150</v>
      </c>
      <c r="F77" s="81">
        <f t="shared" ref="F77" si="72">SUM(F73:F76)</f>
        <v>948324</v>
      </c>
      <c r="G77" s="81">
        <f t="shared" ref="G77" si="73">SUM(G73:G76)</f>
        <v>593086</v>
      </c>
      <c r="I77" s="104">
        <f t="shared" si="68"/>
        <v>0.61355602748811156</v>
      </c>
      <c r="J77" s="104">
        <f t="shared" si="69"/>
        <v>0.28263862332695977</v>
      </c>
      <c r="K77" s="104">
        <f t="shared" si="70"/>
        <v>0.59896541142431281</v>
      </c>
    </row>
    <row r="80" spans="1:11" x14ac:dyDescent="0.25">
      <c r="A80" s="83" t="s">
        <v>166</v>
      </c>
      <c r="B80" s="76" t="str">
        <f t="shared" ref="B80:G80" si="74">IF(B77-B12=0,"Yes",B77-B12)</f>
        <v>Yes</v>
      </c>
      <c r="C80" s="76" t="str">
        <f t="shared" si="74"/>
        <v>Yes</v>
      </c>
      <c r="D80" s="76" t="str">
        <f t="shared" si="74"/>
        <v>Yes</v>
      </c>
      <c r="E80" s="76" t="str">
        <f t="shared" si="74"/>
        <v>Yes</v>
      </c>
      <c r="F80" s="76" t="str">
        <f t="shared" si="74"/>
        <v>Yes</v>
      </c>
      <c r="G80" s="76" t="str">
        <f t="shared" si="74"/>
        <v>Yes</v>
      </c>
    </row>
    <row r="81" spans="1:11" x14ac:dyDescent="0.25">
      <c r="A81" s="83" t="s">
        <v>163</v>
      </c>
      <c r="F81" s="89" t="str">
        <f>IF(+B77+D77-F77=0,"Yes",+B77+D77-F77)</f>
        <v>Yes</v>
      </c>
      <c r="G81" s="89" t="str">
        <f>IF(+C77+E77-G77=0,"Yes",+C77+E77-G77)</f>
        <v>Yes</v>
      </c>
    </row>
    <row r="84" spans="1:11" x14ac:dyDescent="0.25">
      <c r="A84" s="14" t="s">
        <v>193</v>
      </c>
    </row>
    <row r="86" spans="1:11" x14ac:dyDescent="0.25">
      <c r="A86" s="121" t="s">
        <v>176</v>
      </c>
      <c r="B86" s="121"/>
      <c r="C86" s="121"/>
      <c r="D86" s="121"/>
      <c r="E86" s="121"/>
      <c r="F86" s="121"/>
      <c r="G86" s="121"/>
    </row>
    <row r="87" spans="1:11" ht="20.100000000000001" customHeight="1" x14ac:dyDescent="0.25">
      <c r="A87" s="126" t="s">
        <v>172</v>
      </c>
      <c r="B87" s="126"/>
      <c r="C87" s="126"/>
      <c r="D87" s="126"/>
      <c r="E87" s="126"/>
      <c r="F87" s="126"/>
      <c r="G87" s="126"/>
    </row>
    <row r="88" spans="1:11" ht="20.25" x14ac:dyDescent="0.55000000000000004">
      <c r="B88" s="125" t="s">
        <v>132</v>
      </c>
      <c r="C88" s="125"/>
      <c r="D88" s="125" t="s">
        <v>133</v>
      </c>
      <c r="E88" s="125"/>
      <c r="F88" s="125" t="s">
        <v>49</v>
      </c>
      <c r="G88" s="125"/>
      <c r="I88" s="127" t="s">
        <v>202</v>
      </c>
      <c r="J88" s="127"/>
      <c r="K88" s="127"/>
    </row>
    <row r="89" spans="1:11" ht="18" x14ac:dyDescent="0.4">
      <c r="B89" s="77">
        <f>B72</f>
        <v>43646</v>
      </c>
      <c r="C89" s="77">
        <f t="shared" ref="C89:G89" si="75">C72</f>
        <v>43281</v>
      </c>
      <c r="D89" s="77">
        <f t="shared" si="75"/>
        <v>43646</v>
      </c>
      <c r="E89" s="77">
        <f t="shared" si="75"/>
        <v>43281</v>
      </c>
      <c r="F89" s="77">
        <f t="shared" si="75"/>
        <v>43646</v>
      </c>
      <c r="G89" s="77">
        <f t="shared" si="75"/>
        <v>43281</v>
      </c>
      <c r="I89" s="101" t="s">
        <v>203</v>
      </c>
      <c r="J89" s="101" t="s">
        <v>204</v>
      </c>
      <c r="K89" s="101" t="s">
        <v>205</v>
      </c>
    </row>
    <row r="90" spans="1:11" x14ac:dyDescent="0.25">
      <c r="A90" t="s">
        <v>167</v>
      </c>
      <c r="B90" s="95">
        <v>548738</v>
      </c>
      <c r="C90" s="95">
        <v>155777</v>
      </c>
      <c r="D90" s="95">
        <v>0</v>
      </c>
      <c r="E90" s="95">
        <v>0</v>
      </c>
      <c r="F90" s="95">
        <f t="shared" ref="F90" si="76">B90+D90</f>
        <v>548738</v>
      </c>
      <c r="G90" s="95">
        <f t="shared" ref="G90" si="77">C90+E90</f>
        <v>155777</v>
      </c>
      <c r="I90" s="104">
        <f t="shared" ref="I90:I94" si="78">IF(OR(B90&lt;=0,C90&lt;=0),"na   ",IF((B90/C90)-1&gt;$K$26,"nm   ",(B90/C90)-1))</f>
        <v>2.5225867746843242</v>
      </c>
      <c r="J90" s="104" t="str">
        <f t="shared" ref="J90:J94" si="79">IF(OR(D90&lt;=0,E90&lt;=0),"na   ",IF((D90/E90)-1&gt;$K$26,"nm   ",(D90/E90)-1))</f>
        <v xml:space="preserve">na   </v>
      </c>
      <c r="K90" s="104">
        <f t="shared" ref="K90:K94" si="80">IF(OR(F90&lt;=0,G90&lt;=0),"na   ",IF((F90/G90)-1&gt;$K$26,"nm   ",(F90/G90)-1))</f>
        <v>2.5225867746843242</v>
      </c>
    </row>
    <row r="91" spans="1:11" x14ac:dyDescent="0.25">
      <c r="A91" s="120" t="s">
        <v>218</v>
      </c>
      <c r="B91" s="115">
        <v>25000</v>
      </c>
      <c r="C91" s="115">
        <v>25000</v>
      </c>
      <c r="D91" s="115">
        <v>0</v>
      </c>
      <c r="E91" s="115">
        <v>0</v>
      </c>
      <c r="F91" s="115">
        <f>B91+D91</f>
        <v>25000</v>
      </c>
      <c r="G91" s="115">
        <f>C91+E91</f>
        <v>25000</v>
      </c>
      <c r="I91" s="104">
        <f t="shared" si="78"/>
        <v>0</v>
      </c>
      <c r="J91" s="104" t="str">
        <f t="shared" si="79"/>
        <v xml:space="preserve">na   </v>
      </c>
      <c r="K91" s="104">
        <f t="shared" si="80"/>
        <v>0</v>
      </c>
    </row>
    <row r="92" spans="1:11" hidden="1" x14ac:dyDescent="0.25">
      <c r="A92" t="s">
        <v>215</v>
      </c>
      <c r="B92" s="114">
        <v>0</v>
      </c>
      <c r="C92" s="114">
        <v>0</v>
      </c>
      <c r="D92" s="114">
        <v>0</v>
      </c>
      <c r="E92" s="114">
        <v>0</v>
      </c>
      <c r="F92" s="114">
        <f t="shared" ref="F92:G92" si="81">B92+D92</f>
        <v>0</v>
      </c>
      <c r="G92" s="114">
        <f t="shared" si="81"/>
        <v>0</v>
      </c>
      <c r="H92" s="103"/>
      <c r="I92" s="104" t="str">
        <f t="shared" ref="I92" si="82">IF(OR(B92&lt;=0,C92&lt;=0),"na   ",IF((B92/C92)-1&gt;$K$25,"nm   ",(B92/C92)-1))</f>
        <v xml:space="preserve">na   </v>
      </c>
      <c r="J92" s="104" t="str">
        <f t="shared" ref="J92" si="83">IF(OR(D92&lt;=0,E92&lt;=0),"na   ",IF((D92/E92)-1&gt;$K$25,"nm   ",(D92/E92)-1))</f>
        <v xml:space="preserve">na   </v>
      </c>
      <c r="K92" s="104" t="str">
        <f t="shared" ref="K92" si="84">IF(OR(F92&lt;=0,G92&lt;=0),"na   ",IF((F92/G92)-1&gt;$K$25,"nm   ",(F92/G92)-1))</f>
        <v xml:space="preserve">na   </v>
      </c>
    </row>
    <row r="93" spans="1:11" ht="18" x14ac:dyDescent="0.4">
      <c r="A93" s="13" t="s">
        <v>6</v>
      </c>
      <c r="B93" s="80">
        <v>2047</v>
      </c>
      <c r="C93" s="80">
        <v>0</v>
      </c>
      <c r="D93" s="80">
        <v>1643</v>
      </c>
      <c r="E93" s="80">
        <v>0</v>
      </c>
      <c r="F93" s="80">
        <f>B93+D93</f>
        <v>3690</v>
      </c>
      <c r="G93" s="80">
        <f>C93+E93</f>
        <v>0</v>
      </c>
      <c r="I93" s="104" t="str">
        <f t="shared" si="78"/>
        <v xml:space="preserve">na   </v>
      </c>
      <c r="J93" s="104" t="str">
        <f t="shared" si="79"/>
        <v xml:space="preserve">na   </v>
      </c>
      <c r="K93" s="104" t="str">
        <f t="shared" si="80"/>
        <v xml:space="preserve">na   </v>
      </c>
    </row>
    <row r="94" spans="1:11" ht="18" x14ac:dyDescent="0.4">
      <c r="A94" s="84" t="s">
        <v>168</v>
      </c>
      <c r="B94" s="81">
        <f>+SUM(B90:B93)</f>
        <v>575785</v>
      </c>
      <c r="C94" s="81">
        <f t="shared" ref="C94:G94" si="85">+SUM(C90:C93)</f>
        <v>180777</v>
      </c>
      <c r="D94" s="81">
        <f>+SUM(D90:D93)</f>
        <v>1643</v>
      </c>
      <c r="E94" s="81">
        <f t="shared" si="85"/>
        <v>0</v>
      </c>
      <c r="F94" s="81">
        <f>+SUM(F90:F93)</f>
        <v>577428</v>
      </c>
      <c r="G94" s="81">
        <f t="shared" si="85"/>
        <v>180777</v>
      </c>
      <c r="I94" s="104">
        <f t="shared" si="78"/>
        <v>2.1850567273491648</v>
      </c>
      <c r="J94" s="104" t="str">
        <f t="shared" si="79"/>
        <v xml:space="preserve">na   </v>
      </c>
      <c r="K94" s="104">
        <f t="shared" si="80"/>
        <v>2.1941452729052924</v>
      </c>
    </row>
    <row r="97" spans="1:7" x14ac:dyDescent="0.25">
      <c r="A97" t="s">
        <v>184</v>
      </c>
    </row>
    <row r="98" spans="1:7" x14ac:dyDescent="0.25">
      <c r="A98" s="83" t="s">
        <v>163</v>
      </c>
      <c r="F98" s="89" t="str">
        <f>IF(+B94+D94-F94=0,"Yes",+B94+D94-F94)</f>
        <v>Yes</v>
      </c>
      <c r="G98" s="89" t="str">
        <f>IF(+C94+E94-G94=0,"Yes",+C94+E94-G94)</f>
        <v>Yes</v>
      </c>
    </row>
  </sheetData>
  <mergeCells count="26">
    <mergeCell ref="I88:K88"/>
    <mergeCell ref="I7:K7"/>
    <mergeCell ref="I26:J29"/>
    <mergeCell ref="L18:N18"/>
    <mergeCell ref="I33:K33"/>
    <mergeCell ref="I71:K71"/>
    <mergeCell ref="A5:G5"/>
    <mergeCell ref="A6:G6"/>
    <mergeCell ref="A31:G31"/>
    <mergeCell ref="A32:G32"/>
    <mergeCell ref="A69:G69"/>
    <mergeCell ref="B7:C7"/>
    <mergeCell ref="D7:E7"/>
    <mergeCell ref="F7:G7"/>
    <mergeCell ref="B33:C33"/>
    <mergeCell ref="D33:E33"/>
    <mergeCell ref="F33:G33"/>
    <mergeCell ref="A70:G70"/>
    <mergeCell ref="B71:C71"/>
    <mergeCell ref="D71:E71"/>
    <mergeCell ref="F71:G71"/>
    <mergeCell ref="B88:C88"/>
    <mergeCell ref="D88:E88"/>
    <mergeCell ref="F88:G88"/>
    <mergeCell ref="A86:G86"/>
    <mergeCell ref="A87:G87"/>
  </mergeCells>
  <conditionalFormatting sqref="B25:G25">
    <cfRule type="cellIs" dxfId="1" priority="2" operator="notEqual">
      <formula>"Yes"</formula>
    </cfRule>
  </conditionalFormatting>
  <conditionalFormatting sqref="B26:G26 F27:G27">
    <cfRule type="cellIs" dxfId="0" priority="1" operator="notEqual">
      <formula>"Yes"</formula>
    </cfRule>
  </conditionalFormatting>
  <pageMargins left="0.7" right="0.7" top="0.75" bottom="0.75" header="0.3" footer="0.3"/>
  <pageSetup orientation="portrait" r:id="rId1"/>
  <ignoredErrors>
    <ignoredError sqref="F17:G17 F57:G57" formula="1"/>
    <ignoredError sqref="C94 E94 B77:E7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W398"/>
  <sheetViews>
    <sheetView showGridLines="0" workbookViewId="0">
      <selection activeCell="B2" sqref="B2"/>
    </sheetView>
  </sheetViews>
  <sheetFormatPr defaultRowHeight="15.75" x14ac:dyDescent="0.25"/>
  <cols>
    <col min="1" max="1" width="5.625" customWidth="1"/>
    <col min="2" max="2" width="1.625" customWidth="1"/>
    <col min="3" max="3" width="42.625" customWidth="1"/>
    <col min="4" max="4" width="14.625" customWidth="1"/>
    <col min="5" max="5" width="10.75" bestFit="1" customWidth="1"/>
    <col min="6" max="6" width="10.25" bestFit="1" customWidth="1"/>
    <col min="7" max="7" width="9.625" bestFit="1" customWidth="1"/>
  </cols>
  <sheetData>
    <row r="1" spans="1:231" x14ac:dyDescent="0.25">
      <c r="A1" s="13"/>
      <c r="B1" s="138" t="str">
        <f>'For MD&amp;A'!A1</f>
        <v>Cardinal Charter, Inc.</v>
      </c>
      <c r="C1" s="13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</row>
    <row r="2" spans="1:23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</row>
    <row r="3" spans="1:231" x14ac:dyDescent="0.25">
      <c r="A3" s="13"/>
      <c r="B3" s="14" t="s">
        <v>37</v>
      </c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</row>
    <row r="4" spans="1:23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</row>
    <row r="5" spans="1:231" ht="18" x14ac:dyDescent="0.25">
      <c r="A5" s="13"/>
      <c r="B5" s="137" t="s">
        <v>0</v>
      </c>
      <c r="C5" s="137"/>
      <c r="D5" s="1" t="s">
        <v>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  <row r="6" spans="1:231" ht="63.75" customHeight="1" x14ac:dyDescent="0.25">
      <c r="A6" s="13"/>
      <c r="B6" s="139" t="s">
        <v>2</v>
      </c>
      <c r="C6" s="139"/>
      <c r="D6" s="15">
        <v>1046860</v>
      </c>
      <c r="E6" s="13"/>
      <c r="F6" s="16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</row>
    <row r="7" spans="1:231" ht="18" customHeight="1" x14ac:dyDescent="0.25">
      <c r="A7" s="13"/>
      <c r="B7" s="139" t="s">
        <v>3</v>
      </c>
      <c r="C7" s="139"/>
      <c r="D7" s="16">
        <v>-132077</v>
      </c>
      <c r="E7" s="13"/>
      <c r="F7" s="16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</row>
    <row r="8" spans="1:231" ht="52.5" customHeight="1" x14ac:dyDescent="0.25">
      <c r="A8" s="13"/>
      <c r="B8" s="139" t="s">
        <v>4</v>
      </c>
      <c r="C8" s="139"/>
      <c r="D8" s="1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</row>
    <row r="9" spans="1:231" x14ac:dyDescent="0.25">
      <c r="A9" s="13"/>
      <c r="B9" s="17"/>
      <c r="C9" s="18" t="s">
        <v>5</v>
      </c>
      <c r="D9" s="16">
        <v>-548738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</row>
    <row r="10" spans="1:231" x14ac:dyDescent="0.25">
      <c r="A10" s="13"/>
      <c r="B10" s="17"/>
      <c r="C10" s="18" t="s">
        <v>6</v>
      </c>
      <c r="D10" s="16">
        <v>-2047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</row>
    <row r="11" spans="1:231" ht="18" x14ac:dyDescent="0.4">
      <c r="A11" s="13"/>
      <c r="B11" s="17"/>
      <c r="C11" s="18" t="s">
        <v>7</v>
      </c>
      <c r="D11" s="19">
        <v>-1867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</row>
    <row r="12" spans="1:231" ht="20.100000000000001" customHeight="1" x14ac:dyDescent="0.4">
      <c r="A12" s="13"/>
      <c r="B12" s="140" t="s">
        <v>8</v>
      </c>
      <c r="C12" s="140"/>
      <c r="D12" s="20">
        <f>SUM(D6:D11)</f>
        <v>362131</v>
      </c>
      <c r="E12" s="13"/>
      <c r="F12" s="13"/>
      <c r="G12" s="21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</row>
    <row r="13" spans="1:231" ht="18" customHeight="1" x14ac:dyDescent="0.4">
      <c r="A13" s="13"/>
      <c r="B13" s="22"/>
      <c r="C13" s="22"/>
      <c r="D13" s="20"/>
      <c r="E13" s="13"/>
      <c r="F13" s="13"/>
      <c r="G13" s="21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</row>
    <row r="14" spans="1:231" ht="18" customHeight="1" x14ac:dyDescent="0.4">
      <c r="A14" s="13"/>
      <c r="B14" s="22"/>
      <c r="C14" s="22"/>
      <c r="D14" s="20"/>
      <c r="E14" s="13"/>
      <c r="F14" s="13"/>
      <c r="G14" s="21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</row>
    <row r="15" spans="1:231" ht="18" customHeight="1" x14ac:dyDescent="0.25">
      <c r="A15" s="13"/>
      <c r="B15" s="136" t="s">
        <v>76</v>
      </c>
      <c r="C15" s="136"/>
      <c r="D15" s="23">
        <v>425730</v>
      </c>
      <c r="E15" s="13"/>
      <c r="F15" s="13"/>
      <c r="G15" s="21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</row>
    <row r="16" spans="1:231" ht="18" customHeight="1" x14ac:dyDescent="0.4">
      <c r="A16" s="13"/>
      <c r="B16" s="136" t="s">
        <v>75</v>
      </c>
      <c r="C16" s="136"/>
      <c r="D16" s="24">
        <v>63599</v>
      </c>
      <c r="E16" s="13"/>
      <c r="F16" s="13"/>
      <c r="G16" s="21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</row>
    <row r="17" spans="1:231" ht="18" customHeight="1" x14ac:dyDescent="0.4">
      <c r="A17" s="13"/>
      <c r="B17" s="22"/>
      <c r="C17" s="25" t="s">
        <v>88</v>
      </c>
      <c r="D17" s="20">
        <f>+D15-D16</f>
        <v>362131</v>
      </c>
      <c r="E17" s="13"/>
      <c r="F17" s="13"/>
      <c r="G17" s="21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</row>
    <row r="18" spans="1:231" ht="18" customHeight="1" x14ac:dyDescent="0.4">
      <c r="A18" s="13"/>
      <c r="B18" s="22"/>
      <c r="C18" s="25"/>
      <c r="D18" s="20"/>
      <c r="E18" s="13"/>
      <c r="F18" s="13"/>
      <c r="G18" s="21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</row>
    <row r="19" spans="1:231" ht="18" customHeight="1" x14ac:dyDescent="0.25">
      <c r="A19" s="13"/>
      <c r="B19" s="22"/>
      <c r="C19" s="22" t="s">
        <v>179</v>
      </c>
      <c r="D19" s="26" t="str">
        <f>IF(D12-D17=0,"Yes",D12-D17)</f>
        <v>Yes</v>
      </c>
      <c r="E19" s="135" t="str">
        <f>IF(D12-D17=0," ","  Check this!")</f>
        <v xml:space="preserve"> </v>
      </c>
      <c r="F19" s="135"/>
      <c r="G19" s="21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</row>
    <row r="20" spans="1:23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</row>
    <row r="21" spans="1:23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</row>
    <row r="22" spans="1:231" x14ac:dyDescent="0.25">
      <c r="A22" s="13"/>
      <c r="B22" s="14" t="s">
        <v>38</v>
      </c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</row>
    <row r="23" spans="1:23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</row>
    <row r="24" spans="1:231" ht="18" customHeight="1" x14ac:dyDescent="0.25">
      <c r="A24" s="13"/>
      <c r="B24" s="137" t="s">
        <v>0</v>
      </c>
      <c r="C24" s="137"/>
      <c r="D24" s="1" t="s">
        <v>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</row>
    <row r="25" spans="1:231" ht="46.5" customHeight="1" x14ac:dyDescent="0.25">
      <c r="A25" s="13"/>
      <c r="B25" s="141" t="s">
        <v>9</v>
      </c>
      <c r="C25" s="141"/>
      <c r="D25" s="27">
        <v>419078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</row>
    <row r="26" spans="1:231" ht="30.75" customHeight="1" x14ac:dyDescent="0.25">
      <c r="A26" s="13"/>
      <c r="B26" s="141" t="s">
        <v>10</v>
      </c>
      <c r="C26" s="141"/>
      <c r="D26" s="28">
        <v>-71231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</row>
    <row r="27" spans="1:231" ht="48" customHeight="1" x14ac:dyDescent="0.25">
      <c r="A27" s="13"/>
      <c r="B27" s="141" t="s">
        <v>11</v>
      </c>
      <c r="C27" s="141"/>
      <c r="D27" s="28">
        <v>-400000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</row>
    <row r="28" spans="1:231" ht="64.5" customHeight="1" x14ac:dyDescent="0.25">
      <c r="A28" s="13"/>
      <c r="B28" s="141" t="s">
        <v>12</v>
      </c>
      <c r="C28" s="141"/>
      <c r="D28" s="28">
        <v>6439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</row>
    <row r="29" spans="1:231" ht="47.25" customHeight="1" x14ac:dyDescent="0.25">
      <c r="A29" s="13"/>
      <c r="B29" s="141" t="s">
        <v>13</v>
      </c>
      <c r="C29" s="141"/>
      <c r="D29" s="28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</row>
    <row r="30" spans="1:231" ht="48" customHeight="1" x14ac:dyDescent="0.25">
      <c r="A30" s="13"/>
      <c r="B30" s="29"/>
      <c r="C30" s="30" t="s">
        <v>14</v>
      </c>
      <c r="D30" s="28">
        <v>-611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</row>
    <row r="31" spans="1:231" ht="51" customHeight="1" x14ac:dyDescent="0.4">
      <c r="A31" s="13"/>
      <c r="B31" s="29"/>
      <c r="C31" s="30" t="s">
        <v>15</v>
      </c>
      <c r="D31" s="31">
        <v>-2047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</row>
    <row r="32" spans="1:231" ht="20.100000000000001" customHeight="1" x14ac:dyDescent="0.4">
      <c r="A32" s="13"/>
      <c r="B32" s="140" t="s">
        <v>8</v>
      </c>
      <c r="C32" s="140"/>
      <c r="D32" s="32">
        <f>SUM(D25:D31)</f>
        <v>-48372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</row>
    <row r="33" spans="1:23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</row>
    <row r="34" spans="1:23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</row>
    <row r="35" spans="1:23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</row>
    <row r="36" spans="1:231" x14ac:dyDescent="0.25">
      <c r="A36" s="13"/>
      <c r="B36" s="136" t="s">
        <v>78</v>
      </c>
      <c r="C36" s="136"/>
      <c r="D36" s="23">
        <v>-369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</row>
    <row r="37" spans="1:231" ht="18" x14ac:dyDescent="0.4">
      <c r="A37" s="13"/>
      <c r="B37" s="136" t="s">
        <v>77</v>
      </c>
      <c r="C37" s="136"/>
      <c r="D37" s="24">
        <v>48003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</row>
    <row r="38" spans="1:231" ht="18" x14ac:dyDescent="0.4">
      <c r="A38" s="13"/>
      <c r="B38" s="22"/>
      <c r="C38" s="25" t="s">
        <v>89</v>
      </c>
      <c r="D38" s="20">
        <f>+D36-D37</f>
        <v>-48372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</row>
    <row r="39" spans="1:231" x14ac:dyDescent="0.25">
      <c r="A39" s="13"/>
      <c r="B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</row>
    <row r="40" spans="1:231" ht="15.75" customHeight="1" x14ac:dyDescent="0.25">
      <c r="A40" s="13"/>
      <c r="B40" s="13"/>
      <c r="C40" s="90" t="s">
        <v>180</v>
      </c>
      <c r="D40" s="33" t="str">
        <f>IF(D32-D38=0,"Yes",D32-D38)</f>
        <v>Yes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</row>
    <row r="41" spans="1:23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</row>
    <row r="42" spans="1:23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</row>
    <row r="43" spans="1:23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</row>
    <row r="44" spans="1:23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</row>
    <row r="45" spans="1:23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</row>
    <row r="46" spans="1:23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</row>
    <row r="47" spans="1:23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</row>
    <row r="48" spans="1:23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</row>
    <row r="49" spans="1:23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</row>
    <row r="50" spans="1:23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</row>
    <row r="51" spans="1:23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</row>
    <row r="52" spans="1:23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</row>
    <row r="53" spans="1:23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</row>
    <row r="54" spans="1:23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</row>
    <row r="55" spans="1:23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</row>
    <row r="56" spans="1:23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</row>
    <row r="57" spans="1:23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</row>
    <row r="58" spans="1:23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</row>
    <row r="59" spans="1:23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</row>
    <row r="60" spans="1:23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</row>
    <row r="61" spans="1:23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</row>
    <row r="62" spans="1:23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</row>
    <row r="63" spans="1:23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</row>
    <row r="64" spans="1:23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</row>
    <row r="65" spans="1:23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</row>
    <row r="66" spans="1:23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</row>
    <row r="67" spans="1:23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</row>
    <row r="68" spans="1:23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</row>
    <row r="69" spans="1:23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</row>
    <row r="70" spans="1:23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</row>
    <row r="71" spans="1:23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</row>
    <row r="72" spans="1:23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</row>
    <row r="73" spans="1:23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</row>
    <row r="74" spans="1:23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</row>
    <row r="75" spans="1:23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</row>
    <row r="76" spans="1:23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</row>
    <row r="77" spans="1:23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</row>
    <row r="78" spans="1:23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</row>
    <row r="79" spans="1:23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</row>
    <row r="80" spans="1:23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</row>
    <row r="81" spans="1:23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</row>
    <row r="82" spans="1:23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</row>
    <row r="83" spans="1:23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</row>
    <row r="84" spans="1:23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</row>
    <row r="85" spans="1:23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</row>
    <row r="86" spans="1:23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</row>
    <row r="87" spans="1:23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</row>
    <row r="88" spans="1:23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</row>
    <row r="89" spans="1:23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</row>
    <row r="90" spans="1:23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</row>
    <row r="91" spans="1:23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</row>
    <row r="92" spans="1:23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</row>
    <row r="93" spans="1:23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</row>
    <row r="94" spans="1:23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</row>
    <row r="95" spans="1:23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</row>
    <row r="96" spans="1:23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</row>
    <row r="97" spans="1:23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</row>
    <row r="98" spans="1:23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</row>
    <row r="99" spans="1:23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</row>
    <row r="100" spans="1:23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</row>
    <row r="101" spans="1:23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</row>
    <row r="102" spans="1:23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</row>
    <row r="103" spans="1:23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</row>
    <row r="104" spans="1:23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</row>
    <row r="105" spans="1:23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</row>
    <row r="106" spans="1:23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</row>
    <row r="107" spans="1:23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</row>
    <row r="108" spans="1:23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</row>
    <row r="109" spans="1:23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</row>
    <row r="110" spans="1:23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</row>
    <row r="111" spans="1:23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</row>
    <row r="112" spans="1:23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</row>
    <row r="113" spans="1:23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</row>
    <row r="114" spans="1:23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</row>
    <row r="115" spans="1:23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</row>
    <row r="116" spans="1:23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</row>
    <row r="117" spans="1:23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</row>
    <row r="118" spans="1:23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</row>
    <row r="119" spans="1:23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</row>
    <row r="120" spans="1:23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</row>
    <row r="121" spans="1:23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</row>
    <row r="122" spans="1:23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</row>
    <row r="123" spans="1:23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</row>
    <row r="124" spans="1:23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</row>
    <row r="125" spans="1:23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</row>
    <row r="126" spans="1:23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</row>
    <row r="127" spans="1:23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</row>
    <row r="128" spans="1:23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</row>
    <row r="129" spans="1:23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</row>
    <row r="130" spans="1:23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</row>
    <row r="131" spans="1:23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</row>
    <row r="132" spans="1:23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</row>
    <row r="133" spans="1:23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</row>
    <row r="134" spans="1:23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</row>
    <row r="135" spans="1:23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</row>
    <row r="136" spans="1:23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</row>
    <row r="137" spans="1:23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</row>
    <row r="138" spans="1:23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</row>
    <row r="139" spans="1:23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</row>
    <row r="140" spans="1:23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</row>
    <row r="141" spans="1:23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</row>
    <row r="142" spans="1:23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</row>
    <row r="143" spans="1:23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</row>
    <row r="144" spans="1:23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</row>
    <row r="145" spans="1:23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</row>
    <row r="146" spans="1:23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</row>
    <row r="147" spans="1:23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</row>
    <row r="148" spans="1:23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</row>
    <row r="149" spans="1:23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</row>
    <row r="150" spans="1:23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</row>
    <row r="151" spans="1:23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</row>
    <row r="152" spans="1:23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</row>
    <row r="153" spans="1:23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</row>
    <row r="154" spans="1:23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</row>
    <row r="155" spans="1:23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</row>
    <row r="156" spans="1:23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</row>
    <row r="157" spans="1:23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</row>
    <row r="158" spans="1:23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</row>
    <row r="159" spans="1:23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</row>
    <row r="160" spans="1:23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</row>
    <row r="161" spans="1:23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</row>
    <row r="162" spans="1:23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</row>
    <row r="163" spans="1:23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</row>
    <row r="164" spans="1:23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</row>
    <row r="165" spans="1:23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</row>
    <row r="166" spans="1:23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</row>
    <row r="167" spans="1:23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</row>
    <row r="168" spans="1:23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</row>
    <row r="169" spans="1:23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</row>
    <row r="170" spans="1:23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</row>
    <row r="171" spans="1:23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</row>
    <row r="172" spans="1:23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</row>
    <row r="173" spans="1:23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</row>
    <row r="174" spans="1:23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</row>
    <row r="175" spans="1:23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</row>
    <row r="176" spans="1:23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</row>
    <row r="177" spans="1:23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</row>
    <row r="178" spans="1:23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</row>
    <row r="179" spans="1:23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</row>
    <row r="180" spans="1:23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</row>
    <row r="181" spans="1:23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</row>
    <row r="182" spans="1:23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</row>
    <row r="183" spans="1:23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</row>
    <row r="184" spans="1:23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</row>
    <row r="185" spans="1:23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</row>
    <row r="186" spans="1:23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</row>
    <row r="187" spans="1:23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</row>
    <row r="188" spans="1:23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</row>
    <row r="189" spans="1:23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</row>
    <row r="190" spans="1:23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</row>
    <row r="191" spans="1:23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</row>
    <row r="192" spans="1:23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</row>
    <row r="193" spans="1:23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</row>
    <row r="194" spans="1:23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</row>
    <row r="195" spans="1:23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</row>
    <row r="196" spans="1:23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</row>
    <row r="197" spans="1:23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</row>
    <row r="198" spans="1:23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</row>
    <row r="199" spans="1:23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</row>
    <row r="200" spans="1:23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</row>
    <row r="201" spans="1:23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</row>
    <row r="202" spans="1:23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</row>
    <row r="203" spans="1:23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</row>
    <row r="204" spans="1:23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</row>
    <row r="205" spans="1:23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</row>
    <row r="206" spans="1:23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</row>
    <row r="207" spans="1:23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</row>
    <row r="208" spans="1:23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</row>
    <row r="209" spans="1:23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</row>
    <row r="210" spans="1:23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</row>
    <row r="211" spans="1:23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</row>
    <row r="212" spans="1:23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</row>
    <row r="213" spans="1:23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</row>
    <row r="214" spans="1:23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</row>
    <row r="215" spans="1:23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</row>
    <row r="216" spans="1:23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</row>
    <row r="217" spans="1:23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</row>
    <row r="218" spans="1:23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</row>
    <row r="219" spans="1:23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</row>
    <row r="220" spans="1:23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</row>
    <row r="221" spans="1:23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</row>
    <row r="222" spans="1:23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</row>
    <row r="223" spans="1:23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</row>
    <row r="224" spans="1:23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</row>
    <row r="225" spans="1:23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</row>
    <row r="226" spans="1:23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</row>
    <row r="227" spans="1:23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</row>
    <row r="228" spans="1:23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</row>
    <row r="229" spans="1:23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</row>
    <row r="230" spans="1:23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</row>
    <row r="231" spans="1:23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</row>
    <row r="232" spans="1:23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</row>
    <row r="233" spans="1:23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</row>
    <row r="234" spans="1:23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</row>
    <row r="235" spans="1:23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</row>
    <row r="236" spans="1:23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</row>
    <row r="237" spans="1:23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</row>
    <row r="238" spans="1:23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</row>
    <row r="239" spans="1:23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</row>
    <row r="240" spans="1:23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</row>
    <row r="241" spans="1:23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</row>
    <row r="242" spans="1:23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</row>
    <row r="243" spans="1:23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</row>
    <row r="244" spans="1:23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</row>
    <row r="245" spans="1:23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</row>
    <row r="246" spans="1:23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</row>
    <row r="247" spans="1:23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</row>
    <row r="248" spans="1:23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</row>
    <row r="249" spans="1:23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</row>
    <row r="250" spans="1:23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</row>
    <row r="251" spans="1:23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</row>
    <row r="252" spans="1:23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</row>
    <row r="253" spans="1:23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</row>
    <row r="254" spans="1:23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</row>
    <row r="255" spans="1:23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</row>
    <row r="256" spans="1:23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</row>
    <row r="257" spans="1:5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</row>
    <row r="258" spans="1:5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</row>
    <row r="259" spans="1:5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</row>
    <row r="260" spans="1:5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</row>
    <row r="261" spans="1:5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</row>
    <row r="262" spans="1:5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</row>
    <row r="263" spans="1:5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</row>
    <row r="264" spans="1:5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</row>
    <row r="265" spans="1:5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</row>
    <row r="266" spans="1:5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</row>
    <row r="267" spans="1:5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</row>
    <row r="268" spans="1:5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</row>
    <row r="269" spans="1:5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</row>
    <row r="270" spans="1:5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</row>
    <row r="271" spans="1:5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</row>
    <row r="272" spans="1:5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</row>
    <row r="273" spans="1:5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</row>
    <row r="274" spans="1:5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</row>
    <row r="275" spans="1:5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</row>
    <row r="276" spans="1:5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</row>
    <row r="277" spans="1:5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</row>
    <row r="278" spans="1:5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</row>
    <row r="279" spans="1:5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</row>
    <row r="280" spans="1:5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</row>
    <row r="281" spans="1:5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</row>
    <row r="282" spans="1:5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</row>
    <row r="283" spans="1:5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</row>
    <row r="284" spans="1:5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</row>
    <row r="285" spans="1:5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</row>
    <row r="286" spans="1:5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</row>
    <row r="287" spans="1:5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</row>
    <row r="288" spans="1:5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</row>
    <row r="289" spans="1:5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</row>
    <row r="290" spans="1:5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</row>
    <row r="291" spans="1:5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</row>
    <row r="292" spans="1:5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</row>
    <row r="293" spans="1:5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</row>
    <row r="294" spans="1:5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</row>
    <row r="295" spans="1:5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</row>
    <row r="296" spans="1:5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</row>
    <row r="297" spans="1:5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</row>
    <row r="298" spans="1:5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</row>
    <row r="299" spans="1:5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</row>
    <row r="300" spans="1:5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</row>
    <row r="301" spans="1:5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</row>
    <row r="302" spans="1:5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</row>
    <row r="303" spans="1:5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</row>
    <row r="304" spans="1:5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</row>
    <row r="305" spans="1:5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</row>
    <row r="306" spans="1:5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</row>
    <row r="307" spans="1:5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</row>
    <row r="308" spans="1:5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</row>
    <row r="309" spans="1:5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</row>
    <row r="310" spans="1:5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</row>
    <row r="311" spans="1:5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</row>
    <row r="312" spans="1:5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</row>
    <row r="313" spans="1:5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</row>
    <row r="314" spans="1:5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</row>
    <row r="315" spans="1:5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</row>
    <row r="316" spans="1:5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</row>
    <row r="317" spans="1:5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</row>
    <row r="318" spans="1:5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</row>
    <row r="319" spans="1:5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</row>
    <row r="320" spans="1:5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</row>
    <row r="321" spans="1:5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</row>
    <row r="322" spans="1:5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</row>
    <row r="323" spans="1:5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</row>
    <row r="324" spans="1:5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</row>
    <row r="325" spans="1:5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</row>
    <row r="326" spans="1:5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</row>
    <row r="327" spans="1:5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</row>
    <row r="328" spans="1:5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</row>
    <row r="329" spans="1:5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</row>
    <row r="330" spans="1:5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</row>
    <row r="331" spans="1:5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</row>
    <row r="332" spans="1:5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</row>
    <row r="333" spans="1:5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</row>
    <row r="334" spans="1:5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</row>
    <row r="335" spans="1:5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</row>
    <row r="336" spans="1:5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</row>
    <row r="337" spans="1:5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</row>
    <row r="338" spans="1:5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</row>
    <row r="339" spans="1:5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</row>
    <row r="340" spans="1:5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</row>
    <row r="341" spans="1:5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</row>
    <row r="342" spans="1:5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</row>
    <row r="343" spans="1:5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</row>
    <row r="344" spans="1:5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</row>
    <row r="345" spans="1:5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</row>
    <row r="346" spans="1:5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</row>
    <row r="347" spans="1:5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</row>
    <row r="348" spans="1:5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</row>
    <row r="349" spans="1:5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</row>
    <row r="350" spans="1:5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</row>
    <row r="351" spans="1:5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</row>
    <row r="352" spans="1:5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</row>
    <row r="353" spans="1:5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</row>
    <row r="354" spans="1:5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</row>
    <row r="355" spans="1:5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</row>
    <row r="356" spans="1:5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</row>
    <row r="357" spans="1:5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</row>
    <row r="358" spans="1:5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</row>
    <row r="359" spans="1:5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</row>
    <row r="360" spans="1:5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</row>
    <row r="361" spans="1:5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</row>
    <row r="362" spans="1:5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</row>
    <row r="363" spans="1:5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</row>
    <row r="364" spans="1:5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</row>
    <row r="365" spans="1:5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</row>
    <row r="366" spans="1:5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</row>
    <row r="367" spans="1:5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</row>
    <row r="368" spans="1:5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</row>
    <row r="369" spans="1:5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</row>
    <row r="370" spans="1:5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</row>
    <row r="371" spans="1:5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</row>
    <row r="372" spans="1:5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</row>
    <row r="373" spans="1:5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</row>
    <row r="374" spans="1:5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</row>
    <row r="375" spans="1:5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</row>
    <row r="376" spans="1:5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</row>
    <row r="377" spans="1:5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</row>
    <row r="378" spans="1:5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</row>
    <row r="379" spans="1:5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</row>
    <row r="380" spans="1:5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</row>
    <row r="381" spans="1:5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</row>
    <row r="382" spans="1:5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</row>
    <row r="383" spans="1:5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</row>
    <row r="384" spans="1:5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</row>
    <row r="385" spans="1:5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</row>
    <row r="386" spans="1:5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</row>
    <row r="387" spans="1:5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</row>
    <row r="388" spans="1:5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</row>
    <row r="389" spans="1:5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</row>
    <row r="390" spans="1:5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</row>
    <row r="391" spans="1:5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</row>
    <row r="392" spans="1:5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</row>
    <row r="393" spans="1:5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</row>
    <row r="394" spans="1:5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</row>
    <row r="395" spans="1:5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</row>
    <row r="396" spans="1:5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</row>
    <row r="397" spans="1:5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</row>
    <row r="398" spans="1:5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</row>
  </sheetData>
  <mergeCells count="18">
    <mergeCell ref="B28:C28"/>
    <mergeCell ref="B29:C29"/>
    <mergeCell ref="E19:F19"/>
    <mergeCell ref="B37:C37"/>
    <mergeCell ref="B36:C36"/>
    <mergeCell ref="B24:C24"/>
    <mergeCell ref="B1:C1"/>
    <mergeCell ref="B5:C5"/>
    <mergeCell ref="B6:C6"/>
    <mergeCell ref="B7:C7"/>
    <mergeCell ref="B8:C8"/>
    <mergeCell ref="B12:C12"/>
    <mergeCell ref="B16:C16"/>
    <mergeCell ref="B15:C15"/>
    <mergeCell ref="B32:C32"/>
    <mergeCell ref="B25:C25"/>
    <mergeCell ref="B26:C26"/>
    <mergeCell ref="B27:C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E855"/>
  <sheetViews>
    <sheetView showGridLines="0" workbookViewId="0">
      <selection activeCell="A2" sqref="A2"/>
    </sheetView>
  </sheetViews>
  <sheetFormatPr defaultRowHeight="15.75" x14ac:dyDescent="0.25"/>
  <cols>
    <col min="1" max="1" width="5.625" customWidth="1"/>
    <col min="2" max="5" width="1.625" customWidth="1"/>
    <col min="6" max="6" width="32.625" customWidth="1"/>
    <col min="7" max="10" width="11.625" customWidth="1"/>
    <col min="13" max="21" width="8.625" customWidth="1"/>
  </cols>
  <sheetData>
    <row r="1" spans="1:94" x14ac:dyDescent="0.25">
      <c r="A1" s="13"/>
      <c r="B1" s="138" t="str">
        <f>'For MD&amp;A'!A1</f>
        <v>Cardinal Charter, Inc.</v>
      </c>
      <c r="C1" s="138"/>
      <c r="D1" s="138"/>
      <c r="E1" s="138"/>
      <c r="F1" s="138"/>
      <c r="G1" s="13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</row>
    <row r="2" spans="1:94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</row>
    <row r="3" spans="1:94" x14ac:dyDescent="0.25">
      <c r="A3" s="13"/>
      <c r="B3" s="14" t="s">
        <v>42</v>
      </c>
      <c r="C3" s="14"/>
      <c r="D3" s="14"/>
      <c r="E3" s="14"/>
      <c r="F3" s="2"/>
      <c r="G3" s="3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</row>
    <row r="4" spans="1:94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</row>
    <row r="5" spans="1:94" ht="18" x14ac:dyDescent="0.25">
      <c r="A5" s="13"/>
      <c r="B5" s="13"/>
      <c r="C5" s="13"/>
      <c r="D5" s="13"/>
      <c r="E5" s="13"/>
      <c r="F5" s="5" t="s">
        <v>39</v>
      </c>
      <c r="G5" s="1" t="s">
        <v>40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</row>
    <row r="6" spans="1:94" ht="15.75" customHeight="1" x14ac:dyDescent="0.25">
      <c r="A6" s="13"/>
      <c r="B6" s="13"/>
      <c r="C6" s="13"/>
      <c r="D6" s="13"/>
      <c r="E6" s="13"/>
      <c r="F6" s="3" t="s">
        <v>18</v>
      </c>
      <c r="G6" s="4">
        <v>50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</row>
    <row r="7" spans="1:94" ht="15.75" customHeight="1" x14ac:dyDescent="0.25">
      <c r="A7" s="13"/>
      <c r="B7" s="13"/>
      <c r="C7" s="13"/>
      <c r="D7" s="13"/>
      <c r="E7" s="13"/>
      <c r="F7" s="3" t="s">
        <v>19</v>
      </c>
      <c r="G7" s="4">
        <v>10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</row>
    <row r="8" spans="1:94" ht="15.75" customHeight="1" x14ac:dyDescent="0.25">
      <c r="A8" s="13"/>
      <c r="B8" s="13"/>
      <c r="C8" s="13"/>
      <c r="D8" s="13"/>
      <c r="E8" s="13"/>
      <c r="F8" s="3" t="s">
        <v>33</v>
      </c>
      <c r="G8" s="4">
        <v>7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</row>
    <row r="9" spans="1:94" ht="15.75" customHeight="1" x14ac:dyDescent="0.25">
      <c r="A9" s="13"/>
      <c r="B9" s="13"/>
      <c r="C9" s="13"/>
      <c r="D9" s="13"/>
      <c r="E9" s="13"/>
      <c r="F9" s="3" t="s">
        <v>20</v>
      </c>
      <c r="G9" s="4">
        <v>5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</row>
    <row r="10" spans="1:94" x14ac:dyDescent="0.25">
      <c r="A10" s="13"/>
      <c r="B10" s="13"/>
      <c r="C10" s="13"/>
      <c r="D10" s="13"/>
      <c r="E10" s="13"/>
      <c r="F10" s="3"/>
      <c r="G10" s="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</row>
    <row r="11" spans="1:9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</row>
    <row r="12" spans="1:94" x14ac:dyDescent="0.25">
      <c r="A12" s="13"/>
      <c r="B12" s="14" t="s">
        <v>82</v>
      </c>
      <c r="C12" s="14"/>
      <c r="D12" s="14"/>
      <c r="E12" s="14"/>
      <c r="F12" s="14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</row>
    <row r="13" spans="1:9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</row>
    <row r="14" spans="1:94" x14ac:dyDescent="0.25">
      <c r="A14" s="13"/>
      <c r="B14" s="13"/>
      <c r="C14" s="13"/>
      <c r="D14" s="13"/>
      <c r="E14" s="13"/>
      <c r="F14" s="13"/>
      <c r="G14" s="11" t="s">
        <v>26</v>
      </c>
      <c r="H14" s="11"/>
      <c r="I14" s="11"/>
      <c r="J14" s="11" t="s">
        <v>30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</row>
    <row r="15" spans="1:94" ht="18" x14ac:dyDescent="0.4">
      <c r="A15" s="13"/>
      <c r="B15" s="13"/>
      <c r="C15" s="13"/>
      <c r="D15" s="13"/>
      <c r="E15" s="13"/>
      <c r="F15" s="13"/>
      <c r="G15" s="34" t="s">
        <v>27</v>
      </c>
      <c r="H15" s="34" t="s">
        <v>28</v>
      </c>
      <c r="I15" s="34" t="s">
        <v>29</v>
      </c>
      <c r="J15" s="34" t="s">
        <v>27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</row>
    <row r="16" spans="1:94" x14ac:dyDescent="0.25">
      <c r="A16" s="13"/>
      <c r="B16" s="13" t="s">
        <v>16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</row>
    <row r="17" spans="1:187" ht="15.75" customHeight="1" x14ac:dyDescent="0.25">
      <c r="A17" s="13"/>
      <c r="B17" s="13"/>
      <c r="C17" s="13" t="s">
        <v>23</v>
      </c>
      <c r="D17" s="13"/>
      <c r="E17" s="13"/>
      <c r="F17" s="13"/>
      <c r="G17" s="35"/>
      <c r="H17" s="35"/>
      <c r="I17" s="35"/>
      <c r="J17" s="35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</row>
    <row r="18" spans="1:187" ht="15.75" customHeight="1" x14ac:dyDescent="0.4">
      <c r="A18" s="13"/>
      <c r="B18" s="13"/>
      <c r="C18" s="13"/>
      <c r="D18" s="13" t="s">
        <v>17</v>
      </c>
      <c r="E18" s="13"/>
      <c r="F18" s="13"/>
      <c r="G18" s="36">
        <v>0</v>
      </c>
      <c r="H18" s="36">
        <v>9000</v>
      </c>
      <c r="I18" s="36">
        <v>0</v>
      </c>
      <c r="J18" s="36">
        <f>G18+H18-I18</f>
        <v>9000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</row>
    <row r="19" spans="1:187" ht="15.75" customHeight="1" x14ac:dyDescent="0.25">
      <c r="A19" s="13"/>
      <c r="B19" s="13"/>
      <c r="C19" s="13" t="s">
        <v>22</v>
      </c>
      <c r="D19" s="13"/>
      <c r="E19" s="13"/>
      <c r="F19" s="13"/>
      <c r="G19" s="28"/>
      <c r="H19" s="28"/>
      <c r="I19" s="28"/>
      <c r="J19" s="28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</row>
    <row r="20" spans="1:187" ht="15.75" customHeight="1" x14ac:dyDescent="0.25">
      <c r="A20" s="13"/>
      <c r="B20" s="13"/>
      <c r="C20" s="13"/>
      <c r="D20" s="13" t="s">
        <v>18</v>
      </c>
      <c r="E20" s="13"/>
      <c r="F20" s="13"/>
      <c r="G20" s="28">
        <v>0</v>
      </c>
      <c r="H20" s="28">
        <v>400000</v>
      </c>
      <c r="I20" s="28">
        <v>0</v>
      </c>
      <c r="J20" s="28">
        <f>G20+H20-I20</f>
        <v>400000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</row>
    <row r="21" spans="1:187" ht="15.75" customHeight="1" x14ac:dyDescent="0.25">
      <c r="A21" s="13"/>
      <c r="B21" s="13"/>
      <c r="C21" s="13"/>
      <c r="D21" s="13" t="s">
        <v>19</v>
      </c>
      <c r="E21" s="13"/>
      <c r="F21" s="13"/>
      <c r="G21" s="28">
        <v>607214</v>
      </c>
      <c r="H21" s="28">
        <v>4278</v>
      </c>
      <c r="I21" s="28">
        <v>0</v>
      </c>
      <c r="J21" s="28">
        <f>G21+H21-I21</f>
        <v>611492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</row>
    <row r="22" spans="1:187" ht="15.75" customHeight="1" x14ac:dyDescent="0.4">
      <c r="A22" s="13"/>
      <c r="B22" s="13"/>
      <c r="C22" s="13"/>
      <c r="D22" s="13" t="s">
        <v>20</v>
      </c>
      <c r="E22" s="13"/>
      <c r="F22" s="13"/>
      <c r="G22" s="31">
        <v>20568</v>
      </c>
      <c r="H22" s="31">
        <v>5800</v>
      </c>
      <c r="I22" s="31">
        <v>0</v>
      </c>
      <c r="J22" s="31">
        <f>G22+H22-I22</f>
        <v>26368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</row>
    <row r="23" spans="1:187" ht="18" x14ac:dyDescent="0.4">
      <c r="A23" s="13"/>
      <c r="B23" s="13"/>
      <c r="C23" s="13"/>
      <c r="D23" s="13"/>
      <c r="E23" s="13" t="s">
        <v>24</v>
      </c>
      <c r="F23" s="13"/>
      <c r="G23" s="31">
        <f>SUM(G20:G22)</f>
        <v>627782</v>
      </c>
      <c r="H23" s="31">
        <f t="shared" ref="H23:J23" si="0">SUM(H20:H22)</f>
        <v>410078</v>
      </c>
      <c r="I23" s="31">
        <f t="shared" si="0"/>
        <v>0</v>
      </c>
      <c r="J23" s="31">
        <f t="shared" si="0"/>
        <v>1037860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</row>
    <row r="24" spans="1:187" ht="15.75" customHeight="1" x14ac:dyDescent="0.25">
      <c r="A24" s="13"/>
      <c r="B24" s="13"/>
      <c r="C24" s="13" t="s">
        <v>21</v>
      </c>
      <c r="D24" s="13"/>
      <c r="E24" s="13"/>
      <c r="F24" s="13"/>
      <c r="G24" s="28"/>
      <c r="H24" s="28"/>
      <c r="I24" s="28"/>
      <c r="J24" s="28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</row>
    <row r="25" spans="1:187" ht="15.75" customHeight="1" x14ac:dyDescent="0.25">
      <c r="A25" s="13"/>
      <c r="B25" s="13"/>
      <c r="C25" s="13"/>
      <c r="D25" s="13" t="s">
        <v>18</v>
      </c>
      <c r="E25" s="13"/>
      <c r="F25" s="13"/>
      <c r="G25" s="28">
        <v>0</v>
      </c>
      <c r="H25" s="28">
        <v>3333</v>
      </c>
      <c r="I25" s="28">
        <v>0</v>
      </c>
      <c r="J25" s="28">
        <f t="shared" ref="J25:J27" si="1">G25+H25-I25</f>
        <v>3333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</row>
    <row r="26" spans="1:187" ht="15.75" customHeight="1" x14ac:dyDescent="0.25">
      <c r="A26" s="13"/>
      <c r="B26" s="13"/>
      <c r="C26" s="13"/>
      <c r="D26" s="13" t="s">
        <v>19</v>
      </c>
      <c r="E26" s="13"/>
      <c r="F26" s="13"/>
      <c r="G26" s="28">
        <v>55111</v>
      </c>
      <c r="H26" s="28">
        <v>60514</v>
      </c>
      <c r="I26" s="28">
        <v>0</v>
      </c>
      <c r="J26" s="28">
        <f t="shared" si="1"/>
        <v>115625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</row>
    <row r="27" spans="1:187" ht="15.75" customHeight="1" x14ac:dyDescent="0.4">
      <c r="A27" s="13"/>
      <c r="B27" s="13"/>
      <c r="C27" s="13"/>
      <c r="D27" s="13" t="s">
        <v>20</v>
      </c>
      <c r="E27" s="13"/>
      <c r="F27" s="13"/>
      <c r="G27" s="31">
        <v>5735</v>
      </c>
      <c r="H27" s="31">
        <v>7384</v>
      </c>
      <c r="I27" s="31">
        <v>0</v>
      </c>
      <c r="J27" s="31">
        <f t="shared" si="1"/>
        <v>13119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</row>
    <row r="28" spans="1:187" ht="18" x14ac:dyDescent="0.4">
      <c r="A28" s="13"/>
      <c r="B28" s="13"/>
      <c r="C28" s="13"/>
      <c r="D28" s="13"/>
      <c r="E28" s="13" t="s">
        <v>25</v>
      </c>
      <c r="F28" s="13"/>
      <c r="G28" s="31">
        <f>SUM(G25:G27)</f>
        <v>60846</v>
      </c>
      <c r="H28" s="31">
        <f t="shared" ref="H28:J28" si="2">SUM(H25:H27)</f>
        <v>71231</v>
      </c>
      <c r="I28" s="31">
        <f t="shared" si="2"/>
        <v>0</v>
      </c>
      <c r="J28" s="31">
        <f t="shared" si="2"/>
        <v>132077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</row>
    <row r="29" spans="1:187" ht="18" x14ac:dyDescent="0.4">
      <c r="A29" s="13"/>
      <c r="B29" s="13"/>
      <c r="C29" s="13" t="s">
        <v>31</v>
      </c>
      <c r="D29" s="13"/>
      <c r="E29" s="13"/>
      <c r="F29" s="13"/>
      <c r="G29" s="36">
        <f>G23-G28</f>
        <v>566936</v>
      </c>
      <c r="H29" s="31"/>
      <c r="I29" s="31"/>
      <c r="J29" s="36">
        <f>J23-J28</f>
        <v>905783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</row>
    <row r="30" spans="1:187" ht="20.100000000000001" customHeight="1" x14ac:dyDescent="0.4">
      <c r="A30" s="13"/>
      <c r="B30" s="13"/>
      <c r="C30" s="13" t="s">
        <v>81</v>
      </c>
      <c r="D30" s="13"/>
      <c r="E30" s="13"/>
      <c r="F30" s="13"/>
      <c r="G30" s="32">
        <f>G18+G23-G28</f>
        <v>566936</v>
      </c>
      <c r="H30" s="28"/>
      <c r="I30" s="28"/>
      <c r="J30" s="32">
        <f>J18+J23-J28</f>
        <v>914783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</row>
    <row r="31" spans="1:18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</row>
    <row r="32" spans="1:18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</row>
    <row r="33" spans="1:18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</row>
    <row r="34" spans="1:18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</row>
    <row r="35" spans="1:187" x14ac:dyDescent="0.25">
      <c r="A35" s="13"/>
      <c r="B35" s="14" t="s">
        <v>41</v>
      </c>
      <c r="C35" s="14"/>
      <c r="D35" s="14"/>
      <c r="E35" s="14"/>
      <c r="F35" s="2"/>
      <c r="G35" s="37"/>
      <c r="H35" s="3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</row>
    <row r="36" spans="1:187" x14ac:dyDescent="0.25">
      <c r="A36" s="13"/>
      <c r="B36" s="13"/>
      <c r="C36" s="13"/>
      <c r="D36" s="13"/>
      <c r="E36" s="13"/>
      <c r="F36" s="37"/>
      <c r="G36" s="37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</row>
    <row r="37" spans="1:187" ht="18" x14ac:dyDescent="0.4">
      <c r="A37" s="13"/>
      <c r="B37" s="13"/>
      <c r="C37" s="13"/>
      <c r="D37" s="13"/>
      <c r="E37" s="13"/>
      <c r="F37" s="34" t="s">
        <v>0</v>
      </c>
      <c r="G37" s="34" t="s">
        <v>1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</row>
    <row r="38" spans="1:187" x14ac:dyDescent="0.25">
      <c r="A38" s="13"/>
      <c r="B38" s="13"/>
      <c r="C38" s="13"/>
      <c r="D38" s="13"/>
      <c r="E38" s="13"/>
      <c r="F38" s="13" t="s">
        <v>34</v>
      </c>
      <c r="G38" s="27">
        <v>55135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</row>
    <row r="39" spans="1:187" ht="18" customHeight="1" x14ac:dyDescent="0.4">
      <c r="A39" s="13"/>
      <c r="B39" s="13"/>
      <c r="C39" s="13"/>
      <c r="D39" s="13"/>
      <c r="E39" s="13"/>
      <c r="F39" s="13" t="s">
        <v>35</v>
      </c>
      <c r="G39" s="31">
        <v>16096</v>
      </c>
      <c r="H39" s="29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</row>
    <row r="40" spans="1:187" ht="18" x14ac:dyDescent="0.4">
      <c r="A40" s="13"/>
      <c r="B40" s="13"/>
      <c r="C40" s="13"/>
      <c r="D40" s="13"/>
      <c r="E40" s="13"/>
      <c r="F40" s="38" t="s">
        <v>36</v>
      </c>
      <c r="G40" s="32">
        <f>SUM(G38:G39)</f>
        <v>71231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</row>
    <row r="41" spans="1:187" ht="18" x14ac:dyDescent="0.4">
      <c r="A41" s="13"/>
      <c r="B41" s="13"/>
      <c r="C41" s="13"/>
      <c r="D41" s="13"/>
      <c r="E41" s="13"/>
      <c r="F41" s="38"/>
      <c r="G41" s="3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</row>
    <row r="42" spans="1:187" ht="18" x14ac:dyDescent="0.4">
      <c r="A42" s="13"/>
      <c r="B42" s="13"/>
      <c r="C42" s="13"/>
      <c r="D42" s="13"/>
      <c r="E42" s="13"/>
      <c r="F42" s="39"/>
      <c r="G42" s="3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</row>
    <row r="43" spans="1:187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</row>
    <row r="44" spans="1:187" x14ac:dyDescent="0.25">
      <c r="A44" s="13"/>
      <c r="B44" s="14" t="s">
        <v>84</v>
      </c>
      <c r="C44" s="2"/>
      <c r="D44" s="14"/>
      <c r="E44" s="14"/>
      <c r="F44" s="14"/>
      <c r="G44" s="37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</row>
    <row r="45" spans="1:187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</row>
    <row r="46" spans="1:187" x14ac:dyDescent="0.25">
      <c r="A46" s="13"/>
      <c r="B46" s="13"/>
      <c r="C46" s="13"/>
      <c r="D46" s="13"/>
      <c r="E46" s="13"/>
      <c r="F46" s="13"/>
      <c r="G46" s="11" t="s">
        <v>26</v>
      </c>
      <c r="H46" s="11"/>
      <c r="I46" s="11"/>
      <c r="J46" s="11" t="s">
        <v>30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</row>
    <row r="47" spans="1:187" ht="18" x14ac:dyDescent="0.4">
      <c r="A47" s="13"/>
      <c r="B47" s="13"/>
      <c r="C47" s="13"/>
      <c r="D47" s="13"/>
      <c r="E47" s="13"/>
      <c r="F47" s="13"/>
      <c r="G47" s="34" t="s">
        <v>27</v>
      </c>
      <c r="H47" s="34" t="s">
        <v>28</v>
      </c>
      <c r="I47" s="34" t="s">
        <v>29</v>
      </c>
      <c r="J47" s="34" t="s">
        <v>27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</row>
    <row r="48" spans="1:187" x14ac:dyDescent="0.25">
      <c r="A48" s="13"/>
      <c r="B48" s="13" t="s">
        <v>32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</row>
    <row r="49" spans="1:187" x14ac:dyDescent="0.25">
      <c r="A49" s="13"/>
      <c r="B49" s="13"/>
      <c r="C49" s="40" t="s">
        <v>90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</row>
    <row r="50" spans="1:187" ht="15.75" customHeight="1" x14ac:dyDescent="0.25">
      <c r="A50" s="13"/>
      <c r="B50" s="13"/>
      <c r="C50" s="13" t="s">
        <v>22</v>
      </c>
      <c r="D50" s="13"/>
      <c r="E50" s="13"/>
      <c r="F50" s="13"/>
      <c r="G50" s="13"/>
      <c r="H50" s="35"/>
      <c r="I50" s="35"/>
      <c r="J50" s="35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</row>
    <row r="51" spans="1:187" ht="15.75" customHeight="1" x14ac:dyDescent="0.25">
      <c r="A51" s="13"/>
      <c r="B51" s="13"/>
      <c r="C51" s="13"/>
      <c r="D51" s="13" t="s">
        <v>19</v>
      </c>
      <c r="E51" s="13"/>
      <c r="F51" s="13"/>
      <c r="G51" s="27">
        <v>12066</v>
      </c>
      <c r="H51" s="27">
        <v>8287</v>
      </c>
      <c r="I51" s="27">
        <v>0</v>
      </c>
      <c r="J51" s="27">
        <f>G51+H51-I51</f>
        <v>20353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</row>
    <row r="52" spans="1:187" ht="15.75" customHeight="1" x14ac:dyDescent="0.25">
      <c r="A52" s="13"/>
      <c r="B52" s="13"/>
      <c r="C52" s="13"/>
      <c r="D52" s="13" t="s">
        <v>33</v>
      </c>
      <c r="E52" s="13"/>
      <c r="F52" s="13"/>
      <c r="G52" s="28">
        <v>4000</v>
      </c>
      <c r="H52" s="28">
        <v>0</v>
      </c>
      <c r="I52" s="28">
        <v>0</v>
      </c>
      <c r="J52" s="28">
        <f>G52+H52-I52</f>
        <v>4000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</row>
    <row r="53" spans="1:187" ht="15.75" customHeight="1" x14ac:dyDescent="0.4">
      <c r="A53" s="13"/>
      <c r="B53" s="13"/>
      <c r="C53" s="13"/>
      <c r="D53" s="13" t="s">
        <v>20</v>
      </c>
      <c r="E53" s="13"/>
      <c r="F53" s="13"/>
      <c r="G53" s="31">
        <v>10000</v>
      </c>
      <c r="H53" s="31">
        <v>0</v>
      </c>
      <c r="I53" s="31">
        <v>0</v>
      </c>
      <c r="J53" s="31">
        <f>G53+H53-I53</f>
        <v>10000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</row>
    <row r="54" spans="1:187" ht="18" x14ac:dyDescent="0.4">
      <c r="A54" s="13"/>
      <c r="B54" s="13"/>
      <c r="C54" s="13"/>
      <c r="D54" s="13"/>
      <c r="E54" s="13" t="s">
        <v>24</v>
      </c>
      <c r="F54" s="13"/>
      <c r="G54" s="31">
        <f>SUM(G51:G53)</f>
        <v>26066</v>
      </c>
      <c r="H54" s="31">
        <f t="shared" ref="H54:J54" si="3">SUM(H51:H53)</f>
        <v>8287</v>
      </c>
      <c r="I54" s="31">
        <f t="shared" si="3"/>
        <v>0</v>
      </c>
      <c r="J54" s="31">
        <f t="shared" si="3"/>
        <v>34353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</row>
    <row r="55" spans="1:187" ht="15.75" customHeight="1" x14ac:dyDescent="0.25">
      <c r="A55" s="13"/>
      <c r="B55" s="13"/>
      <c r="C55" s="13" t="s">
        <v>21</v>
      </c>
      <c r="D55" s="13"/>
      <c r="E55" s="13"/>
      <c r="F55" s="13"/>
      <c r="G55" s="28"/>
      <c r="H55" s="28"/>
      <c r="I55" s="28"/>
      <c r="J55" s="28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</row>
    <row r="56" spans="1:187" ht="15.75" customHeight="1" x14ac:dyDescent="0.25">
      <c r="A56" s="13"/>
      <c r="B56" s="13"/>
      <c r="C56" s="13"/>
      <c r="D56" s="13" t="s">
        <v>19</v>
      </c>
      <c r="E56" s="13"/>
      <c r="F56" s="13"/>
      <c r="G56" s="28">
        <v>362</v>
      </c>
      <c r="H56" s="28">
        <v>450</v>
      </c>
      <c r="I56" s="28">
        <v>0</v>
      </c>
      <c r="J56" s="28">
        <f t="shared" ref="J56:J58" si="4">G56+H56-I56</f>
        <v>812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</row>
    <row r="57" spans="1:187" ht="15.75" customHeight="1" x14ac:dyDescent="0.25">
      <c r="A57" s="13"/>
      <c r="B57" s="13"/>
      <c r="C57" s="13"/>
      <c r="D57" s="13" t="s">
        <v>33</v>
      </c>
      <c r="E57" s="13"/>
      <c r="F57" s="13"/>
      <c r="G57" s="28">
        <v>250</v>
      </c>
      <c r="H57" s="28">
        <v>250</v>
      </c>
      <c r="I57" s="28">
        <v>0</v>
      </c>
      <c r="J57" s="28">
        <f t="shared" si="4"/>
        <v>500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</row>
    <row r="58" spans="1:187" ht="15.75" customHeight="1" x14ac:dyDescent="0.4">
      <c r="A58" s="13"/>
      <c r="B58" s="13"/>
      <c r="C58" s="13"/>
      <c r="D58" s="13" t="s">
        <v>20</v>
      </c>
      <c r="E58" s="13"/>
      <c r="F58" s="13"/>
      <c r="G58" s="31">
        <v>250</v>
      </c>
      <c r="H58" s="31">
        <v>250</v>
      </c>
      <c r="I58" s="31">
        <v>0</v>
      </c>
      <c r="J58" s="31">
        <f t="shared" si="4"/>
        <v>500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</row>
    <row r="59" spans="1:187" ht="18" x14ac:dyDescent="0.4">
      <c r="A59" s="13"/>
      <c r="B59" s="13"/>
      <c r="C59" s="13"/>
      <c r="D59" s="13"/>
      <c r="E59" s="13" t="s">
        <v>25</v>
      </c>
      <c r="F59" s="13"/>
      <c r="G59" s="31">
        <f>SUM(G56:G58)</f>
        <v>862</v>
      </c>
      <c r="H59" s="31">
        <f t="shared" ref="H59:J59" si="5">SUM(H56:H58)</f>
        <v>950</v>
      </c>
      <c r="I59" s="31">
        <f t="shared" si="5"/>
        <v>0</v>
      </c>
      <c r="J59" s="31">
        <f t="shared" si="5"/>
        <v>1812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</row>
    <row r="60" spans="1:187" ht="18" x14ac:dyDescent="0.4">
      <c r="A60" s="13"/>
      <c r="B60" s="13"/>
      <c r="C60" s="13"/>
      <c r="D60" s="13"/>
      <c r="E60" s="13" t="s">
        <v>91</v>
      </c>
      <c r="F60" s="13"/>
      <c r="G60" s="36">
        <f>G54-G59</f>
        <v>25204</v>
      </c>
      <c r="H60" s="31"/>
      <c r="I60" s="31"/>
      <c r="J60" s="36">
        <f>J54-J59</f>
        <v>32541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</row>
    <row r="61" spans="1:187" ht="5.0999999999999996" customHeight="1" x14ac:dyDescent="0.25">
      <c r="A61" s="13"/>
      <c r="B61" s="13"/>
      <c r="C61" s="13"/>
      <c r="D61" s="13"/>
      <c r="E61" s="13"/>
      <c r="F61" s="13"/>
      <c r="G61" s="28"/>
      <c r="H61" s="28"/>
      <c r="I61" s="28"/>
      <c r="J61" s="28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</row>
    <row r="62" spans="1:187" ht="15.75" customHeight="1" x14ac:dyDescent="0.25">
      <c r="A62" s="13"/>
      <c r="B62" s="13"/>
      <c r="C62" s="40" t="s">
        <v>72</v>
      </c>
      <c r="D62" s="13"/>
      <c r="E62" s="13"/>
      <c r="F62" s="13"/>
      <c r="G62" s="28"/>
      <c r="H62" s="28"/>
      <c r="I62" s="28"/>
      <c r="J62" s="28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</row>
    <row r="63" spans="1:187" ht="15.75" customHeight="1" x14ac:dyDescent="0.25">
      <c r="A63" s="13"/>
      <c r="B63" s="13"/>
      <c r="C63" s="13" t="s">
        <v>22</v>
      </c>
      <c r="D63" s="13"/>
      <c r="E63" s="13"/>
      <c r="F63" s="13"/>
      <c r="G63" s="28"/>
      <c r="H63" s="28"/>
      <c r="I63" s="28"/>
      <c r="J63" s="28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</row>
    <row r="64" spans="1:187" ht="15.75" customHeight="1" x14ac:dyDescent="0.25">
      <c r="A64" s="13"/>
      <c r="B64" s="13"/>
      <c r="C64" s="13"/>
      <c r="D64" s="13" t="s">
        <v>19</v>
      </c>
      <c r="E64" s="13"/>
      <c r="F64" s="13"/>
      <c r="G64" s="27">
        <v>373</v>
      </c>
      <c r="H64" s="28">
        <v>827</v>
      </c>
      <c r="I64" s="28">
        <v>0</v>
      </c>
      <c r="J64" s="27">
        <f>G64+H64-I64</f>
        <v>1200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</row>
    <row r="65" spans="1:187" ht="15.75" customHeight="1" x14ac:dyDescent="0.4">
      <c r="A65" s="13"/>
      <c r="B65" s="13"/>
      <c r="C65" s="13"/>
      <c r="D65" s="13" t="s">
        <v>20</v>
      </c>
      <c r="E65" s="13"/>
      <c r="F65" s="13"/>
      <c r="G65" s="31">
        <v>573</v>
      </c>
      <c r="H65" s="31">
        <v>0</v>
      </c>
      <c r="I65" s="31">
        <v>0</v>
      </c>
      <c r="J65" s="31">
        <f>G65+H65-I65</f>
        <v>573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</row>
    <row r="66" spans="1:187" ht="18" x14ac:dyDescent="0.4">
      <c r="A66" s="13"/>
      <c r="B66" s="13"/>
      <c r="C66" s="13"/>
      <c r="D66" s="13"/>
      <c r="E66" s="13" t="s">
        <v>24</v>
      </c>
      <c r="F66" s="13"/>
      <c r="G66" s="31">
        <f>SUM(G63:G65)</f>
        <v>946</v>
      </c>
      <c r="H66" s="31">
        <f t="shared" ref="H66:J66" si="6">SUM(H63:H65)</f>
        <v>827</v>
      </c>
      <c r="I66" s="31">
        <f t="shared" si="6"/>
        <v>0</v>
      </c>
      <c r="J66" s="31">
        <f t="shared" si="6"/>
        <v>1773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</row>
    <row r="67" spans="1:187" ht="15.75" customHeight="1" x14ac:dyDescent="0.25">
      <c r="A67" s="13"/>
      <c r="B67" s="13"/>
      <c r="C67" s="13" t="s">
        <v>21</v>
      </c>
      <c r="D67" s="13"/>
      <c r="E67" s="13"/>
      <c r="F67" s="13"/>
      <c r="G67" s="28"/>
      <c r="H67" s="28"/>
      <c r="I67" s="28"/>
      <c r="J67" s="28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</row>
    <row r="68" spans="1:187" ht="15.75" customHeight="1" x14ac:dyDescent="0.25">
      <c r="A68" s="13"/>
      <c r="B68" s="13"/>
      <c r="C68" s="13"/>
      <c r="D68" s="13" t="s">
        <v>19</v>
      </c>
      <c r="E68" s="13"/>
      <c r="F68" s="13"/>
      <c r="G68" s="28">
        <v>0</v>
      </c>
      <c r="H68" s="28">
        <v>400</v>
      </c>
      <c r="I68" s="28">
        <v>0</v>
      </c>
      <c r="J68" s="28">
        <f t="shared" ref="J68:J69" si="7">G68+H68-I68</f>
        <v>400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</row>
    <row r="69" spans="1:187" ht="15.75" customHeight="1" x14ac:dyDescent="0.4">
      <c r="A69" s="13"/>
      <c r="B69" s="13"/>
      <c r="C69" s="13"/>
      <c r="D69" s="13" t="s">
        <v>20</v>
      </c>
      <c r="E69" s="13"/>
      <c r="F69" s="13"/>
      <c r="G69" s="31">
        <v>0</v>
      </c>
      <c r="H69" s="31">
        <v>373</v>
      </c>
      <c r="I69" s="31">
        <v>0</v>
      </c>
      <c r="J69" s="31">
        <f t="shared" si="7"/>
        <v>373</v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</row>
    <row r="70" spans="1:187" ht="18" x14ac:dyDescent="0.4">
      <c r="A70" s="13"/>
      <c r="B70" s="13"/>
      <c r="C70" s="13"/>
      <c r="D70" s="13"/>
      <c r="E70" s="13" t="s">
        <v>25</v>
      </c>
      <c r="F70" s="13"/>
      <c r="G70" s="31">
        <f>SUM(G67:G69)</f>
        <v>0</v>
      </c>
      <c r="H70" s="31">
        <f t="shared" ref="H70:J70" si="8">SUM(H67:H69)</f>
        <v>773</v>
      </c>
      <c r="I70" s="31">
        <f t="shared" si="8"/>
        <v>0</v>
      </c>
      <c r="J70" s="31">
        <f t="shared" si="8"/>
        <v>773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</row>
    <row r="71" spans="1:187" ht="18" x14ac:dyDescent="0.4">
      <c r="A71" s="13"/>
      <c r="B71" s="13"/>
      <c r="C71" s="13"/>
      <c r="D71" s="13"/>
      <c r="E71" s="13" t="s">
        <v>92</v>
      </c>
      <c r="F71" s="13"/>
      <c r="G71" s="36">
        <f>+G66-G70</f>
        <v>946</v>
      </c>
      <c r="H71" s="31"/>
      <c r="I71" s="31"/>
      <c r="J71" s="36">
        <f>+J66-J70</f>
        <v>1000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</row>
    <row r="72" spans="1:187" ht="18" x14ac:dyDescent="0.4">
      <c r="A72" s="13"/>
      <c r="B72" s="13"/>
      <c r="C72" s="13"/>
      <c r="D72" s="13"/>
      <c r="E72" s="13" t="s">
        <v>83</v>
      </c>
      <c r="F72" s="13"/>
      <c r="G72" s="32">
        <f>+G60+G71</f>
        <v>26150</v>
      </c>
      <c r="H72" s="28"/>
      <c r="I72" s="28"/>
      <c r="J72" s="32">
        <f>+J60+J71</f>
        <v>33541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</row>
    <row r="73" spans="1:187" ht="18" x14ac:dyDescent="0.4">
      <c r="A73" s="13"/>
      <c r="B73" s="13"/>
      <c r="C73" s="13"/>
      <c r="D73" s="13"/>
      <c r="E73" s="13"/>
      <c r="F73" s="13"/>
      <c r="G73" s="32"/>
      <c r="H73" s="28"/>
      <c r="I73" s="28"/>
      <c r="J73" s="3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</row>
    <row r="74" spans="1:187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</row>
    <row r="75" spans="1:187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</row>
    <row r="76" spans="1:187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</row>
    <row r="77" spans="1:187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</row>
    <row r="78" spans="1:187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</row>
    <row r="79" spans="1:187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</row>
    <row r="80" spans="1:187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</row>
    <row r="81" spans="1:187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</row>
    <row r="82" spans="1:187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</row>
    <row r="83" spans="1:187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</row>
    <row r="84" spans="1:187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</row>
    <row r="85" spans="1:187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</row>
    <row r="86" spans="1:187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</row>
    <row r="87" spans="1:187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</row>
    <row r="88" spans="1:187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</row>
    <row r="89" spans="1:187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</row>
    <row r="90" spans="1:187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</row>
    <row r="91" spans="1:187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</row>
    <row r="92" spans="1:187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</row>
    <row r="93" spans="1:187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</row>
    <row r="94" spans="1:187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</row>
    <row r="95" spans="1:187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</row>
    <row r="96" spans="1:187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</row>
    <row r="97" spans="1:187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</row>
    <row r="98" spans="1:187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</row>
    <row r="99" spans="1:187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</row>
    <row r="100" spans="1:187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</row>
    <row r="101" spans="1:187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</row>
    <row r="102" spans="1:187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</row>
    <row r="103" spans="1:187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</row>
    <row r="104" spans="1:187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</row>
    <row r="105" spans="1:187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</row>
    <row r="106" spans="1:187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</row>
    <row r="107" spans="1:187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</row>
    <row r="108" spans="1:187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</row>
    <row r="109" spans="1:187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</row>
    <row r="110" spans="1:187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</row>
    <row r="111" spans="1:187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</row>
    <row r="112" spans="1:187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</row>
    <row r="113" spans="1:187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</row>
    <row r="114" spans="1:187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</row>
    <row r="115" spans="1:187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</row>
    <row r="116" spans="1:187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</row>
    <row r="117" spans="1:187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</row>
    <row r="118" spans="1:187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</row>
    <row r="119" spans="1:187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</row>
    <row r="120" spans="1:187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</row>
    <row r="121" spans="1:187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</row>
    <row r="122" spans="1:187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</row>
    <row r="123" spans="1:187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</row>
    <row r="124" spans="1:187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</row>
    <row r="125" spans="1:187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</row>
    <row r="126" spans="1:187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</row>
    <row r="127" spans="1:187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</row>
    <row r="128" spans="1:187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</row>
    <row r="129" spans="1:94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</row>
    <row r="130" spans="1:94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</row>
    <row r="131" spans="1:94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</row>
    <row r="132" spans="1:94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</row>
    <row r="133" spans="1:94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</row>
    <row r="134" spans="1:94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</row>
    <row r="135" spans="1:94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</row>
    <row r="136" spans="1:94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</row>
    <row r="137" spans="1:94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</row>
    <row r="138" spans="1:94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</row>
    <row r="139" spans="1:94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</row>
    <row r="140" spans="1:94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</row>
    <row r="141" spans="1:94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</row>
    <row r="142" spans="1:94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</row>
    <row r="143" spans="1:94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</row>
    <row r="144" spans="1:94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</row>
    <row r="145" spans="1:94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</row>
    <row r="146" spans="1:94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</row>
    <row r="147" spans="1:94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</row>
    <row r="148" spans="1:94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</row>
    <row r="149" spans="1:94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</row>
    <row r="150" spans="1:94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</row>
    <row r="151" spans="1:94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</row>
    <row r="152" spans="1:94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</row>
    <row r="153" spans="1:94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</row>
    <row r="154" spans="1:94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</row>
    <row r="155" spans="1:94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</row>
    <row r="156" spans="1:94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</row>
    <row r="157" spans="1:94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</row>
    <row r="158" spans="1:94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</row>
    <row r="159" spans="1:94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</row>
    <row r="160" spans="1:94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</row>
    <row r="161" spans="1:94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</row>
    <row r="162" spans="1:94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</row>
    <row r="163" spans="1:94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</row>
    <row r="164" spans="1:94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</row>
    <row r="165" spans="1:94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</row>
    <row r="166" spans="1:94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</row>
    <row r="167" spans="1:94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</row>
    <row r="168" spans="1:94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</row>
    <row r="169" spans="1:94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</row>
    <row r="170" spans="1:94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</row>
    <row r="171" spans="1:94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</row>
    <row r="172" spans="1:94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</row>
    <row r="173" spans="1:94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</row>
    <row r="174" spans="1:94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</row>
    <row r="175" spans="1:94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</row>
    <row r="176" spans="1:94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</row>
    <row r="177" spans="1:94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</row>
    <row r="178" spans="1:94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</row>
    <row r="179" spans="1:94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</row>
    <row r="180" spans="1:94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</row>
    <row r="181" spans="1:94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</row>
    <row r="182" spans="1:94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</row>
    <row r="183" spans="1:94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</row>
    <row r="184" spans="1:94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</row>
    <row r="185" spans="1:94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</row>
    <row r="186" spans="1:94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</row>
    <row r="187" spans="1:94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</row>
    <row r="188" spans="1:94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</row>
    <row r="189" spans="1:94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</row>
    <row r="190" spans="1:94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</row>
    <row r="191" spans="1:94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</row>
    <row r="192" spans="1:94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</row>
    <row r="193" spans="1:94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</row>
    <row r="194" spans="1:94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</row>
    <row r="195" spans="1:94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</row>
    <row r="196" spans="1:94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</row>
    <row r="197" spans="1:94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</row>
    <row r="198" spans="1:94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</row>
    <row r="199" spans="1:94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</row>
    <row r="200" spans="1:94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</row>
    <row r="201" spans="1:94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</row>
    <row r="202" spans="1:94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</row>
    <row r="203" spans="1:94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</row>
    <row r="204" spans="1:94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</row>
    <row r="205" spans="1:94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</row>
    <row r="206" spans="1:94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</row>
    <row r="207" spans="1:94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</row>
    <row r="208" spans="1:94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</row>
    <row r="209" spans="1:94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</row>
    <row r="210" spans="1:94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</row>
    <row r="211" spans="1:94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</row>
    <row r="212" spans="1:94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</row>
    <row r="213" spans="1:94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</row>
    <row r="214" spans="1:94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</row>
    <row r="215" spans="1:94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</row>
    <row r="216" spans="1:94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</row>
    <row r="217" spans="1:94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</row>
    <row r="218" spans="1:94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</row>
    <row r="219" spans="1:94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</row>
    <row r="220" spans="1:94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</row>
    <row r="221" spans="1:94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</row>
    <row r="222" spans="1:94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</row>
    <row r="223" spans="1:94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</row>
    <row r="224" spans="1:94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</row>
    <row r="225" spans="1:94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</row>
    <row r="226" spans="1:94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</row>
    <row r="227" spans="1:94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</row>
    <row r="228" spans="1:94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</row>
    <row r="229" spans="1:94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</row>
    <row r="230" spans="1:94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</row>
    <row r="231" spans="1:94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</row>
    <row r="232" spans="1:94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</row>
    <row r="233" spans="1:94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</row>
    <row r="234" spans="1:94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</row>
    <row r="235" spans="1:94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</row>
    <row r="236" spans="1:94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</row>
    <row r="237" spans="1:94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</row>
    <row r="238" spans="1:94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</row>
    <row r="239" spans="1:94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</row>
    <row r="240" spans="1:94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</row>
    <row r="241" spans="1:94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</row>
    <row r="242" spans="1:94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</row>
    <row r="243" spans="1:94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</row>
    <row r="244" spans="1:94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</row>
    <row r="245" spans="1:94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</row>
    <row r="246" spans="1:94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</row>
    <row r="247" spans="1:94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</row>
    <row r="248" spans="1:94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</row>
    <row r="249" spans="1:94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</row>
    <row r="250" spans="1:94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</row>
    <row r="251" spans="1:94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</row>
    <row r="252" spans="1:94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</row>
    <row r="253" spans="1:94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</row>
    <row r="254" spans="1:94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</row>
    <row r="255" spans="1:94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</row>
    <row r="256" spans="1:94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</row>
    <row r="257" spans="1:94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</row>
    <row r="258" spans="1:94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</row>
    <row r="259" spans="1:94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</row>
    <row r="260" spans="1:94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</row>
    <row r="261" spans="1:94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</row>
    <row r="262" spans="1:94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</row>
    <row r="263" spans="1:94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</row>
    <row r="264" spans="1:94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</row>
    <row r="265" spans="1:94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</row>
    <row r="266" spans="1:94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</row>
    <row r="267" spans="1:94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</row>
    <row r="268" spans="1:94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</row>
    <row r="269" spans="1:94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</row>
    <row r="270" spans="1:94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</row>
    <row r="271" spans="1:94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</row>
    <row r="272" spans="1:94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</row>
    <row r="273" spans="1:94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</row>
    <row r="274" spans="1:94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</row>
    <row r="275" spans="1:94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</row>
    <row r="276" spans="1:94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</row>
    <row r="277" spans="1:94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</row>
    <row r="278" spans="1:94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</row>
    <row r="279" spans="1:94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</row>
    <row r="280" spans="1:94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</row>
    <row r="281" spans="1:94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</row>
    <row r="282" spans="1:94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</row>
    <row r="283" spans="1:94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</row>
    <row r="284" spans="1:94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</row>
    <row r="285" spans="1:94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</row>
    <row r="286" spans="1:94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</row>
    <row r="287" spans="1:94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</row>
    <row r="288" spans="1:94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</row>
    <row r="289" spans="1:94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</row>
    <row r="290" spans="1:94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</row>
    <row r="291" spans="1:94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</row>
    <row r="292" spans="1:94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</row>
    <row r="293" spans="1:94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</row>
    <row r="294" spans="1:94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</row>
    <row r="295" spans="1:94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</row>
    <row r="296" spans="1:94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</row>
    <row r="297" spans="1:94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</row>
    <row r="298" spans="1:94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</row>
    <row r="299" spans="1:94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</row>
    <row r="300" spans="1:94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</row>
    <row r="301" spans="1:94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</row>
    <row r="302" spans="1:94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</row>
    <row r="303" spans="1:94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</row>
    <row r="304" spans="1:94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</row>
    <row r="305" spans="1:94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</row>
    <row r="306" spans="1:94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</row>
    <row r="307" spans="1:94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</row>
    <row r="308" spans="1:94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</row>
    <row r="309" spans="1:94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</row>
    <row r="310" spans="1:94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</row>
    <row r="311" spans="1:94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</row>
    <row r="312" spans="1:94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</row>
    <row r="313" spans="1:94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</row>
    <row r="314" spans="1:94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</row>
    <row r="315" spans="1:94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</row>
    <row r="316" spans="1:94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</row>
    <row r="317" spans="1:94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</row>
    <row r="318" spans="1:94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</row>
    <row r="319" spans="1:94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</row>
    <row r="320" spans="1:94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</row>
    <row r="321" spans="1:94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</row>
    <row r="322" spans="1:94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</row>
    <row r="323" spans="1:94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</row>
    <row r="324" spans="1:94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</row>
    <row r="325" spans="1:94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</row>
    <row r="326" spans="1:94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</row>
    <row r="327" spans="1:94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</row>
    <row r="328" spans="1:94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</row>
    <row r="329" spans="1:94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</row>
    <row r="330" spans="1:94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</row>
    <row r="331" spans="1:94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</row>
    <row r="332" spans="1:94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</row>
    <row r="333" spans="1:94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</row>
    <row r="334" spans="1:94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</row>
    <row r="335" spans="1:94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</row>
    <row r="336" spans="1:94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</row>
    <row r="337" spans="1:94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</row>
    <row r="338" spans="1:94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</row>
    <row r="339" spans="1:94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</row>
    <row r="340" spans="1:94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</row>
    <row r="341" spans="1:94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</row>
    <row r="342" spans="1:94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</row>
    <row r="343" spans="1:94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</row>
    <row r="344" spans="1:94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</row>
    <row r="345" spans="1:94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</row>
    <row r="346" spans="1:94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</row>
    <row r="347" spans="1:94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</row>
    <row r="348" spans="1:94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</row>
    <row r="349" spans="1:94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</row>
    <row r="350" spans="1:94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</row>
    <row r="351" spans="1:94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</row>
    <row r="352" spans="1:94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</row>
    <row r="353" spans="1:94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</row>
    <row r="354" spans="1:94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</row>
    <row r="355" spans="1:94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</row>
    <row r="356" spans="1:94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</row>
    <row r="357" spans="1:94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</row>
    <row r="358" spans="1:94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</row>
    <row r="359" spans="1:94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</row>
    <row r="360" spans="1:94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</row>
    <row r="361" spans="1:94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</row>
    <row r="362" spans="1:94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</row>
    <row r="363" spans="1:94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</row>
    <row r="364" spans="1:94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</row>
    <row r="365" spans="1:94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</row>
    <row r="366" spans="1:94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</row>
    <row r="367" spans="1:94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</row>
    <row r="368" spans="1:94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</row>
    <row r="369" spans="1:94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</row>
    <row r="370" spans="1:94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</row>
    <row r="371" spans="1:94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</row>
    <row r="372" spans="1:94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</row>
    <row r="373" spans="1:94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</row>
    <row r="374" spans="1:94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</row>
    <row r="375" spans="1:94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</row>
    <row r="376" spans="1:94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</row>
    <row r="377" spans="1:94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</row>
    <row r="378" spans="1:94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</row>
    <row r="379" spans="1:94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</row>
    <row r="380" spans="1:94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</row>
    <row r="381" spans="1:94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</row>
    <row r="382" spans="1:94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</row>
    <row r="383" spans="1:94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</row>
    <row r="384" spans="1:94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</row>
    <row r="385" spans="1:94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</row>
    <row r="386" spans="1:94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</row>
    <row r="387" spans="1:94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</row>
    <row r="388" spans="1:94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</row>
    <row r="389" spans="1:94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</row>
    <row r="390" spans="1:94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</row>
    <row r="391" spans="1:94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</row>
    <row r="392" spans="1:94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</row>
    <row r="393" spans="1:94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</row>
    <row r="394" spans="1:94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</row>
    <row r="395" spans="1:94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</row>
    <row r="396" spans="1:94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</row>
    <row r="397" spans="1:94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</row>
    <row r="398" spans="1:94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</row>
    <row r="399" spans="1:94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</row>
    <row r="400" spans="1:94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</row>
    <row r="401" spans="1:94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</row>
    <row r="402" spans="1:94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</row>
    <row r="403" spans="1:94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</row>
    <row r="404" spans="1:94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</row>
    <row r="405" spans="1:94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</row>
    <row r="406" spans="1:94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</row>
    <row r="407" spans="1:94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</row>
    <row r="408" spans="1:94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</row>
    <row r="409" spans="1:94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</row>
    <row r="410" spans="1:94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</row>
    <row r="411" spans="1:94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</row>
    <row r="412" spans="1:94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</row>
    <row r="413" spans="1:94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</row>
    <row r="414" spans="1:94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</row>
    <row r="415" spans="1:94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</row>
    <row r="416" spans="1:94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</row>
    <row r="417" spans="1:94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</row>
    <row r="418" spans="1:94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</row>
    <row r="419" spans="1:94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</row>
    <row r="420" spans="1:94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</row>
    <row r="421" spans="1:94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</row>
    <row r="422" spans="1:94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</row>
    <row r="423" spans="1:94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</row>
    <row r="424" spans="1:94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</row>
    <row r="425" spans="1:94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</row>
    <row r="426" spans="1:94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</row>
    <row r="427" spans="1:94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</row>
    <row r="428" spans="1:94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</row>
    <row r="429" spans="1:94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</row>
    <row r="430" spans="1:94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</row>
    <row r="431" spans="1:94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</row>
    <row r="432" spans="1:94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</row>
    <row r="433" spans="1:94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</row>
    <row r="434" spans="1:94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</row>
    <row r="435" spans="1:94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</row>
    <row r="436" spans="1:94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</row>
    <row r="437" spans="1:94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</row>
    <row r="438" spans="1:94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</row>
    <row r="439" spans="1:94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</row>
    <row r="440" spans="1:94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</row>
    <row r="441" spans="1:94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</row>
    <row r="442" spans="1:94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</row>
    <row r="443" spans="1:94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</row>
    <row r="444" spans="1:94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</row>
    <row r="445" spans="1:94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</row>
    <row r="446" spans="1:94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</row>
    <row r="447" spans="1:94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</row>
    <row r="448" spans="1:94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</row>
    <row r="449" spans="1:94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</row>
    <row r="450" spans="1:94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</row>
    <row r="451" spans="1:94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</row>
    <row r="452" spans="1:94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</row>
    <row r="453" spans="1:94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</row>
    <row r="454" spans="1:94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</row>
    <row r="455" spans="1:94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</row>
    <row r="456" spans="1:94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</row>
    <row r="457" spans="1:94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</row>
    <row r="458" spans="1:94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</row>
    <row r="459" spans="1:94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</row>
    <row r="460" spans="1:94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</row>
    <row r="461" spans="1:94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</row>
    <row r="462" spans="1:94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</row>
    <row r="463" spans="1:94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</row>
    <row r="464" spans="1:94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</row>
    <row r="465" spans="1:94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</row>
    <row r="466" spans="1:94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</row>
    <row r="467" spans="1:94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</row>
    <row r="468" spans="1:94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</row>
    <row r="469" spans="1:94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</row>
    <row r="470" spans="1:94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</row>
    <row r="471" spans="1:94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</row>
    <row r="472" spans="1:94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</row>
    <row r="473" spans="1:94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</row>
    <row r="474" spans="1:94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</row>
    <row r="475" spans="1:94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</row>
    <row r="476" spans="1:94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</row>
    <row r="477" spans="1:94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</row>
    <row r="478" spans="1:94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</row>
    <row r="479" spans="1:94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</row>
    <row r="480" spans="1:94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</row>
    <row r="481" spans="1:94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</row>
    <row r="482" spans="1:94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</row>
    <row r="483" spans="1:94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</row>
    <row r="484" spans="1:94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</row>
    <row r="485" spans="1:94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</row>
    <row r="486" spans="1:94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</row>
    <row r="487" spans="1:94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</row>
    <row r="488" spans="1:94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</row>
    <row r="489" spans="1:94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</row>
    <row r="490" spans="1:94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</row>
    <row r="491" spans="1:94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</row>
    <row r="492" spans="1:94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</row>
    <row r="493" spans="1:94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</row>
    <row r="494" spans="1:94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</row>
    <row r="495" spans="1:94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</row>
    <row r="496" spans="1:94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</row>
    <row r="497" spans="1:94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</row>
    <row r="498" spans="1:94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</row>
    <row r="499" spans="1:94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</row>
    <row r="500" spans="1:94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</row>
    <row r="501" spans="1:94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</row>
    <row r="502" spans="1:94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</row>
    <row r="503" spans="1:94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</row>
    <row r="504" spans="1:94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</row>
    <row r="505" spans="1:94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</row>
    <row r="506" spans="1:94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</row>
    <row r="507" spans="1:94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</row>
    <row r="508" spans="1:94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</row>
    <row r="509" spans="1:94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</row>
    <row r="510" spans="1:94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</row>
    <row r="511" spans="1:94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</row>
    <row r="512" spans="1:94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</row>
    <row r="513" spans="1:94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</row>
    <row r="514" spans="1:94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</row>
    <row r="515" spans="1:94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</row>
    <row r="516" spans="1:94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</row>
    <row r="517" spans="1:94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</row>
    <row r="518" spans="1:94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</row>
    <row r="519" spans="1:94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</row>
    <row r="520" spans="1:94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</row>
    <row r="521" spans="1:94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</row>
    <row r="522" spans="1:94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</row>
    <row r="523" spans="1:94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</row>
    <row r="524" spans="1:94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</row>
    <row r="525" spans="1:94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</row>
    <row r="526" spans="1:94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</row>
    <row r="527" spans="1:94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</row>
    <row r="528" spans="1:94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</row>
    <row r="529" spans="1:94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</row>
    <row r="530" spans="1:94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</row>
    <row r="531" spans="1:94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</row>
    <row r="532" spans="1:94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</row>
    <row r="533" spans="1:94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</row>
    <row r="534" spans="1:94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</row>
    <row r="535" spans="1:94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</row>
    <row r="536" spans="1:94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</row>
    <row r="537" spans="1:94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</row>
    <row r="538" spans="1:94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</row>
    <row r="539" spans="1:94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</row>
    <row r="540" spans="1:94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</row>
    <row r="541" spans="1:94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</row>
    <row r="542" spans="1:94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</row>
    <row r="543" spans="1:94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</row>
    <row r="544" spans="1:94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</row>
    <row r="545" spans="1:94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</row>
    <row r="546" spans="1:94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</row>
    <row r="547" spans="1:94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</row>
    <row r="548" spans="1:94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</row>
    <row r="549" spans="1:94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</row>
    <row r="550" spans="1:94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</row>
    <row r="551" spans="1:94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</row>
    <row r="552" spans="1:94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</row>
    <row r="553" spans="1:94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</row>
    <row r="554" spans="1:94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</row>
    <row r="555" spans="1:94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</row>
    <row r="556" spans="1:94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</row>
    <row r="557" spans="1:94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</row>
    <row r="558" spans="1:94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</row>
    <row r="559" spans="1:94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</row>
    <row r="560" spans="1:94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</row>
    <row r="561" spans="1:94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</row>
    <row r="562" spans="1:94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</row>
    <row r="563" spans="1:94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</row>
    <row r="564" spans="1:94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</row>
    <row r="565" spans="1:94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</row>
    <row r="566" spans="1:94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</row>
    <row r="567" spans="1:94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</row>
    <row r="568" spans="1:94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</row>
    <row r="569" spans="1:94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</row>
    <row r="570" spans="1:94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</row>
    <row r="571" spans="1:94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</row>
    <row r="572" spans="1:94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</row>
    <row r="573" spans="1:94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</row>
    <row r="574" spans="1:94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</row>
    <row r="575" spans="1:94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</row>
    <row r="576" spans="1:94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</row>
    <row r="577" spans="1:94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</row>
    <row r="578" spans="1:94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</row>
    <row r="579" spans="1:94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</row>
    <row r="580" spans="1:94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</row>
    <row r="581" spans="1:94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</row>
    <row r="582" spans="1:94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</row>
    <row r="583" spans="1:94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</row>
    <row r="584" spans="1:94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</row>
    <row r="585" spans="1:94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</row>
    <row r="586" spans="1:94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</row>
    <row r="587" spans="1:94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</row>
    <row r="588" spans="1:94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</row>
    <row r="589" spans="1:94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</row>
    <row r="590" spans="1:94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</row>
    <row r="591" spans="1:94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</row>
    <row r="592" spans="1:94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</row>
    <row r="593" spans="1:94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</row>
    <row r="594" spans="1:94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</row>
    <row r="595" spans="1:94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</row>
    <row r="596" spans="1:94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</row>
    <row r="597" spans="1:94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</row>
    <row r="598" spans="1:94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</row>
    <row r="599" spans="1:94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</row>
    <row r="600" spans="1:94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</row>
    <row r="601" spans="1:94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</row>
    <row r="602" spans="1:94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</row>
    <row r="603" spans="1:94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</row>
    <row r="604" spans="1:94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</row>
    <row r="605" spans="1:94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</row>
    <row r="606" spans="1:94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</row>
    <row r="607" spans="1:94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</row>
    <row r="608" spans="1:94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</row>
    <row r="609" spans="1:94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</row>
    <row r="610" spans="1:94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</row>
    <row r="611" spans="1:94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</row>
    <row r="612" spans="1:94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</row>
    <row r="613" spans="1:94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</row>
    <row r="614" spans="1:94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</row>
    <row r="615" spans="1:94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</row>
    <row r="616" spans="1:94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</row>
    <row r="617" spans="1:94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</row>
    <row r="618" spans="1:94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</row>
    <row r="619" spans="1:94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</row>
    <row r="620" spans="1:94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</row>
    <row r="621" spans="1:94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</row>
    <row r="622" spans="1:94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</row>
    <row r="623" spans="1:94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</row>
    <row r="624" spans="1:94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</row>
    <row r="625" spans="1:94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</row>
    <row r="626" spans="1:94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</row>
    <row r="627" spans="1:94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</row>
    <row r="628" spans="1:94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</row>
    <row r="629" spans="1:94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</row>
    <row r="630" spans="1:94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</row>
    <row r="631" spans="1:94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</row>
    <row r="632" spans="1:94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</row>
    <row r="633" spans="1:94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</row>
    <row r="634" spans="1:94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</row>
    <row r="635" spans="1:94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</row>
    <row r="636" spans="1:94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</row>
    <row r="637" spans="1:94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</row>
    <row r="638" spans="1:94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</row>
    <row r="639" spans="1:94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</row>
    <row r="640" spans="1:94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</row>
    <row r="641" spans="1:94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</row>
    <row r="642" spans="1:94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</row>
    <row r="643" spans="1:94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</row>
    <row r="644" spans="1:94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</row>
    <row r="645" spans="1:94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</row>
    <row r="646" spans="1:94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</row>
    <row r="647" spans="1:94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</row>
    <row r="648" spans="1:94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</row>
    <row r="649" spans="1:94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</row>
    <row r="650" spans="1:94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</row>
    <row r="651" spans="1:94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</row>
    <row r="652" spans="1:94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</row>
    <row r="653" spans="1:94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</row>
    <row r="654" spans="1:94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</row>
    <row r="655" spans="1:94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</row>
    <row r="656" spans="1:94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</row>
    <row r="657" spans="1:94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</row>
    <row r="658" spans="1:94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</row>
    <row r="659" spans="1:94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</row>
    <row r="660" spans="1:94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</row>
    <row r="661" spans="1:94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</row>
    <row r="662" spans="1:94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</row>
    <row r="663" spans="1:94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</row>
    <row r="664" spans="1:94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</row>
    <row r="665" spans="1:94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</row>
    <row r="666" spans="1:94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</row>
    <row r="667" spans="1:94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</row>
    <row r="668" spans="1:94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</row>
    <row r="669" spans="1:94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</row>
    <row r="670" spans="1:94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</row>
    <row r="671" spans="1:94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</row>
    <row r="672" spans="1:94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</row>
    <row r="673" spans="1:94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</row>
    <row r="674" spans="1:94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</row>
    <row r="675" spans="1:94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</row>
    <row r="676" spans="1:94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</row>
    <row r="677" spans="1:94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</row>
    <row r="678" spans="1:94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</row>
    <row r="679" spans="1:94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</row>
    <row r="680" spans="1:94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</row>
    <row r="681" spans="1:94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</row>
    <row r="682" spans="1:94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</row>
    <row r="683" spans="1:94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</row>
    <row r="684" spans="1:94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</row>
    <row r="685" spans="1:94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</row>
    <row r="686" spans="1:94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</row>
    <row r="687" spans="1:94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</row>
    <row r="688" spans="1:94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</row>
    <row r="689" spans="1:94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</row>
    <row r="690" spans="1:94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</row>
    <row r="691" spans="1:94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</row>
    <row r="692" spans="1:94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</row>
    <row r="693" spans="1:94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</row>
    <row r="694" spans="1:94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</row>
    <row r="695" spans="1:94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</row>
    <row r="696" spans="1:94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</row>
    <row r="697" spans="1:94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</row>
    <row r="698" spans="1:94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</row>
    <row r="699" spans="1:94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</row>
    <row r="700" spans="1:94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</row>
    <row r="701" spans="1:94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</row>
    <row r="702" spans="1:94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</row>
    <row r="703" spans="1:94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</row>
    <row r="704" spans="1:94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</row>
    <row r="705" spans="1:94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</row>
    <row r="706" spans="1:94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</row>
    <row r="707" spans="1:94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</row>
    <row r="708" spans="1:94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</row>
    <row r="709" spans="1:94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</row>
    <row r="710" spans="1:94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</row>
    <row r="711" spans="1:94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</row>
    <row r="712" spans="1:94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</row>
    <row r="713" spans="1:94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</row>
    <row r="714" spans="1:94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</row>
    <row r="715" spans="1:94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</row>
    <row r="716" spans="1:94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</row>
    <row r="717" spans="1:94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</row>
    <row r="718" spans="1:94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</row>
    <row r="719" spans="1:94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</row>
    <row r="720" spans="1:94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</row>
    <row r="721" spans="1:94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</row>
    <row r="722" spans="1:94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</row>
    <row r="723" spans="1:94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</row>
    <row r="724" spans="1:94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</row>
    <row r="725" spans="1:94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</row>
    <row r="726" spans="1:94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</row>
    <row r="727" spans="1:94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</row>
    <row r="728" spans="1:94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</row>
    <row r="729" spans="1:94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</row>
    <row r="730" spans="1:94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</row>
    <row r="731" spans="1:94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</row>
    <row r="732" spans="1:94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</row>
    <row r="733" spans="1:94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</row>
    <row r="734" spans="1:94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</row>
    <row r="735" spans="1:94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</row>
    <row r="736" spans="1:94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</row>
    <row r="737" spans="1:94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</row>
    <row r="738" spans="1:94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</row>
    <row r="739" spans="1:94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</row>
    <row r="740" spans="1:94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</row>
    <row r="741" spans="1:94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</row>
    <row r="742" spans="1:94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</row>
    <row r="743" spans="1:94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</row>
    <row r="744" spans="1:94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</row>
    <row r="745" spans="1:94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</row>
    <row r="746" spans="1:94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</row>
    <row r="747" spans="1:94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</row>
    <row r="748" spans="1:94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</row>
    <row r="749" spans="1:94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</row>
    <row r="750" spans="1:94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</row>
    <row r="751" spans="1:94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</row>
    <row r="752" spans="1:94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</row>
    <row r="753" spans="1:94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</row>
    <row r="754" spans="1:94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</row>
    <row r="755" spans="1:94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</row>
    <row r="756" spans="1:94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</row>
    <row r="757" spans="1:94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</row>
    <row r="758" spans="1:94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</row>
    <row r="759" spans="1:94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</row>
    <row r="760" spans="1:94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</row>
    <row r="761" spans="1:94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</row>
    <row r="762" spans="1:94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</row>
    <row r="763" spans="1:94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</row>
    <row r="764" spans="1:94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</row>
    <row r="765" spans="1:94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</row>
    <row r="766" spans="1:94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</row>
    <row r="767" spans="1:94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</row>
    <row r="768" spans="1:94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</row>
    <row r="769" spans="1:94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</row>
    <row r="770" spans="1:94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</row>
    <row r="771" spans="1:94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</row>
    <row r="772" spans="1:94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</row>
    <row r="773" spans="1:94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</row>
    <row r="774" spans="1:94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</row>
    <row r="775" spans="1:94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</row>
    <row r="776" spans="1:94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</row>
    <row r="777" spans="1:94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</row>
    <row r="778" spans="1:94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</row>
    <row r="779" spans="1:94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</row>
    <row r="780" spans="1:94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</row>
    <row r="781" spans="1:94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</row>
    <row r="782" spans="1:94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</row>
    <row r="783" spans="1:94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</row>
    <row r="784" spans="1:94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</row>
    <row r="785" spans="1:94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</row>
    <row r="786" spans="1:94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</row>
    <row r="787" spans="1:94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</row>
    <row r="788" spans="1:94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</row>
    <row r="789" spans="1:94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</row>
    <row r="790" spans="1:94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</row>
    <row r="791" spans="1:94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</row>
    <row r="792" spans="1:94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</row>
    <row r="793" spans="1:94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</row>
    <row r="794" spans="1:94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</row>
    <row r="795" spans="1:94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</row>
    <row r="796" spans="1:94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</row>
    <row r="797" spans="1:94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</row>
    <row r="798" spans="1:94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</row>
    <row r="799" spans="1:94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</row>
    <row r="800" spans="1:94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</row>
    <row r="801" spans="1:94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</row>
    <row r="802" spans="1:94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</row>
    <row r="803" spans="1:94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</row>
    <row r="804" spans="1:94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</row>
    <row r="805" spans="1:94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</row>
    <row r="806" spans="1:94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</row>
    <row r="807" spans="1:94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</row>
    <row r="808" spans="1:94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</row>
    <row r="809" spans="1:94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</row>
    <row r="810" spans="1:94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</row>
    <row r="811" spans="1:94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</row>
    <row r="812" spans="1:94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</row>
    <row r="813" spans="1:94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</row>
    <row r="814" spans="1:94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</row>
    <row r="815" spans="1:94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</row>
    <row r="816" spans="1:94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</row>
    <row r="817" spans="1:94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</row>
    <row r="818" spans="1:94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</row>
    <row r="819" spans="1:94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</row>
    <row r="820" spans="1:94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</row>
    <row r="821" spans="1:94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</row>
    <row r="822" spans="1:94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</row>
    <row r="823" spans="1:94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</row>
    <row r="824" spans="1:94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</row>
    <row r="825" spans="1:94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</row>
    <row r="826" spans="1:94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</row>
    <row r="827" spans="1:94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</row>
    <row r="828" spans="1:94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</row>
    <row r="829" spans="1:94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</row>
    <row r="830" spans="1:94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</row>
    <row r="831" spans="1:94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</row>
    <row r="832" spans="1:94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</row>
    <row r="833" spans="1:94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</row>
    <row r="834" spans="1:94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</row>
    <row r="835" spans="1:94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</row>
    <row r="836" spans="1:94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</row>
    <row r="837" spans="1:94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</row>
    <row r="838" spans="1:94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</row>
    <row r="839" spans="1:94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</row>
    <row r="840" spans="1:94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</row>
    <row r="841" spans="1:94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</row>
    <row r="842" spans="1:94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</row>
    <row r="843" spans="1:94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</row>
    <row r="844" spans="1:94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</row>
    <row r="845" spans="1:94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</row>
    <row r="846" spans="1:94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</row>
    <row r="847" spans="1:94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</row>
    <row r="848" spans="1:94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</row>
    <row r="849" spans="1:94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</row>
    <row r="850" spans="1:94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</row>
    <row r="851" spans="1:94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</row>
    <row r="852" spans="1:94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</row>
    <row r="853" spans="1:94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</row>
    <row r="854" spans="1:94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</row>
    <row r="855" spans="1:94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W777"/>
  <sheetViews>
    <sheetView showGridLines="0" workbookViewId="0">
      <selection activeCell="A2" sqref="A2"/>
    </sheetView>
  </sheetViews>
  <sheetFormatPr defaultRowHeight="15.75" x14ac:dyDescent="0.25"/>
  <cols>
    <col min="1" max="1" width="5.625" customWidth="1"/>
    <col min="2" max="2" width="34.125" customWidth="1"/>
    <col min="3" max="3" width="13.625" customWidth="1"/>
    <col min="4" max="4" width="5.625" customWidth="1"/>
    <col min="5" max="5" width="24.5" bestFit="1" customWidth="1"/>
    <col min="6" max="10" width="13.625" customWidth="1"/>
    <col min="11" max="12" width="9.625" bestFit="1" customWidth="1"/>
    <col min="13" max="13" width="35.625" customWidth="1"/>
    <col min="14" max="14" width="14.625" customWidth="1"/>
    <col min="15" max="15" width="20.625" customWidth="1"/>
    <col min="16" max="21" width="11.625" customWidth="1"/>
  </cols>
  <sheetData>
    <row r="1" spans="1:127" x14ac:dyDescent="0.25">
      <c r="A1" s="13"/>
      <c r="B1" s="85" t="str">
        <f>'For MD&amp;A'!A1</f>
        <v>Cardinal Charter, Inc.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</row>
    <row r="2" spans="1:12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</row>
    <row r="3" spans="1:127" x14ac:dyDescent="0.25">
      <c r="A3" s="13"/>
      <c r="B3" s="14" t="s">
        <v>94</v>
      </c>
      <c r="C3" s="13"/>
      <c r="D3" s="13"/>
      <c r="E3" s="14" t="s">
        <v>87</v>
      </c>
      <c r="F3" s="14"/>
      <c r="G3" s="13"/>
      <c r="H3" s="13"/>
      <c r="I3" s="13"/>
      <c r="J3" s="13"/>
      <c r="K3" s="13"/>
      <c r="L3" s="13"/>
      <c r="M3" s="13"/>
      <c r="N3" s="13"/>
      <c r="O3" s="37"/>
      <c r="P3" s="37"/>
      <c r="Q3" s="37"/>
      <c r="R3" s="37"/>
      <c r="S3" s="37"/>
      <c r="T3" s="37"/>
      <c r="U3" s="37"/>
      <c r="V3" s="37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</row>
    <row r="4" spans="1:127" ht="18" x14ac:dyDescent="0.4">
      <c r="A4" s="13"/>
      <c r="B4" s="37"/>
      <c r="C4" s="37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37"/>
      <c r="P4" s="142"/>
      <c r="Q4" s="142"/>
      <c r="R4" s="142"/>
      <c r="S4" s="142"/>
      <c r="T4" s="142"/>
      <c r="U4" s="142"/>
      <c r="V4" s="3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</row>
    <row r="5" spans="1:127" x14ac:dyDescent="0.25">
      <c r="A5" s="13"/>
      <c r="B5" s="13"/>
      <c r="C5" s="13"/>
      <c r="D5" s="13"/>
      <c r="E5" s="13"/>
      <c r="F5" s="11" t="s">
        <v>26</v>
      </c>
      <c r="G5" s="13"/>
      <c r="H5" s="13"/>
      <c r="I5" s="11" t="s">
        <v>30</v>
      </c>
      <c r="J5" s="11" t="s">
        <v>58</v>
      </c>
      <c r="K5" s="13"/>
      <c r="L5" s="13"/>
      <c r="M5" s="13"/>
      <c r="N5" s="13"/>
      <c r="O5" s="37"/>
      <c r="P5" s="41"/>
      <c r="Q5" s="41"/>
      <c r="R5" s="41"/>
      <c r="S5" s="41"/>
      <c r="T5" s="41"/>
      <c r="U5" s="41"/>
      <c r="V5" s="3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</row>
    <row r="6" spans="1:127" ht="18" x14ac:dyDescent="0.4">
      <c r="A6" s="13"/>
      <c r="B6" s="13"/>
      <c r="C6" s="13"/>
      <c r="D6" s="13"/>
      <c r="E6" s="13"/>
      <c r="F6" s="34" t="s">
        <v>56</v>
      </c>
      <c r="G6" s="34" t="s">
        <v>28</v>
      </c>
      <c r="H6" s="34" t="s">
        <v>29</v>
      </c>
      <c r="I6" s="34" t="s">
        <v>56</v>
      </c>
      <c r="J6" s="34" t="s">
        <v>57</v>
      </c>
      <c r="K6" s="13"/>
      <c r="L6" s="13"/>
      <c r="M6" s="13"/>
      <c r="N6" s="13"/>
      <c r="O6" s="42"/>
      <c r="P6" s="42"/>
      <c r="Q6" s="42"/>
      <c r="R6" s="42"/>
      <c r="S6" s="42"/>
      <c r="T6" s="42"/>
      <c r="U6" s="42"/>
      <c r="V6" s="37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</row>
    <row r="7" spans="1:127" ht="15.75" customHeight="1" x14ac:dyDescent="0.25">
      <c r="A7" s="13"/>
      <c r="B7" s="13"/>
      <c r="C7" s="13"/>
      <c r="D7" s="13"/>
      <c r="E7" s="40" t="s">
        <v>16</v>
      </c>
      <c r="F7" s="13"/>
      <c r="G7" s="13"/>
      <c r="H7" s="13"/>
      <c r="I7" s="13"/>
      <c r="J7" s="13"/>
      <c r="K7" s="13"/>
      <c r="L7" s="13"/>
      <c r="M7" s="13"/>
      <c r="N7" s="13"/>
      <c r="O7" s="37"/>
      <c r="P7" s="43"/>
      <c r="Q7" s="43"/>
      <c r="R7" s="43"/>
      <c r="S7" s="37"/>
      <c r="T7" s="37"/>
      <c r="U7" s="37"/>
      <c r="V7" s="37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</row>
    <row r="8" spans="1:127" x14ac:dyDescent="0.25">
      <c r="A8" s="13"/>
      <c r="B8" s="37"/>
      <c r="C8" s="37"/>
      <c r="D8" s="37"/>
      <c r="E8" s="13" t="s">
        <v>55</v>
      </c>
      <c r="F8" s="8">
        <v>155177</v>
      </c>
      <c r="G8" s="8">
        <v>400000</v>
      </c>
      <c r="H8" s="8">
        <v>6439</v>
      </c>
      <c r="I8" s="21">
        <f>F8+G8-H8</f>
        <v>548738</v>
      </c>
      <c r="J8" s="27">
        <v>27272</v>
      </c>
      <c r="K8" s="13"/>
      <c r="L8" s="13"/>
      <c r="M8" s="13"/>
      <c r="N8" s="13"/>
      <c r="O8" s="37"/>
      <c r="P8" s="43"/>
      <c r="Q8" s="43"/>
      <c r="R8" s="43"/>
      <c r="S8" s="43"/>
      <c r="T8" s="43"/>
      <c r="U8" s="43"/>
      <c r="V8" s="37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</row>
    <row r="9" spans="1:127" x14ac:dyDescent="0.25">
      <c r="A9" s="13"/>
      <c r="B9" s="13"/>
      <c r="C9" s="13"/>
      <c r="D9" s="13"/>
      <c r="E9" s="118" t="s">
        <v>217</v>
      </c>
      <c r="F9" s="9">
        <v>25000</v>
      </c>
      <c r="G9" s="9">
        <v>25000</v>
      </c>
      <c r="H9" s="9">
        <v>25000</v>
      </c>
      <c r="I9" s="28">
        <f>F9+G9-H9</f>
        <v>25000</v>
      </c>
      <c r="J9" s="28">
        <v>25000</v>
      </c>
      <c r="K9" s="13"/>
      <c r="L9" s="13"/>
      <c r="M9" s="13"/>
      <c r="N9" s="13"/>
      <c r="O9" s="37"/>
      <c r="P9" s="44"/>
      <c r="Q9" s="45"/>
      <c r="R9" s="45"/>
      <c r="S9" s="37"/>
      <c r="T9" s="44"/>
      <c r="U9" s="45"/>
      <c r="V9" s="37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</row>
    <row r="10" spans="1:127" ht="18" x14ac:dyDescent="0.4">
      <c r="A10" s="13"/>
      <c r="B10" s="13"/>
      <c r="C10" s="13"/>
      <c r="D10" s="13"/>
      <c r="E10" s="13" t="s">
        <v>6</v>
      </c>
      <c r="F10" s="10">
        <v>0</v>
      </c>
      <c r="G10" s="10">
        <v>10700</v>
      </c>
      <c r="H10" s="10">
        <v>8653</v>
      </c>
      <c r="I10" s="31">
        <f t="shared" ref="I10" si="0">F10+G10-H10</f>
        <v>2047</v>
      </c>
      <c r="J10" s="31">
        <v>200</v>
      </c>
      <c r="K10" s="13"/>
      <c r="L10" s="13"/>
      <c r="M10" s="13"/>
      <c r="N10" s="13"/>
      <c r="O10" s="37"/>
      <c r="P10" s="46"/>
      <c r="Q10" s="46"/>
      <c r="R10" s="46"/>
      <c r="S10" s="46"/>
      <c r="T10" s="46"/>
      <c r="U10" s="46"/>
      <c r="V10" s="37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</row>
    <row r="11" spans="1:127" ht="18" x14ac:dyDescent="0.4">
      <c r="A11" s="13"/>
      <c r="B11" s="13"/>
      <c r="C11" s="13"/>
      <c r="D11" s="13"/>
      <c r="E11" s="38" t="s">
        <v>49</v>
      </c>
      <c r="F11" s="32">
        <f>SUM(F8:F10)</f>
        <v>180177</v>
      </c>
      <c r="G11" s="32">
        <f>SUM(G8:G10)</f>
        <v>435700</v>
      </c>
      <c r="H11" s="32">
        <f>SUM(H8:H10)</f>
        <v>40092</v>
      </c>
      <c r="I11" s="32">
        <f>SUM(I8:I10)</f>
        <v>575785</v>
      </c>
      <c r="J11" s="32">
        <f>SUM(J8:J10)</f>
        <v>52472</v>
      </c>
      <c r="K11" s="13"/>
      <c r="L11" s="13"/>
      <c r="M11" s="13"/>
      <c r="N11" s="13"/>
      <c r="O11" s="47"/>
      <c r="P11" s="48"/>
      <c r="Q11" s="48"/>
      <c r="R11" s="48"/>
      <c r="S11" s="48"/>
      <c r="T11" s="48"/>
      <c r="U11" s="48"/>
      <c r="V11" s="37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</row>
    <row r="12" spans="1:127" ht="9.9499999999999993" customHeight="1" x14ac:dyDescent="0.25">
      <c r="A12" s="13"/>
      <c r="B12" s="13"/>
      <c r="C12" s="13"/>
      <c r="D12" s="13"/>
      <c r="E12" s="13"/>
      <c r="F12" s="28"/>
      <c r="G12" s="28"/>
      <c r="H12" s="28"/>
      <c r="I12" s="28"/>
      <c r="J12" s="28"/>
      <c r="K12" s="13"/>
      <c r="L12" s="13"/>
      <c r="M12" s="13"/>
      <c r="N12" s="13"/>
      <c r="O12" s="37"/>
      <c r="P12" s="37"/>
      <c r="Q12" s="37"/>
      <c r="R12" s="37"/>
      <c r="S12" s="37"/>
      <c r="T12" s="37"/>
      <c r="U12" s="37"/>
      <c r="V12" s="37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</row>
    <row r="13" spans="1:127" ht="15.75" customHeight="1" x14ac:dyDescent="0.25">
      <c r="A13" s="13"/>
      <c r="B13" s="13"/>
      <c r="C13" s="13"/>
      <c r="D13" s="13"/>
      <c r="E13" s="40" t="s">
        <v>32</v>
      </c>
      <c r="F13" s="28"/>
      <c r="G13" s="28"/>
      <c r="H13" s="28"/>
      <c r="I13" s="28"/>
      <c r="J13" s="28"/>
      <c r="K13" s="13"/>
      <c r="L13" s="13"/>
      <c r="M13" s="13"/>
      <c r="N13" s="13"/>
      <c r="O13" s="37"/>
      <c r="P13" s="37"/>
      <c r="Q13" s="37"/>
      <c r="R13" s="37"/>
      <c r="S13" s="37"/>
      <c r="T13" s="37"/>
      <c r="U13" s="37"/>
      <c r="V13" s="37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</row>
    <row r="14" spans="1:127" ht="15.75" customHeight="1" x14ac:dyDescent="0.4">
      <c r="A14" s="13"/>
      <c r="B14" s="13"/>
      <c r="C14" s="13"/>
      <c r="D14" s="13"/>
      <c r="E14" s="13" t="s">
        <v>6</v>
      </c>
      <c r="F14" s="36">
        <v>0</v>
      </c>
      <c r="G14" s="36">
        <v>2257</v>
      </c>
      <c r="H14" s="36">
        <v>614</v>
      </c>
      <c r="I14" s="36">
        <f t="shared" ref="I14" si="1">F14+G14-H14</f>
        <v>1643</v>
      </c>
      <c r="J14" s="36">
        <v>387</v>
      </c>
      <c r="K14" s="13"/>
      <c r="L14" s="13"/>
      <c r="M14" s="13"/>
      <c r="N14" s="13"/>
      <c r="O14" s="37"/>
      <c r="P14" s="49"/>
      <c r="Q14" s="46"/>
      <c r="R14" s="46"/>
      <c r="S14" s="46"/>
      <c r="T14" s="46"/>
      <c r="U14" s="46"/>
      <c r="V14" s="37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</row>
    <row r="15" spans="1:127" ht="18" x14ac:dyDescent="0.4">
      <c r="A15" s="13"/>
      <c r="B15" s="13"/>
      <c r="C15" s="13"/>
      <c r="D15" s="13"/>
      <c r="E15" s="38" t="s">
        <v>49</v>
      </c>
      <c r="F15" s="32">
        <f>F14</f>
        <v>0</v>
      </c>
      <c r="G15" s="32">
        <f t="shared" ref="G15:J15" si="2">G14</f>
        <v>2257</v>
      </c>
      <c r="H15" s="32">
        <f t="shared" si="2"/>
        <v>614</v>
      </c>
      <c r="I15" s="32">
        <f t="shared" si="2"/>
        <v>1643</v>
      </c>
      <c r="J15" s="32">
        <f t="shared" si="2"/>
        <v>387</v>
      </c>
      <c r="K15" s="13"/>
      <c r="L15" s="13"/>
      <c r="M15" s="13"/>
      <c r="N15" s="13"/>
      <c r="O15" s="47"/>
      <c r="P15" s="48"/>
      <c r="Q15" s="48"/>
      <c r="R15" s="48"/>
      <c r="S15" s="48"/>
      <c r="T15" s="48"/>
      <c r="U15" s="48"/>
      <c r="V15" s="37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</row>
    <row r="16" spans="1:127" ht="18" x14ac:dyDescent="0.4">
      <c r="A16" s="13"/>
      <c r="B16" s="13"/>
      <c r="C16" s="13"/>
      <c r="D16" s="13"/>
      <c r="E16" s="13"/>
      <c r="F16" s="50"/>
      <c r="G16" s="50"/>
      <c r="H16" s="50"/>
      <c r="I16" s="50"/>
      <c r="J16" s="50"/>
      <c r="K16" s="13"/>
      <c r="L16" s="13"/>
      <c r="M16" s="13"/>
      <c r="N16" s="13"/>
      <c r="O16" s="37"/>
      <c r="P16" s="37"/>
      <c r="Q16" s="37"/>
      <c r="R16" s="37"/>
      <c r="S16" s="37"/>
      <c r="T16" s="37"/>
      <c r="U16" s="37"/>
      <c r="V16" s="37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</row>
    <row r="17" spans="1:127" ht="18" x14ac:dyDescent="0.4">
      <c r="A17" s="13"/>
      <c r="B17" s="13"/>
      <c r="C17" s="13"/>
      <c r="D17" s="13"/>
      <c r="E17" s="13"/>
      <c r="F17" s="50"/>
      <c r="G17" s="50"/>
      <c r="H17" s="50"/>
      <c r="I17" s="50"/>
      <c r="J17" s="50"/>
      <c r="K17" s="13"/>
      <c r="L17" s="13"/>
      <c r="M17" s="13"/>
      <c r="N17" s="13"/>
      <c r="O17" s="37"/>
      <c r="P17" s="37"/>
      <c r="Q17" s="37"/>
      <c r="R17" s="37"/>
      <c r="S17" s="37"/>
      <c r="T17" s="37"/>
      <c r="U17" s="37"/>
      <c r="V17" s="37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</row>
    <row r="18" spans="1:127" ht="18" x14ac:dyDescent="0.4">
      <c r="A18" s="13"/>
      <c r="B18" s="13"/>
      <c r="C18" s="13"/>
      <c r="D18" s="13"/>
      <c r="E18" s="117" t="s">
        <v>16</v>
      </c>
      <c r="F18" s="50"/>
      <c r="G18" s="50"/>
      <c r="H18" s="51" t="s">
        <v>74</v>
      </c>
      <c r="I18" s="28">
        <f>SUM(I8:I9)</f>
        <v>573738</v>
      </c>
      <c r="J18" s="50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</row>
    <row r="19" spans="1:127" ht="18" x14ac:dyDescent="0.4">
      <c r="A19" s="13"/>
      <c r="B19" s="13"/>
      <c r="C19" s="13"/>
      <c r="D19" s="13"/>
      <c r="E19" s="13"/>
      <c r="F19" s="13"/>
      <c r="G19" s="13"/>
      <c r="H19" s="51" t="s">
        <v>73</v>
      </c>
      <c r="I19" s="31">
        <f>+I10</f>
        <v>2047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</row>
    <row r="20" spans="1:127" ht="18" x14ac:dyDescent="0.4">
      <c r="A20" s="13"/>
      <c r="B20" s="13"/>
      <c r="C20" s="13"/>
      <c r="D20" s="13"/>
      <c r="E20" s="13"/>
      <c r="F20" s="13"/>
      <c r="G20" s="13"/>
      <c r="H20" s="13" t="s">
        <v>49</v>
      </c>
      <c r="I20" s="52">
        <f>SUM(I18:I19)</f>
        <v>575785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</row>
    <row r="21" spans="1:12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</row>
    <row r="22" spans="1:127" ht="18" x14ac:dyDescent="0.4">
      <c r="A22" s="13"/>
      <c r="B22" s="13"/>
      <c r="C22" s="13"/>
      <c r="D22" s="13"/>
      <c r="E22" s="13"/>
      <c r="F22" s="13"/>
      <c r="G22" s="13"/>
      <c r="H22" s="51" t="s">
        <v>79</v>
      </c>
      <c r="I22" s="32">
        <f>+SUM(G8:G9)-SUM(H8:H9)</f>
        <v>393561</v>
      </c>
      <c r="J22" s="13"/>
      <c r="K22" s="2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</row>
    <row r="23" spans="1:127" ht="18" x14ac:dyDescent="0.4">
      <c r="A23" s="13"/>
      <c r="B23" s="13"/>
      <c r="C23" s="13"/>
      <c r="D23" s="13"/>
      <c r="E23" s="13"/>
      <c r="F23" s="13"/>
      <c r="G23" s="13"/>
      <c r="H23" s="51" t="s">
        <v>124</v>
      </c>
      <c r="I23" s="32">
        <f>+G14-H14</f>
        <v>1643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</row>
    <row r="24" spans="1:127" x14ac:dyDescent="0.25">
      <c r="A24" s="13"/>
      <c r="B24" s="14" t="s">
        <v>93</v>
      </c>
      <c r="E24" s="14" t="s">
        <v>85</v>
      </c>
      <c r="F24" s="37"/>
      <c r="G24" s="13"/>
      <c r="H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</row>
    <row r="25" spans="1:127" x14ac:dyDescent="0.25">
      <c r="A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</row>
    <row r="26" spans="1:127" x14ac:dyDescent="0.25">
      <c r="A26" s="13"/>
      <c r="E26" s="13"/>
      <c r="F26" s="13"/>
      <c r="G26" s="11" t="s">
        <v>45</v>
      </c>
      <c r="H26" s="11" t="s">
        <v>47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</row>
    <row r="27" spans="1:127" ht="18" x14ac:dyDescent="0.4">
      <c r="A27" s="13"/>
      <c r="E27" s="34" t="s">
        <v>43</v>
      </c>
      <c r="F27" s="34" t="s">
        <v>44</v>
      </c>
      <c r="G27" s="34" t="s">
        <v>46</v>
      </c>
      <c r="H27" s="34" t="s">
        <v>48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</row>
    <row r="28" spans="1:127" ht="15.75" customHeight="1" x14ac:dyDescent="0.25">
      <c r="A28" s="13"/>
      <c r="E28" s="13" t="s">
        <v>18</v>
      </c>
      <c r="F28" s="27">
        <v>400000</v>
      </c>
      <c r="G28" s="27">
        <v>3333</v>
      </c>
      <c r="H28" s="27">
        <f>+F28-G28</f>
        <v>396667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</row>
    <row r="29" spans="1:127" ht="15.75" customHeight="1" x14ac:dyDescent="0.25">
      <c r="A29" s="13"/>
      <c r="E29" s="3" t="s">
        <v>19</v>
      </c>
      <c r="F29" s="28">
        <v>200000</v>
      </c>
      <c r="G29" s="28">
        <v>38142</v>
      </c>
      <c r="H29" s="28">
        <f>+F29-G29</f>
        <v>161858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</row>
    <row r="30" spans="1:127" ht="15.75" customHeight="1" x14ac:dyDescent="0.4">
      <c r="A30" s="13"/>
      <c r="E30" s="3" t="s">
        <v>20</v>
      </c>
      <c r="F30" s="31">
        <v>18768</v>
      </c>
      <c r="G30" s="31">
        <v>11991</v>
      </c>
      <c r="H30" s="31">
        <f>+F30-G30</f>
        <v>6777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</row>
    <row r="31" spans="1:127" ht="15.75" customHeight="1" x14ac:dyDescent="0.4">
      <c r="A31" s="13"/>
      <c r="E31" s="38" t="s">
        <v>49</v>
      </c>
      <c r="F31" s="32">
        <f>SUM(F28:F30)</f>
        <v>618768</v>
      </c>
      <c r="G31" s="32">
        <f>SUM(G28:G30)</f>
        <v>53466</v>
      </c>
      <c r="H31" s="32">
        <f>SUM(H28:H30)</f>
        <v>565302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</row>
    <row r="32" spans="1:127" x14ac:dyDescent="0.25">
      <c r="A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</row>
    <row r="33" spans="1:12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</row>
    <row r="34" spans="1:127" x14ac:dyDescent="0.25">
      <c r="A34" s="13"/>
      <c r="B34" s="14" t="s">
        <v>86</v>
      </c>
      <c r="C34" s="1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</row>
    <row r="35" spans="1:12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</row>
    <row r="36" spans="1:127" ht="18" x14ac:dyDescent="0.4">
      <c r="A36" s="13"/>
      <c r="B36" s="13"/>
      <c r="C36" s="34"/>
      <c r="D36" s="3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</row>
    <row r="37" spans="1:127" ht="18" x14ac:dyDescent="0.4">
      <c r="A37" s="13"/>
      <c r="B37" s="34" t="s">
        <v>50</v>
      </c>
      <c r="C37" s="34" t="s">
        <v>54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</row>
    <row r="38" spans="1:127" x14ac:dyDescent="0.25">
      <c r="A38" s="13"/>
      <c r="B38" s="11">
        <v>2020</v>
      </c>
      <c r="C38" s="27">
        <v>44520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</row>
    <row r="39" spans="1:127" x14ac:dyDescent="0.25">
      <c r="A39" s="13"/>
      <c r="B39" s="11">
        <f>B38+1</f>
        <v>2021</v>
      </c>
      <c r="C39" s="28">
        <v>45419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</row>
    <row r="40" spans="1:127" x14ac:dyDescent="0.25">
      <c r="A40" s="13"/>
      <c r="B40" s="100">
        <f t="shared" ref="B40:B42" si="3">B39+1</f>
        <v>2022</v>
      </c>
      <c r="C40" s="28">
        <v>46328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</row>
    <row r="41" spans="1:127" x14ac:dyDescent="0.25">
      <c r="A41" s="13"/>
      <c r="B41" s="100">
        <f t="shared" si="3"/>
        <v>2023</v>
      </c>
      <c r="C41" s="28">
        <v>48198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</row>
    <row r="42" spans="1:127" x14ac:dyDescent="0.25">
      <c r="A42" s="13"/>
      <c r="B42" s="100">
        <f t="shared" si="3"/>
        <v>2024</v>
      </c>
      <c r="C42" s="28">
        <v>50126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</row>
    <row r="43" spans="1:127" x14ac:dyDescent="0.25">
      <c r="A43" s="13"/>
      <c r="B43" s="11" t="str">
        <f>CONCATENATE($B$42+1," - ",$B$42+5)</f>
        <v>2025 - 2029</v>
      </c>
      <c r="C43" s="28">
        <v>125633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</row>
    <row r="44" spans="1:127" x14ac:dyDescent="0.25">
      <c r="A44" s="13"/>
      <c r="B44" s="100" t="str">
        <f>CONCATENATE($B$42+6," - ",$B$42+10)</f>
        <v>2030 - 2034</v>
      </c>
      <c r="C44" s="28">
        <v>127500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</row>
    <row r="45" spans="1:127" ht="18" x14ac:dyDescent="0.4">
      <c r="A45" s="13"/>
      <c r="B45" s="100" t="str">
        <f>CONCATENATE($B$42+11," - ",$B$42+15)</f>
        <v>2035 - 2039</v>
      </c>
      <c r="C45" s="31">
        <v>250250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</row>
    <row r="46" spans="1:127" x14ac:dyDescent="0.25">
      <c r="A46" s="13"/>
      <c r="B46" s="29" t="s">
        <v>51</v>
      </c>
      <c r="C46" s="28">
        <f>SUM(C38:C45)</f>
        <v>737974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</row>
    <row r="47" spans="1:127" ht="18" x14ac:dyDescent="0.4">
      <c r="A47" s="13"/>
      <c r="B47" s="29" t="s">
        <v>52</v>
      </c>
      <c r="C47" s="31">
        <v>189236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</row>
    <row r="48" spans="1:127" ht="18" x14ac:dyDescent="0.4">
      <c r="A48" s="13"/>
      <c r="B48" s="56" t="s">
        <v>53</v>
      </c>
      <c r="C48" s="32">
        <f>+C46-C47</f>
        <v>548738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</row>
    <row r="49" spans="1:127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</row>
    <row r="50" spans="1:127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</row>
    <row r="51" spans="1:127" ht="18" x14ac:dyDescent="0.4">
      <c r="A51" s="13"/>
      <c r="B51" s="51" t="s">
        <v>80</v>
      </c>
      <c r="C51" s="53" t="str">
        <f>IF(C48-I8=0,"OK",C48-I8)</f>
        <v>OK</v>
      </c>
      <c r="D51" s="54" t="str">
        <f>IF(C48-I8=0," ","Check this!")</f>
        <v xml:space="preserve"> 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</row>
    <row r="52" spans="1:127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</row>
    <row r="53" spans="1:127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</row>
    <row r="54" spans="1:127" x14ac:dyDescent="0.25">
      <c r="A54" s="37"/>
      <c r="B54" s="37"/>
      <c r="C54" s="37"/>
      <c r="D54" s="37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</row>
    <row r="55" spans="1:127" x14ac:dyDescent="0.25">
      <c r="A55" s="37"/>
      <c r="B55" s="37"/>
      <c r="C55" s="37"/>
      <c r="D55" s="3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</row>
    <row r="56" spans="1:127" ht="18" x14ac:dyDescent="0.4">
      <c r="A56" s="37"/>
      <c r="B56" s="42"/>
      <c r="C56" s="42"/>
      <c r="D56" s="42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</row>
    <row r="57" spans="1:127" x14ac:dyDescent="0.25">
      <c r="A57" s="37"/>
      <c r="B57" s="41"/>
      <c r="C57" s="61"/>
      <c r="D57" s="6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</row>
    <row r="58" spans="1:127" x14ac:dyDescent="0.25">
      <c r="A58" s="37"/>
      <c r="B58" s="41"/>
      <c r="C58" s="44"/>
      <c r="D58" s="4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</row>
    <row r="59" spans="1:127" x14ac:dyDescent="0.25">
      <c r="A59" s="37"/>
      <c r="B59" s="41"/>
      <c r="C59" s="44"/>
      <c r="D59" s="4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</row>
    <row r="60" spans="1:127" x14ac:dyDescent="0.25">
      <c r="A60" s="37"/>
      <c r="B60" s="41"/>
      <c r="C60" s="44"/>
      <c r="D60" s="4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</row>
    <row r="61" spans="1:127" x14ac:dyDescent="0.25">
      <c r="A61" s="37"/>
      <c r="B61" s="41"/>
      <c r="C61" s="44"/>
      <c r="D61" s="4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</row>
    <row r="62" spans="1:127" x14ac:dyDescent="0.25">
      <c r="A62" s="37"/>
      <c r="B62" s="41"/>
      <c r="C62" s="44"/>
      <c r="D62" s="4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</row>
    <row r="63" spans="1:127" x14ac:dyDescent="0.25">
      <c r="A63" s="37"/>
      <c r="B63" s="41"/>
      <c r="C63" s="44"/>
      <c r="D63" s="4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</row>
    <row r="64" spans="1:127" x14ac:dyDescent="0.25">
      <c r="A64" s="37"/>
      <c r="B64" s="41"/>
      <c r="C64" s="44"/>
      <c r="D64" s="44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</row>
    <row r="65" spans="1:127" ht="18" x14ac:dyDescent="0.4">
      <c r="A65" s="37"/>
      <c r="B65" s="41"/>
      <c r="C65" s="62"/>
      <c r="D65" s="6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</row>
    <row r="66" spans="1:127" ht="18" x14ac:dyDescent="0.4">
      <c r="A66" s="37"/>
      <c r="B66" s="47"/>
      <c r="C66" s="48"/>
      <c r="D66" s="48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</row>
    <row r="67" spans="1:127" ht="18" x14ac:dyDescent="0.4">
      <c r="A67" s="37"/>
      <c r="B67" s="47"/>
      <c r="C67" s="48"/>
      <c r="D67" s="48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</row>
    <row r="68" spans="1:127" ht="18" x14ac:dyDescent="0.4">
      <c r="A68" s="37"/>
      <c r="B68" s="42"/>
      <c r="C68" s="42"/>
      <c r="D68" s="4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</row>
    <row r="69" spans="1:127" x14ac:dyDescent="0.25">
      <c r="A69" s="37"/>
      <c r="B69" s="41"/>
      <c r="C69" s="43"/>
      <c r="D69" s="4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</row>
    <row r="70" spans="1:127" x14ac:dyDescent="0.25">
      <c r="A70" s="37"/>
      <c r="B70" s="41"/>
      <c r="C70" s="45"/>
      <c r="D70" s="45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</row>
    <row r="71" spans="1:127" x14ac:dyDescent="0.25">
      <c r="A71" s="37"/>
      <c r="B71" s="41"/>
      <c r="C71" s="44"/>
      <c r="D71" s="45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</row>
    <row r="72" spans="1:127" x14ac:dyDescent="0.25">
      <c r="A72" s="37"/>
      <c r="B72" s="41"/>
      <c r="C72" s="44"/>
      <c r="D72" s="45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</row>
    <row r="73" spans="1:127" x14ac:dyDescent="0.25">
      <c r="A73" s="37"/>
      <c r="B73" s="41"/>
      <c r="C73" s="44"/>
      <c r="D73" s="45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</row>
    <row r="74" spans="1:127" x14ac:dyDescent="0.25">
      <c r="A74" s="37"/>
      <c r="B74" s="41"/>
      <c r="C74" s="44"/>
      <c r="D74" s="45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</row>
    <row r="75" spans="1:127" x14ac:dyDescent="0.25">
      <c r="A75" s="37"/>
      <c r="B75" s="41"/>
      <c r="C75" s="44"/>
      <c r="D75" s="45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</row>
    <row r="76" spans="1:127" x14ac:dyDescent="0.25">
      <c r="A76" s="37"/>
      <c r="B76" s="41"/>
      <c r="C76" s="44"/>
      <c r="D76" s="45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</row>
    <row r="77" spans="1:127" ht="18" x14ac:dyDescent="0.4">
      <c r="A77" s="37"/>
      <c r="B77" s="41"/>
      <c r="C77" s="62"/>
      <c r="D77" s="46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</row>
    <row r="78" spans="1:127" ht="18" x14ac:dyDescent="0.4">
      <c r="A78" s="37"/>
      <c r="B78" s="47"/>
      <c r="C78" s="48"/>
      <c r="D78" s="48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</row>
    <row r="79" spans="1:127" ht="18" x14ac:dyDescent="0.4">
      <c r="A79" s="37"/>
      <c r="B79" s="47"/>
      <c r="C79" s="48"/>
      <c r="D79" s="48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</row>
    <row r="80" spans="1:127" x14ac:dyDescent="0.25">
      <c r="A80" s="37"/>
      <c r="B80" s="37"/>
      <c r="C80" s="37"/>
      <c r="D80" s="37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</row>
    <row r="81" spans="1:127" x14ac:dyDescent="0.25">
      <c r="A81" s="37"/>
      <c r="B81" s="37"/>
      <c r="C81" s="37"/>
      <c r="D81" s="37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</row>
    <row r="82" spans="1:127" ht="18" x14ac:dyDescent="0.4">
      <c r="A82" s="37"/>
      <c r="B82" s="63"/>
      <c r="C82" s="64"/>
      <c r="D82" s="65"/>
      <c r="E82" s="13"/>
      <c r="F82" s="13"/>
      <c r="G82" s="13"/>
      <c r="H82" s="13"/>
      <c r="I82" s="13"/>
      <c r="J82" s="13"/>
      <c r="K82" s="13"/>
      <c r="L82" s="13"/>
      <c r="M82" s="37"/>
      <c r="N82" s="37"/>
      <c r="O82" s="37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</row>
    <row r="83" spans="1:127" ht="18" x14ac:dyDescent="0.4">
      <c r="A83" s="37"/>
      <c r="B83" s="37"/>
      <c r="C83" s="48"/>
      <c r="D83" s="37"/>
      <c r="E83" s="13"/>
      <c r="F83" s="13"/>
      <c r="G83" s="13"/>
      <c r="H83" s="13"/>
      <c r="I83" s="13"/>
      <c r="J83" s="13"/>
      <c r="K83" s="13"/>
      <c r="L83" s="13"/>
      <c r="M83" s="37"/>
      <c r="N83" s="37"/>
      <c r="O83" s="37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</row>
    <row r="84" spans="1:127" x14ac:dyDescent="0.25">
      <c r="A84" s="37"/>
      <c r="B84" s="37"/>
      <c r="C84" s="37"/>
      <c r="D84" s="37"/>
      <c r="E84" s="13"/>
      <c r="F84" s="13"/>
      <c r="G84" s="13"/>
      <c r="H84" s="13"/>
      <c r="I84" s="13"/>
      <c r="J84" s="13"/>
      <c r="K84" s="13"/>
      <c r="L84" s="13"/>
      <c r="M84" s="66"/>
      <c r="N84" s="61"/>
      <c r="O84" s="37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</row>
    <row r="85" spans="1:127" ht="18" x14ac:dyDescent="0.4">
      <c r="A85" s="37"/>
      <c r="B85" s="37"/>
      <c r="C85" s="37"/>
      <c r="D85" s="37"/>
      <c r="E85" s="13"/>
      <c r="F85" s="13"/>
      <c r="G85" s="13"/>
      <c r="H85" s="13"/>
      <c r="I85" s="13"/>
      <c r="J85" s="13"/>
      <c r="K85" s="13"/>
      <c r="L85" s="13"/>
      <c r="M85" s="66"/>
      <c r="N85" s="62"/>
      <c r="O85" s="37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</row>
    <row r="86" spans="1:127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66"/>
      <c r="N86" s="44"/>
      <c r="O86" s="37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</row>
    <row r="87" spans="1:127" ht="18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66"/>
      <c r="N87" s="62"/>
      <c r="O87" s="37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</row>
    <row r="88" spans="1:127" ht="18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66"/>
      <c r="N88" s="48"/>
      <c r="O88" s="37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</row>
    <row r="89" spans="1:127" ht="18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67"/>
      <c r="N89" s="48"/>
      <c r="O89" s="61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</row>
    <row r="90" spans="1:127" ht="18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68"/>
      <c r="N90" s="69"/>
      <c r="O90" s="37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</row>
    <row r="91" spans="1:127" ht="18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43"/>
      <c r="N91" s="143"/>
      <c r="O91" s="37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</row>
    <row r="92" spans="1:127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44"/>
      <c r="N92" s="144"/>
      <c r="O92" s="37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</row>
    <row r="93" spans="1:127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37"/>
      <c r="N93" s="37"/>
      <c r="O93" s="37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</row>
    <row r="94" spans="1:127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37"/>
      <c r="N94" s="37"/>
      <c r="O94" s="37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</row>
    <row r="95" spans="1:127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</row>
    <row r="96" spans="1:127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</row>
    <row r="97" spans="1:127" x14ac:dyDescent="0.25">
      <c r="A97" s="13"/>
      <c r="B97" s="13"/>
      <c r="C97" s="58"/>
      <c r="D97" s="58"/>
      <c r="E97" s="58"/>
      <c r="F97" s="58"/>
      <c r="G97" s="58"/>
      <c r="H97" s="58"/>
      <c r="I97" s="58"/>
      <c r="J97" s="58"/>
      <c r="K97" s="58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</row>
    <row r="98" spans="1:127" x14ac:dyDescent="0.25">
      <c r="A98" s="13"/>
      <c r="B98" s="13"/>
      <c r="C98" s="58"/>
      <c r="D98" s="58"/>
      <c r="E98" s="58"/>
      <c r="F98" s="58"/>
      <c r="G98" s="58"/>
      <c r="H98" s="58"/>
      <c r="I98" s="58"/>
      <c r="J98" s="58"/>
      <c r="K98" s="58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</row>
    <row r="99" spans="1:127" x14ac:dyDescent="0.25">
      <c r="A99" s="13"/>
      <c r="B99" s="13"/>
      <c r="C99" s="71"/>
      <c r="D99" s="58"/>
      <c r="E99" s="71"/>
      <c r="F99" s="58"/>
      <c r="G99" s="58"/>
      <c r="H99" s="58"/>
      <c r="I99" s="58"/>
      <c r="J99" s="58"/>
      <c r="K99" s="58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</row>
    <row r="100" spans="1:127" x14ac:dyDescent="0.25">
      <c r="A100" s="13"/>
      <c r="B100" s="13"/>
      <c r="C100" s="71"/>
      <c r="D100" s="58"/>
      <c r="E100" s="73"/>
      <c r="F100" s="58"/>
      <c r="G100" s="58"/>
      <c r="H100" s="58"/>
      <c r="I100" s="58"/>
      <c r="J100" s="58"/>
      <c r="K100" s="58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</row>
    <row r="101" spans="1:127" x14ac:dyDescent="0.25">
      <c r="A101" s="13"/>
      <c r="B101" s="13"/>
      <c r="C101" s="58"/>
      <c r="D101" s="58"/>
      <c r="E101" s="70"/>
      <c r="F101" s="70"/>
      <c r="G101" s="70"/>
      <c r="H101" s="58"/>
      <c r="I101" s="72"/>
      <c r="J101" s="72"/>
      <c r="K101" s="58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</row>
    <row r="102" spans="1:127" x14ac:dyDescent="0.25">
      <c r="A102" s="13"/>
      <c r="B102" s="13"/>
      <c r="C102" s="58"/>
      <c r="D102" s="58"/>
      <c r="E102" s="70"/>
      <c r="F102" s="70"/>
      <c r="G102" s="70"/>
      <c r="H102" s="58"/>
      <c r="I102" s="72"/>
      <c r="J102" s="72"/>
      <c r="K102" s="58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</row>
    <row r="103" spans="1:127" x14ac:dyDescent="0.25">
      <c r="A103" s="13"/>
      <c r="B103" s="13"/>
      <c r="C103" s="58"/>
      <c r="D103" s="58"/>
      <c r="E103" s="70"/>
      <c r="F103" s="70"/>
      <c r="G103" s="70"/>
      <c r="H103" s="58"/>
      <c r="I103" s="74"/>
      <c r="J103" s="72"/>
      <c r="K103" s="58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</row>
    <row r="104" spans="1:127" x14ac:dyDescent="0.25">
      <c r="A104" s="13"/>
      <c r="B104" s="13"/>
      <c r="C104" s="58"/>
      <c r="D104" s="58"/>
      <c r="E104" s="70"/>
      <c r="F104" s="70"/>
      <c r="G104" s="70"/>
      <c r="H104" s="58"/>
      <c r="I104" s="70"/>
      <c r="J104" s="70"/>
      <c r="K104" s="58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</row>
    <row r="105" spans="1:127" x14ac:dyDescent="0.25">
      <c r="A105" s="13"/>
      <c r="B105" s="13"/>
      <c r="C105" s="58"/>
      <c r="D105" s="58"/>
      <c r="E105" s="70"/>
      <c r="F105" s="70"/>
      <c r="G105" s="70"/>
      <c r="H105" s="58"/>
      <c r="I105" s="70"/>
      <c r="J105" s="70"/>
      <c r="K105" s="58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</row>
    <row r="106" spans="1:127" x14ac:dyDescent="0.25">
      <c r="A106" s="13"/>
      <c r="B106" s="13"/>
      <c r="C106" s="58"/>
      <c r="D106" s="58"/>
      <c r="E106" s="70"/>
      <c r="F106" s="70"/>
      <c r="G106" s="70"/>
      <c r="H106" s="58"/>
      <c r="I106" s="70"/>
      <c r="J106" s="70"/>
      <c r="K106" s="58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</row>
    <row r="107" spans="1:127" x14ac:dyDescent="0.25">
      <c r="A107" s="13"/>
      <c r="B107" s="13"/>
      <c r="C107" s="58"/>
      <c r="D107" s="58"/>
      <c r="E107" s="70"/>
      <c r="F107" s="70"/>
      <c r="G107" s="70"/>
      <c r="H107" s="58"/>
      <c r="I107" s="70"/>
      <c r="J107" s="70"/>
      <c r="K107" s="58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</row>
    <row r="108" spans="1:127" x14ac:dyDescent="0.25">
      <c r="A108" s="13"/>
      <c r="B108" s="13"/>
      <c r="C108" s="58"/>
      <c r="D108" s="58"/>
      <c r="E108" s="70"/>
      <c r="F108" s="70"/>
      <c r="G108" s="70"/>
      <c r="H108" s="58"/>
      <c r="I108" s="70"/>
      <c r="J108" s="70"/>
      <c r="K108" s="58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</row>
    <row r="109" spans="1:127" x14ac:dyDescent="0.25">
      <c r="A109" s="13"/>
      <c r="B109" s="13"/>
      <c r="C109" s="58"/>
      <c r="D109" s="58"/>
      <c r="E109" s="70"/>
      <c r="F109" s="70"/>
      <c r="G109" s="70"/>
      <c r="H109" s="58"/>
      <c r="I109" s="70"/>
      <c r="J109" s="70"/>
      <c r="K109" s="58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</row>
    <row r="110" spans="1:127" x14ac:dyDescent="0.25">
      <c r="A110" s="13"/>
      <c r="B110" s="13"/>
      <c r="C110" s="58"/>
      <c r="D110" s="58"/>
      <c r="E110" s="70"/>
      <c r="F110" s="70"/>
      <c r="G110" s="70"/>
      <c r="H110" s="58"/>
      <c r="I110" s="70"/>
      <c r="J110" s="70"/>
      <c r="K110" s="58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</row>
    <row r="111" spans="1:127" x14ac:dyDescent="0.25">
      <c r="A111" s="13"/>
      <c r="B111" s="13"/>
      <c r="C111" s="58"/>
      <c r="D111" s="58"/>
      <c r="E111" s="70"/>
      <c r="F111" s="70"/>
      <c r="G111" s="70"/>
      <c r="H111" s="58"/>
      <c r="I111" s="70"/>
      <c r="J111" s="70"/>
      <c r="K111" s="58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</row>
    <row r="112" spans="1:127" x14ac:dyDescent="0.25">
      <c r="A112" s="13"/>
      <c r="B112" s="13"/>
      <c r="C112" s="58"/>
      <c r="D112" s="58"/>
      <c r="E112" s="70"/>
      <c r="F112" s="70"/>
      <c r="G112" s="70"/>
      <c r="H112" s="58"/>
      <c r="I112" s="70"/>
      <c r="J112" s="70"/>
      <c r="K112" s="58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</row>
    <row r="113" spans="1:127" x14ac:dyDescent="0.25">
      <c r="A113" s="13"/>
      <c r="B113" s="13"/>
      <c r="C113" s="58"/>
      <c r="D113" s="58"/>
      <c r="E113" s="70"/>
      <c r="F113" s="70"/>
      <c r="G113" s="70"/>
      <c r="H113" s="58"/>
      <c r="I113" s="70"/>
      <c r="J113" s="70"/>
      <c r="K113" s="58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</row>
    <row r="114" spans="1:127" x14ac:dyDescent="0.25">
      <c r="A114" s="13"/>
      <c r="B114" s="13"/>
      <c r="C114" s="58"/>
      <c r="D114" s="58"/>
      <c r="E114" s="70"/>
      <c r="F114" s="70"/>
      <c r="G114" s="70"/>
      <c r="H114" s="58"/>
      <c r="I114" s="70"/>
      <c r="J114" s="70"/>
      <c r="K114" s="58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</row>
    <row r="115" spans="1:127" x14ac:dyDescent="0.25">
      <c r="A115" s="13"/>
      <c r="B115" s="13"/>
      <c r="C115" s="58"/>
      <c r="D115" s="58"/>
      <c r="E115" s="70"/>
      <c r="F115" s="70"/>
      <c r="G115" s="70"/>
      <c r="H115" s="58"/>
      <c r="I115" s="70"/>
      <c r="J115" s="70"/>
      <c r="K115" s="58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</row>
    <row r="116" spans="1:127" x14ac:dyDescent="0.25">
      <c r="A116" s="13"/>
      <c r="B116" s="13"/>
      <c r="C116" s="58"/>
      <c r="D116" s="58"/>
      <c r="E116" s="70"/>
      <c r="F116" s="70"/>
      <c r="G116" s="70"/>
      <c r="H116" s="58"/>
      <c r="I116" s="70"/>
      <c r="J116" s="70"/>
      <c r="K116" s="58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</row>
    <row r="117" spans="1:127" x14ac:dyDescent="0.25">
      <c r="A117" s="13"/>
      <c r="B117" s="13"/>
      <c r="C117" s="58"/>
      <c r="D117" s="58"/>
      <c r="E117" s="70"/>
      <c r="F117" s="70"/>
      <c r="G117" s="70"/>
      <c r="H117" s="58"/>
      <c r="I117" s="70"/>
      <c r="J117" s="70"/>
      <c r="K117" s="58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</row>
    <row r="118" spans="1:127" x14ac:dyDescent="0.25">
      <c r="A118" s="13"/>
      <c r="B118" s="13"/>
      <c r="C118" s="58"/>
      <c r="D118" s="58"/>
      <c r="E118" s="70"/>
      <c r="F118" s="70"/>
      <c r="G118" s="70"/>
      <c r="H118" s="58"/>
      <c r="I118" s="70"/>
      <c r="J118" s="70"/>
      <c r="K118" s="58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</row>
    <row r="119" spans="1:127" x14ac:dyDescent="0.25">
      <c r="A119" s="13"/>
      <c r="B119" s="13"/>
      <c r="C119" s="58"/>
      <c r="D119" s="58"/>
      <c r="E119" s="70"/>
      <c r="F119" s="70"/>
      <c r="G119" s="70"/>
      <c r="H119" s="58"/>
      <c r="I119" s="70"/>
      <c r="J119" s="70"/>
      <c r="K119" s="58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</row>
    <row r="120" spans="1:127" x14ac:dyDescent="0.25">
      <c r="A120" s="13"/>
      <c r="B120" s="13"/>
      <c r="C120" s="58"/>
      <c r="D120" s="58"/>
      <c r="E120" s="70"/>
      <c r="F120" s="70"/>
      <c r="G120" s="70"/>
      <c r="H120" s="58"/>
      <c r="I120" s="70"/>
      <c r="J120" s="70"/>
      <c r="K120" s="58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</row>
    <row r="121" spans="1:127" x14ac:dyDescent="0.25">
      <c r="A121" s="13"/>
      <c r="B121" s="13"/>
      <c r="C121" s="58"/>
      <c r="D121" s="58"/>
      <c r="E121" s="70"/>
      <c r="F121" s="70"/>
      <c r="G121" s="70"/>
      <c r="H121" s="58"/>
      <c r="I121" s="70"/>
      <c r="J121" s="70"/>
      <c r="K121" s="58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</row>
    <row r="122" spans="1:127" x14ac:dyDescent="0.25">
      <c r="A122" s="13"/>
      <c r="B122" s="13"/>
      <c r="C122" s="58"/>
      <c r="D122" s="58"/>
      <c r="E122" s="70"/>
      <c r="F122" s="70"/>
      <c r="G122" s="70"/>
      <c r="H122" s="58"/>
      <c r="I122" s="70"/>
      <c r="J122" s="70"/>
      <c r="K122" s="58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</row>
    <row r="123" spans="1:127" x14ac:dyDescent="0.25">
      <c r="A123" s="13"/>
      <c r="B123" s="13"/>
      <c r="C123" s="58"/>
      <c r="D123" s="58"/>
      <c r="E123" s="70"/>
      <c r="F123" s="70"/>
      <c r="G123" s="70"/>
      <c r="H123" s="58"/>
      <c r="I123" s="70"/>
      <c r="J123" s="70"/>
      <c r="K123" s="58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</row>
    <row r="124" spans="1:127" x14ac:dyDescent="0.25">
      <c r="A124" s="13"/>
      <c r="B124" s="13"/>
      <c r="C124" s="58"/>
      <c r="D124" s="58"/>
      <c r="E124" s="70"/>
      <c r="F124" s="70"/>
      <c r="G124" s="70"/>
      <c r="H124" s="58"/>
      <c r="I124" s="70"/>
      <c r="J124" s="70"/>
      <c r="K124" s="58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</row>
    <row r="125" spans="1:127" x14ac:dyDescent="0.25">
      <c r="A125" s="13"/>
      <c r="B125" s="13"/>
      <c r="C125" s="58"/>
      <c r="D125" s="58"/>
      <c r="E125" s="70"/>
      <c r="F125" s="70"/>
      <c r="G125" s="70"/>
      <c r="H125" s="58"/>
      <c r="I125" s="70"/>
      <c r="J125" s="70"/>
      <c r="K125" s="58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</row>
    <row r="126" spans="1:127" x14ac:dyDescent="0.25">
      <c r="A126" s="13"/>
      <c r="B126" s="13"/>
      <c r="C126" s="58"/>
      <c r="D126" s="58"/>
      <c r="E126" s="70"/>
      <c r="F126" s="70"/>
      <c r="G126" s="70"/>
      <c r="H126" s="58"/>
      <c r="I126" s="70"/>
      <c r="J126" s="70"/>
      <c r="K126" s="58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</row>
    <row r="127" spans="1:127" x14ac:dyDescent="0.25">
      <c r="A127" s="13"/>
      <c r="B127" s="13"/>
      <c r="C127" s="58"/>
      <c r="D127" s="58"/>
      <c r="E127" s="70"/>
      <c r="F127" s="70"/>
      <c r="G127" s="70"/>
      <c r="H127" s="58"/>
      <c r="I127" s="70"/>
      <c r="J127" s="70"/>
      <c r="K127" s="58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</row>
    <row r="128" spans="1:127" x14ac:dyDescent="0.25">
      <c r="A128" s="13"/>
      <c r="B128" s="13"/>
      <c r="C128" s="58"/>
      <c r="D128" s="58"/>
      <c r="E128" s="70"/>
      <c r="F128" s="70"/>
      <c r="G128" s="70"/>
      <c r="H128" s="58"/>
      <c r="I128" s="70"/>
      <c r="J128" s="70"/>
      <c r="K128" s="58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</row>
    <row r="129" spans="1:127" x14ac:dyDescent="0.25">
      <c r="A129" s="13"/>
      <c r="B129" s="13"/>
      <c r="C129" s="58"/>
      <c r="D129" s="58"/>
      <c r="E129" s="70"/>
      <c r="F129" s="70"/>
      <c r="G129" s="70"/>
      <c r="H129" s="58"/>
      <c r="I129" s="70"/>
      <c r="J129" s="70"/>
      <c r="K129" s="58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</row>
    <row r="130" spans="1:127" x14ac:dyDescent="0.25">
      <c r="A130" s="13"/>
      <c r="B130" s="13"/>
      <c r="C130" s="58"/>
      <c r="D130" s="58"/>
      <c r="E130" s="70"/>
      <c r="F130" s="70"/>
      <c r="G130" s="70"/>
      <c r="H130" s="58"/>
      <c r="I130" s="70"/>
      <c r="J130" s="70"/>
      <c r="K130" s="58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</row>
    <row r="131" spans="1:127" x14ac:dyDescent="0.25">
      <c r="A131" s="13"/>
      <c r="B131" s="13"/>
      <c r="C131" s="58"/>
      <c r="D131" s="58"/>
      <c r="E131" s="75"/>
      <c r="F131" s="58"/>
      <c r="G131" s="58"/>
      <c r="H131" s="58"/>
      <c r="I131" s="70"/>
      <c r="J131" s="70"/>
      <c r="K131" s="58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</row>
    <row r="132" spans="1:127" x14ac:dyDescent="0.25">
      <c r="A132" s="13"/>
      <c r="B132" s="13"/>
      <c r="C132" s="58"/>
      <c r="D132" s="58"/>
      <c r="E132" s="58"/>
      <c r="F132" s="58"/>
      <c r="G132" s="58"/>
      <c r="H132" s="58"/>
      <c r="I132" s="70"/>
      <c r="J132" s="70"/>
      <c r="K132" s="58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</row>
    <row r="133" spans="1:127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</row>
    <row r="134" spans="1:12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</row>
    <row r="135" spans="1:127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</row>
    <row r="136" spans="1:12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</row>
    <row r="137" spans="1:127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</row>
    <row r="138" spans="1:127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</row>
    <row r="139" spans="1:127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:127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</row>
    <row r="141" spans="1:127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:127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</row>
    <row r="143" spans="1:127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</row>
    <row r="144" spans="1:127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</row>
    <row r="145" spans="1:127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</row>
    <row r="146" spans="1:127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</row>
    <row r="147" spans="1:127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</row>
    <row r="148" spans="1:127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</row>
    <row r="149" spans="1:127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</row>
    <row r="150" spans="1:127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</row>
    <row r="151" spans="1:127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</row>
    <row r="152" spans="1:127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</row>
    <row r="153" spans="1:127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</row>
    <row r="154" spans="1:127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</row>
    <row r="155" spans="1:127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</row>
    <row r="156" spans="1:127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</row>
    <row r="157" spans="1:127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</row>
    <row r="158" spans="1:127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</row>
    <row r="159" spans="1:127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</row>
    <row r="160" spans="1:127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</row>
    <row r="161" spans="1:127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</row>
    <row r="162" spans="1:127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</row>
    <row r="163" spans="1:127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</row>
    <row r="164" spans="1:127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</row>
    <row r="165" spans="1:127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</row>
    <row r="166" spans="1:127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</row>
    <row r="167" spans="1:127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</row>
    <row r="168" spans="1:127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</row>
    <row r="169" spans="1:127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</row>
    <row r="170" spans="1:127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</row>
    <row r="171" spans="1:127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</row>
    <row r="172" spans="1:127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</row>
    <row r="173" spans="1:127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</row>
    <row r="174" spans="1:127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</row>
    <row r="175" spans="1:127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</row>
    <row r="176" spans="1:127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</row>
    <row r="177" spans="1:127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</row>
    <row r="178" spans="1:127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</row>
    <row r="179" spans="1:127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</row>
    <row r="180" spans="1:127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</row>
    <row r="181" spans="1:127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</row>
    <row r="182" spans="1:127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</row>
    <row r="183" spans="1:127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</row>
    <row r="184" spans="1:127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</row>
    <row r="185" spans="1:127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</row>
    <row r="186" spans="1:127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</row>
    <row r="187" spans="1:127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</row>
    <row r="188" spans="1:127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</row>
    <row r="189" spans="1:127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</row>
    <row r="190" spans="1:127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</row>
    <row r="191" spans="1:127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</row>
    <row r="192" spans="1:127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</row>
    <row r="193" spans="1:127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</row>
    <row r="194" spans="1:127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</row>
    <row r="195" spans="1:127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</row>
    <row r="196" spans="1:127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</row>
    <row r="197" spans="1:127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</row>
    <row r="198" spans="1:127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</row>
    <row r="199" spans="1:127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</row>
    <row r="200" spans="1:127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</row>
    <row r="201" spans="1:127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</row>
    <row r="202" spans="1:127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</row>
    <row r="203" spans="1:127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</row>
    <row r="204" spans="1:127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</row>
    <row r="205" spans="1:127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</row>
    <row r="206" spans="1:127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</row>
    <row r="207" spans="1:127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</row>
    <row r="208" spans="1:127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</row>
    <row r="209" spans="1:127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</row>
    <row r="210" spans="1:127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</row>
    <row r="211" spans="1:127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</row>
    <row r="212" spans="1:127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</row>
    <row r="213" spans="1:127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</row>
    <row r="214" spans="1:127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</row>
    <row r="215" spans="1:127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</row>
    <row r="216" spans="1:127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</row>
    <row r="217" spans="1:127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</row>
    <row r="218" spans="1:127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</row>
    <row r="219" spans="1:127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</row>
    <row r="220" spans="1:127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</row>
    <row r="221" spans="1:127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</row>
    <row r="222" spans="1:127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</row>
    <row r="223" spans="1:127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</row>
    <row r="224" spans="1:127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</row>
    <row r="225" spans="1:127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</row>
    <row r="226" spans="1:127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</row>
    <row r="227" spans="1:127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</row>
    <row r="228" spans="1:127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</row>
    <row r="229" spans="1:127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</row>
    <row r="230" spans="1:127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</row>
    <row r="231" spans="1:127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</row>
    <row r="232" spans="1:127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</row>
    <row r="233" spans="1:127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</row>
    <row r="234" spans="1:127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</row>
    <row r="235" spans="1:127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</row>
    <row r="236" spans="1:127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</row>
    <row r="237" spans="1:127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</row>
    <row r="238" spans="1:127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</row>
    <row r="239" spans="1:127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</row>
    <row r="240" spans="1:127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</row>
    <row r="241" spans="1:127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</row>
    <row r="242" spans="1:127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</row>
    <row r="243" spans="1:127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</row>
    <row r="244" spans="1:127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</row>
    <row r="245" spans="1:127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</row>
    <row r="246" spans="1:127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</row>
    <row r="247" spans="1:127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</row>
    <row r="248" spans="1:127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</row>
    <row r="249" spans="1:127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</row>
    <row r="250" spans="1:127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</row>
    <row r="251" spans="1:127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</row>
    <row r="252" spans="1:127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</row>
    <row r="253" spans="1:127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</row>
    <row r="254" spans="1:127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</row>
    <row r="255" spans="1:127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</row>
    <row r="256" spans="1:127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</row>
    <row r="257" spans="1:127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</row>
    <row r="258" spans="1:127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</row>
    <row r="259" spans="1:127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</row>
    <row r="260" spans="1:127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</row>
    <row r="261" spans="1:127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</row>
    <row r="262" spans="1:127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</row>
    <row r="263" spans="1:127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</row>
    <row r="264" spans="1:127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</row>
    <row r="265" spans="1:127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</row>
    <row r="266" spans="1:127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</row>
    <row r="267" spans="1:127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</row>
    <row r="268" spans="1:127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</row>
    <row r="269" spans="1:127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</row>
    <row r="270" spans="1:127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</row>
    <row r="271" spans="1:127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</row>
    <row r="272" spans="1:127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</row>
    <row r="273" spans="1:127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</row>
    <row r="274" spans="1:127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</row>
    <row r="275" spans="1:127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</row>
    <row r="276" spans="1:127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</row>
    <row r="277" spans="1:127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</row>
    <row r="278" spans="1:127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</row>
    <row r="279" spans="1:127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</row>
    <row r="280" spans="1:127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</row>
    <row r="281" spans="1:127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</row>
    <row r="282" spans="1:127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</row>
    <row r="283" spans="1:127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</row>
    <row r="284" spans="1:127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</row>
    <row r="285" spans="1:127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</row>
    <row r="286" spans="1:127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</row>
    <row r="287" spans="1:127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</row>
    <row r="288" spans="1:127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</row>
    <row r="289" spans="1:127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</row>
    <row r="290" spans="1:127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</row>
    <row r="291" spans="1:127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</row>
    <row r="292" spans="1:127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</row>
    <row r="293" spans="1:127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</row>
    <row r="294" spans="1:127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</row>
    <row r="295" spans="1:127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</row>
    <row r="296" spans="1:127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</row>
    <row r="297" spans="1:127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</row>
    <row r="298" spans="1:127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</row>
    <row r="299" spans="1:127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</row>
    <row r="300" spans="1:127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</row>
    <row r="301" spans="1:127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</row>
    <row r="302" spans="1:127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</row>
    <row r="303" spans="1:127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</row>
    <row r="304" spans="1:127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</row>
    <row r="305" spans="1:127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</row>
    <row r="306" spans="1:127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</row>
    <row r="307" spans="1:127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</row>
    <row r="308" spans="1:127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</row>
    <row r="309" spans="1:127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</row>
    <row r="310" spans="1:127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</row>
    <row r="311" spans="1:127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</row>
    <row r="312" spans="1:127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</row>
    <row r="313" spans="1:127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</row>
    <row r="314" spans="1:127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</row>
    <row r="315" spans="1:127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</row>
    <row r="316" spans="1:127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</row>
    <row r="317" spans="1:127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</row>
    <row r="318" spans="1:127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</row>
    <row r="319" spans="1:127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</row>
    <row r="320" spans="1:127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</row>
    <row r="321" spans="1:127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</row>
    <row r="322" spans="1:127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</row>
    <row r="323" spans="1:127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</row>
    <row r="324" spans="1:127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</row>
    <row r="325" spans="1:127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</row>
    <row r="326" spans="1:127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</row>
    <row r="327" spans="1:127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</row>
    <row r="328" spans="1:127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</row>
    <row r="329" spans="1:127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</row>
    <row r="330" spans="1:127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</row>
    <row r="331" spans="1:127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</row>
    <row r="332" spans="1:127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</row>
    <row r="333" spans="1:127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</row>
    <row r="334" spans="1:127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</row>
    <row r="335" spans="1:127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</row>
    <row r="336" spans="1:127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</row>
    <row r="337" spans="1:127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</row>
    <row r="338" spans="1:127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</row>
    <row r="339" spans="1:127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</row>
    <row r="340" spans="1:127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</row>
    <row r="341" spans="1:127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</row>
    <row r="342" spans="1:127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</row>
    <row r="343" spans="1:127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</row>
    <row r="344" spans="1:127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</row>
    <row r="345" spans="1:127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</row>
    <row r="346" spans="1:127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</row>
    <row r="347" spans="1:127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</row>
    <row r="348" spans="1:127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</row>
    <row r="349" spans="1:127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</row>
    <row r="350" spans="1:127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</row>
    <row r="351" spans="1:127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</row>
    <row r="352" spans="1:127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</row>
    <row r="353" spans="1:127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</row>
    <row r="354" spans="1:127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</row>
    <row r="355" spans="1:127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</row>
    <row r="356" spans="1:127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</row>
    <row r="357" spans="1:127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</row>
    <row r="358" spans="1:127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</row>
    <row r="359" spans="1:127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</row>
    <row r="360" spans="1:127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</row>
    <row r="361" spans="1:127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</row>
    <row r="362" spans="1:127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</row>
    <row r="363" spans="1:127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</row>
    <row r="364" spans="1:127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</row>
    <row r="365" spans="1:127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</row>
    <row r="366" spans="1:127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</row>
    <row r="367" spans="1:127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</row>
    <row r="368" spans="1:127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</row>
    <row r="369" spans="1:127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</row>
    <row r="370" spans="1:127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</row>
    <row r="371" spans="1:127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</row>
    <row r="372" spans="1:127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</row>
    <row r="373" spans="1:127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</row>
    <row r="374" spans="1:127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</row>
    <row r="375" spans="1:127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</row>
    <row r="376" spans="1:127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</row>
    <row r="377" spans="1:127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</row>
    <row r="378" spans="1:127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</row>
    <row r="379" spans="1:127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</row>
    <row r="380" spans="1:127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</row>
    <row r="381" spans="1:127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</row>
    <row r="382" spans="1:127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</row>
    <row r="383" spans="1:127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</row>
    <row r="384" spans="1:127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</row>
    <row r="385" spans="1:127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</row>
    <row r="386" spans="1:127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</row>
    <row r="387" spans="1:127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</row>
    <row r="388" spans="1:127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</row>
    <row r="389" spans="1:127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</row>
    <row r="390" spans="1:127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</row>
    <row r="391" spans="1:127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</row>
    <row r="392" spans="1:127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</row>
    <row r="393" spans="1:127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</row>
    <row r="394" spans="1:127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</row>
    <row r="395" spans="1:127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</row>
    <row r="396" spans="1:127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</row>
    <row r="397" spans="1:127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</row>
    <row r="398" spans="1:127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</row>
    <row r="399" spans="1:127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</row>
    <row r="400" spans="1:127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</row>
    <row r="401" spans="1:127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</row>
    <row r="402" spans="1:127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</row>
    <row r="403" spans="1:127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</row>
    <row r="404" spans="1:127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</row>
    <row r="405" spans="1:127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</row>
    <row r="406" spans="1:127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</row>
    <row r="407" spans="1:127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</row>
    <row r="408" spans="1:127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</row>
    <row r="409" spans="1:127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</row>
    <row r="410" spans="1:127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</row>
    <row r="411" spans="1:127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</row>
    <row r="412" spans="1:127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</row>
    <row r="413" spans="1:127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</row>
    <row r="414" spans="1:127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</row>
    <row r="415" spans="1:127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</row>
    <row r="416" spans="1:127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</row>
    <row r="417" spans="1:127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</row>
    <row r="418" spans="1:127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</row>
    <row r="419" spans="1:127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</row>
    <row r="420" spans="1:127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</row>
    <row r="421" spans="1:127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</row>
    <row r="422" spans="1:127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</row>
    <row r="423" spans="1:127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</row>
    <row r="424" spans="1:127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</row>
    <row r="425" spans="1:127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</row>
    <row r="426" spans="1:127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</row>
    <row r="427" spans="1:127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</row>
    <row r="428" spans="1:127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</row>
    <row r="429" spans="1:127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</row>
    <row r="430" spans="1:127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</row>
    <row r="431" spans="1:127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</row>
    <row r="432" spans="1:127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</row>
    <row r="433" spans="1:127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</row>
    <row r="434" spans="1:127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</row>
    <row r="435" spans="1:127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</row>
    <row r="436" spans="1:127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</row>
    <row r="437" spans="1:127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</row>
    <row r="438" spans="1:127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</row>
    <row r="439" spans="1:127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</row>
    <row r="440" spans="1:127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</row>
    <row r="441" spans="1:127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</row>
    <row r="442" spans="1:127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</row>
    <row r="443" spans="1:127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</row>
    <row r="444" spans="1:127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</row>
    <row r="445" spans="1:127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</row>
    <row r="446" spans="1:127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</row>
    <row r="447" spans="1:127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</row>
    <row r="448" spans="1:127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</row>
    <row r="449" spans="1:127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</row>
    <row r="450" spans="1:127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</row>
    <row r="451" spans="1:127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</row>
    <row r="452" spans="1:127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</row>
    <row r="453" spans="1:127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</row>
    <row r="454" spans="1:127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</row>
    <row r="455" spans="1:127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</row>
    <row r="456" spans="1:127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</row>
    <row r="457" spans="1:127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</row>
    <row r="458" spans="1:127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</row>
    <row r="459" spans="1:127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</row>
    <row r="460" spans="1:127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</row>
    <row r="461" spans="1:127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</row>
    <row r="462" spans="1:127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</row>
    <row r="463" spans="1:127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</row>
    <row r="464" spans="1:127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</row>
    <row r="465" spans="1:127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</row>
    <row r="466" spans="1:127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</row>
    <row r="467" spans="1:127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</row>
    <row r="468" spans="1:127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</row>
    <row r="469" spans="1:127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</row>
    <row r="470" spans="1:127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</row>
    <row r="471" spans="1:127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</row>
    <row r="472" spans="1:127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</row>
    <row r="473" spans="1:127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</row>
    <row r="474" spans="1:127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</row>
    <row r="475" spans="1:127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</row>
    <row r="476" spans="1:127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</row>
    <row r="477" spans="1:127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</row>
    <row r="478" spans="1:127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</row>
    <row r="479" spans="1:127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</row>
    <row r="480" spans="1:127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</row>
    <row r="481" spans="1:127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</row>
    <row r="482" spans="1:127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</row>
    <row r="483" spans="1:127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</row>
    <row r="484" spans="1:127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</row>
    <row r="485" spans="1:127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</row>
    <row r="486" spans="1:127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</row>
    <row r="487" spans="1:127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</row>
    <row r="488" spans="1:127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</row>
    <row r="489" spans="1:127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</row>
    <row r="490" spans="1:127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</row>
    <row r="491" spans="1:127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</row>
    <row r="492" spans="1:127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</row>
    <row r="493" spans="1:127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</row>
    <row r="494" spans="1:127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</row>
    <row r="495" spans="1:127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</row>
    <row r="496" spans="1:127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</row>
    <row r="497" spans="1:127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</row>
    <row r="498" spans="1:127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</row>
    <row r="499" spans="1:127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</row>
    <row r="500" spans="1:127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</row>
    <row r="501" spans="1:127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</row>
    <row r="502" spans="1:127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</row>
    <row r="503" spans="1:127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</row>
    <row r="504" spans="1:127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</row>
    <row r="505" spans="1:127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</row>
    <row r="506" spans="1:127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</row>
    <row r="507" spans="1:127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</row>
    <row r="508" spans="1:127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</row>
    <row r="509" spans="1:127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</row>
    <row r="510" spans="1:127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</row>
    <row r="511" spans="1:127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</row>
    <row r="512" spans="1:127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</row>
    <row r="513" spans="1:127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</row>
    <row r="514" spans="1:127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</row>
    <row r="515" spans="1:127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</row>
    <row r="516" spans="1:127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</row>
    <row r="517" spans="1:127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</row>
    <row r="518" spans="1:127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</row>
    <row r="519" spans="1:127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</row>
    <row r="520" spans="1:127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</row>
    <row r="521" spans="1:127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</row>
    <row r="522" spans="1:127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</row>
    <row r="523" spans="1:127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</row>
    <row r="524" spans="1:127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</row>
    <row r="525" spans="1:127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</row>
    <row r="526" spans="1:127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</row>
    <row r="527" spans="1:127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</row>
    <row r="528" spans="1:127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</row>
    <row r="529" spans="1:127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</row>
    <row r="530" spans="1:127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</row>
    <row r="531" spans="1:127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</row>
    <row r="532" spans="1:127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</row>
    <row r="533" spans="1:127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</row>
    <row r="534" spans="1:127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</row>
    <row r="535" spans="1:127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</row>
    <row r="536" spans="1:127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</row>
    <row r="537" spans="1:127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</row>
    <row r="538" spans="1:127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</row>
    <row r="539" spans="1:127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</row>
    <row r="540" spans="1:127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</row>
    <row r="541" spans="1:127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</row>
    <row r="542" spans="1:127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</row>
    <row r="543" spans="1:127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</row>
    <row r="544" spans="1:127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</row>
    <row r="545" spans="1:127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</row>
    <row r="546" spans="1:127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</row>
    <row r="547" spans="1:127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</row>
    <row r="548" spans="1:127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</row>
    <row r="549" spans="1:127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</row>
    <row r="550" spans="1:127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</row>
    <row r="551" spans="1:127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</row>
    <row r="552" spans="1:127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</row>
    <row r="553" spans="1:127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</row>
    <row r="554" spans="1:127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</row>
    <row r="555" spans="1:127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</row>
    <row r="556" spans="1:127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</row>
    <row r="557" spans="1:127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</row>
    <row r="558" spans="1:127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</row>
    <row r="559" spans="1:127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</row>
    <row r="560" spans="1:127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</row>
    <row r="561" spans="1:127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</row>
    <row r="562" spans="1:127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</row>
    <row r="563" spans="1:127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</row>
    <row r="564" spans="1:127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</row>
    <row r="565" spans="1:127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</row>
    <row r="566" spans="1:127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</row>
    <row r="567" spans="1:127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</row>
    <row r="568" spans="1:127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</row>
    <row r="569" spans="1:127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</row>
    <row r="570" spans="1:127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</row>
    <row r="571" spans="1:127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</row>
    <row r="572" spans="1:127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</row>
    <row r="573" spans="1:127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</row>
    <row r="574" spans="1:127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</row>
    <row r="575" spans="1:127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</row>
    <row r="576" spans="1:127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</row>
    <row r="577" spans="1:127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</row>
    <row r="578" spans="1:127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</row>
    <row r="579" spans="1:127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</row>
    <row r="580" spans="1:127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</row>
    <row r="581" spans="1:127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</row>
    <row r="582" spans="1:127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</row>
    <row r="583" spans="1:127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</row>
    <row r="584" spans="1:127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</row>
    <row r="585" spans="1:127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</row>
    <row r="586" spans="1:127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</row>
    <row r="587" spans="1:127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</row>
    <row r="588" spans="1:127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</row>
    <row r="589" spans="1:127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</row>
    <row r="590" spans="1:127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</row>
    <row r="591" spans="1:127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</row>
    <row r="592" spans="1:127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</row>
    <row r="593" spans="1:127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</row>
    <row r="594" spans="1:127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</row>
    <row r="595" spans="1:127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</row>
    <row r="596" spans="1:127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</row>
    <row r="597" spans="1:127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</row>
    <row r="598" spans="1:127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</row>
    <row r="599" spans="1:127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</row>
    <row r="600" spans="1:127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</row>
    <row r="601" spans="1:127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</row>
    <row r="602" spans="1:127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</row>
    <row r="603" spans="1:127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</row>
    <row r="604" spans="1:127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</row>
    <row r="605" spans="1:127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</row>
    <row r="606" spans="1:127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</row>
    <row r="607" spans="1:127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</row>
    <row r="608" spans="1:127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</row>
    <row r="609" spans="1:127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</row>
    <row r="610" spans="1:127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</row>
    <row r="611" spans="1:127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</row>
    <row r="612" spans="1:127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</row>
    <row r="613" spans="1:127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</row>
    <row r="614" spans="1:127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</row>
    <row r="615" spans="1:127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</row>
    <row r="616" spans="1:127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</row>
    <row r="617" spans="1:127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</row>
    <row r="618" spans="1:127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</row>
    <row r="619" spans="1:127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</row>
    <row r="620" spans="1:127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</row>
    <row r="621" spans="1:127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</row>
    <row r="622" spans="1:127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</row>
    <row r="623" spans="1:127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</row>
    <row r="624" spans="1:127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</row>
    <row r="625" spans="1:127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</row>
    <row r="626" spans="1:127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</row>
    <row r="627" spans="1:127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</row>
    <row r="628" spans="1:127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</row>
    <row r="629" spans="1:127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</row>
    <row r="630" spans="1:127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</row>
    <row r="631" spans="1:127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</row>
    <row r="632" spans="1:127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</row>
    <row r="633" spans="1:127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</row>
    <row r="634" spans="1:127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</row>
    <row r="635" spans="1:127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</row>
    <row r="636" spans="1:127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</row>
    <row r="637" spans="1:127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</row>
    <row r="638" spans="1:127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</row>
    <row r="639" spans="1:127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</row>
    <row r="640" spans="1:127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</row>
    <row r="641" spans="1:127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</row>
    <row r="642" spans="1:127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</row>
    <row r="643" spans="1:127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</row>
    <row r="644" spans="1:127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</row>
    <row r="645" spans="1:127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</row>
    <row r="646" spans="1:127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</row>
    <row r="647" spans="1:127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</row>
    <row r="648" spans="1:127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</row>
    <row r="649" spans="1:127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</row>
    <row r="650" spans="1:127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</row>
    <row r="651" spans="1:127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</row>
    <row r="652" spans="1:127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</row>
    <row r="653" spans="1:127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</row>
    <row r="654" spans="1:127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</row>
    <row r="655" spans="1:127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</row>
    <row r="656" spans="1:127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</row>
    <row r="657" spans="1:127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</row>
    <row r="658" spans="1:127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</row>
    <row r="659" spans="1:127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</row>
    <row r="660" spans="1:127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</row>
    <row r="661" spans="1:127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</row>
    <row r="662" spans="1:127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</row>
    <row r="663" spans="1:127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</row>
    <row r="664" spans="1:127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</row>
    <row r="665" spans="1:127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</row>
    <row r="666" spans="1:127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</row>
    <row r="667" spans="1:127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</row>
    <row r="668" spans="1:127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</row>
    <row r="669" spans="1:127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</row>
    <row r="670" spans="1:127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</row>
    <row r="671" spans="1:127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</row>
    <row r="672" spans="1:127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</row>
    <row r="673" spans="1:127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</row>
    <row r="674" spans="1:127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</row>
    <row r="675" spans="1:127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</row>
    <row r="676" spans="1:127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</row>
    <row r="677" spans="1:127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</row>
    <row r="678" spans="1:127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</row>
    <row r="679" spans="1:127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</row>
    <row r="680" spans="1:127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</row>
    <row r="681" spans="1:127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</row>
    <row r="682" spans="1:127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</row>
    <row r="683" spans="1:127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</row>
    <row r="684" spans="1:127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</row>
    <row r="685" spans="1:127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</row>
    <row r="686" spans="1:127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</row>
    <row r="687" spans="1:127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</row>
    <row r="688" spans="1:127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</row>
    <row r="689" spans="1:127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</row>
    <row r="690" spans="1:127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</row>
    <row r="691" spans="1:127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</row>
    <row r="692" spans="1:127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</row>
    <row r="693" spans="1:127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</row>
    <row r="694" spans="1:127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</row>
    <row r="695" spans="1:127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</row>
    <row r="696" spans="1:127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</row>
    <row r="697" spans="1:127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</row>
    <row r="698" spans="1:127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</row>
    <row r="699" spans="1:127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</row>
    <row r="700" spans="1:127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</row>
    <row r="701" spans="1:127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</row>
    <row r="702" spans="1:127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</row>
    <row r="703" spans="1:127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</row>
    <row r="704" spans="1:127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</row>
    <row r="705" spans="1:127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</row>
    <row r="706" spans="1:127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</row>
    <row r="707" spans="1:127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</row>
    <row r="708" spans="1:127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</row>
    <row r="709" spans="1:127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</row>
    <row r="710" spans="1:127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</row>
    <row r="711" spans="1:127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</row>
    <row r="712" spans="1:127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</row>
    <row r="713" spans="1:127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</row>
    <row r="714" spans="1:127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</row>
    <row r="715" spans="1:127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</row>
    <row r="716" spans="1:127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</row>
    <row r="717" spans="1:127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</row>
    <row r="718" spans="1:127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</row>
    <row r="719" spans="1:127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</row>
    <row r="720" spans="1:127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</row>
    <row r="721" spans="1:127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</row>
    <row r="722" spans="1:127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</row>
    <row r="723" spans="1:127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</row>
    <row r="724" spans="1:127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</row>
    <row r="725" spans="1:127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</row>
    <row r="726" spans="1:127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</row>
    <row r="727" spans="1:127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</row>
    <row r="728" spans="1:127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</row>
    <row r="729" spans="1:127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</row>
    <row r="730" spans="1:127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</row>
    <row r="731" spans="1:127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</row>
    <row r="732" spans="1:127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</row>
    <row r="733" spans="1:127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</row>
    <row r="734" spans="1:127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</row>
    <row r="735" spans="1:127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</row>
    <row r="736" spans="1:127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</row>
    <row r="737" spans="1:127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</row>
    <row r="738" spans="1:127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</row>
    <row r="739" spans="1:127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</row>
    <row r="740" spans="1:127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</row>
    <row r="741" spans="1:127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</row>
    <row r="742" spans="1:127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</row>
    <row r="743" spans="1:127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</row>
    <row r="744" spans="1:127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</row>
    <row r="745" spans="1:127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</row>
    <row r="746" spans="1:127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</row>
    <row r="747" spans="1:127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</row>
    <row r="748" spans="1:127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</row>
    <row r="749" spans="1:127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</row>
    <row r="750" spans="1:127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</row>
    <row r="751" spans="1:127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</row>
    <row r="752" spans="1:127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</row>
    <row r="753" spans="1:127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</row>
    <row r="754" spans="1:127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</row>
    <row r="755" spans="1:127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</row>
    <row r="756" spans="1:127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</row>
    <row r="757" spans="1:127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</row>
    <row r="758" spans="1:127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</row>
    <row r="759" spans="1:127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</row>
    <row r="760" spans="1:127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</row>
    <row r="761" spans="1:127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</row>
    <row r="762" spans="1:127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</row>
    <row r="763" spans="1:127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</row>
    <row r="764" spans="1:127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</row>
    <row r="765" spans="1:127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</row>
    <row r="766" spans="1:127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</row>
    <row r="767" spans="1:127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</row>
    <row r="768" spans="1:127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</row>
    <row r="769" spans="1:127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</row>
    <row r="770" spans="1:127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</row>
    <row r="771" spans="1:127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</row>
    <row r="772" spans="1:127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</row>
    <row r="773" spans="1:127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</row>
    <row r="774" spans="1:127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</row>
    <row r="775" spans="1:127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</row>
    <row r="776" spans="1:127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</row>
    <row r="777" spans="1:127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</row>
  </sheetData>
  <mergeCells count="5">
    <mergeCell ref="T4:U4"/>
    <mergeCell ref="M91:N91"/>
    <mergeCell ref="M92:N92"/>
    <mergeCell ref="P4:Q4"/>
    <mergeCell ref="R4:S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767"/>
  <sheetViews>
    <sheetView showGridLines="0" workbookViewId="0">
      <selection activeCell="B2" sqref="B2"/>
    </sheetView>
  </sheetViews>
  <sheetFormatPr defaultRowHeight="15.75" x14ac:dyDescent="0.25"/>
  <cols>
    <col min="1" max="1" width="5.625" customWidth="1"/>
    <col min="2" max="2" width="1.625" customWidth="1"/>
    <col min="3" max="3" width="35.625" customWidth="1"/>
    <col min="4" max="5" width="12.625" customWidth="1"/>
    <col min="6" max="6" width="5.625" customWidth="1"/>
    <col min="7" max="7" width="22.625" customWidth="1"/>
    <col min="8" max="8" width="12.625" customWidth="1"/>
    <col min="11" max="11" width="48.625" customWidth="1"/>
    <col min="12" max="12" width="12.625" customWidth="1"/>
  </cols>
  <sheetData>
    <row r="1" spans="1:58" x14ac:dyDescent="0.25">
      <c r="A1" s="13"/>
      <c r="B1" s="138" t="str">
        <f>'For MD&amp;A'!A1</f>
        <v>Cardinal Charter, Inc.</v>
      </c>
      <c r="C1" s="13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</row>
    <row r="2" spans="1:5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</row>
    <row r="3" spans="1:58" x14ac:dyDescent="0.25">
      <c r="A3" s="13"/>
      <c r="B3" s="14" t="s">
        <v>103</v>
      </c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</row>
    <row r="4" spans="1:58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</row>
    <row r="5" spans="1:58" x14ac:dyDescent="0.25">
      <c r="A5" s="13"/>
      <c r="B5" s="13"/>
      <c r="C5" s="13"/>
      <c r="D5" s="11" t="s">
        <v>68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</row>
    <row r="6" spans="1:58" ht="18" x14ac:dyDescent="0.4">
      <c r="A6" s="13"/>
      <c r="B6" s="147" t="s">
        <v>0</v>
      </c>
      <c r="C6" s="147"/>
      <c r="D6" s="34" t="s">
        <v>69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</row>
    <row r="7" spans="1:58" ht="18" x14ac:dyDescent="0.4">
      <c r="A7" s="13"/>
      <c r="B7" s="148" t="s">
        <v>183</v>
      </c>
      <c r="C7" s="148"/>
      <c r="D7" s="32">
        <v>1500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</row>
    <row r="9" spans="1:5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</row>
    <row r="10" spans="1:58" x14ac:dyDescent="0.25">
      <c r="A10" s="13"/>
      <c r="B10" s="14" t="s">
        <v>71</v>
      </c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</row>
    <row r="11" spans="1:58" x14ac:dyDescent="0.25">
      <c r="A11" s="37"/>
      <c r="B11" s="37"/>
      <c r="C11" s="37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</row>
    <row r="12" spans="1:58" ht="18" x14ac:dyDescent="0.4">
      <c r="A12" s="13"/>
      <c r="B12" s="146"/>
      <c r="C12" s="146"/>
      <c r="D12" s="146"/>
      <c r="E12" s="94" t="s">
        <v>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</row>
    <row r="13" spans="1:58" ht="48" customHeight="1" x14ac:dyDescent="0.4">
      <c r="A13" s="13"/>
      <c r="B13" s="145" t="s">
        <v>185</v>
      </c>
      <c r="C13" s="145"/>
      <c r="D13" s="145"/>
      <c r="E13" s="55">
        <v>9000</v>
      </c>
      <c r="F13" s="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18" x14ac:dyDescent="0.4">
      <c r="A14" s="13"/>
      <c r="B14" s="93"/>
      <c r="C14" s="93"/>
      <c r="D14" s="93"/>
      <c r="E14" s="55"/>
      <c r="F14" s="9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18" x14ac:dyDescent="0.4">
      <c r="A15" s="13"/>
      <c r="B15" s="93"/>
      <c r="C15" s="93"/>
      <c r="D15" s="93"/>
      <c r="E15" s="55"/>
      <c r="F15" s="9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</row>
    <row r="16" spans="1:58" ht="18" x14ac:dyDescent="0.4">
      <c r="A16" s="13"/>
      <c r="B16" s="93"/>
      <c r="C16" s="96" t="s">
        <v>186</v>
      </c>
      <c r="D16" s="93"/>
      <c r="E16" s="55"/>
      <c r="F16" s="9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</row>
    <row r="17" spans="1:58" ht="18" customHeight="1" x14ac:dyDescent="0.4">
      <c r="A17" s="13"/>
      <c r="B17" s="93"/>
      <c r="C17" s="93"/>
      <c r="D17" s="93"/>
      <c r="E17" s="55"/>
      <c r="F17" s="9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</row>
    <row r="18" spans="1:58" ht="18" x14ac:dyDescent="0.4">
      <c r="A18" s="13"/>
      <c r="B18" s="93"/>
      <c r="C18" s="145"/>
      <c r="D18" s="145"/>
      <c r="E18" s="94" t="s">
        <v>1</v>
      </c>
      <c r="F18" s="9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</row>
    <row r="19" spans="1:58" ht="48" customHeight="1" x14ac:dyDescent="0.4">
      <c r="A19" s="13"/>
      <c r="B19" s="93"/>
      <c r="C19" s="145" t="s">
        <v>187</v>
      </c>
      <c r="D19" s="145"/>
      <c r="E19" s="55">
        <v>10000</v>
      </c>
      <c r="F19" s="9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</row>
    <row r="21" spans="1:58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</row>
    <row r="22" spans="1:58" x14ac:dyDescent="0.25">
      <c r="A22" s="13"/>
      <c r="B22" s="14" t="s">
        <v>64</v>
      </c>
      <c r="C22" s="14"/>
      <c r="D22" s="13"/>
      <c r="E22" s="13"/>
      <c r="F22" s="13"/>
      <c r="I22" s="13"/>
      <c r="J22" s="13"/>
      <c r="K22" s="13"/>
      <c r="L22" s="37"/>
      <c r="M22" s="37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</row>
    <row r="23" spans="1:58" x14ac:dyDescent="0.25">
      <c r="A23" s="13"/>
      <c r="B23" s="13"/>
      <c r="C23" s="13"/>
      <c r="D23" s="13"/>
      <c r="E23" s="13"/>
      <c r="F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</row>
    <row r="24" spans="1:58" x14ac:dyDescent="0.25">
      <c r="A24" s="13"/>
      <c r="B24" s="13" t="s">
        <v>59</v>
      </c>
      <c r="C24" s="13"/>
      <c r="D24" s="27">
        <v>62584</v>
      </c>
      <c r="E24" s="13"/>
      <c r="F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58" x14ac:dyDescent="0.25">
      <c r="A25" s="13"/>
      <c r="B25" s="13" t="s">
        <v>62</v>
      </c>
      <c r="C25" s="13"/>
      <c r="D25" s="27"/>
      <c r="E25" s="13"/>
      <c r="F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</row>
    <row r="26" spans="1:58" x14ac:dyDescent="0.25">
      <c r="A26" s="13"/>
      <c r="B26" s="13"/>
      <c r="C26" s="13" t="s">
        <v>60</v>
      </c>
      <c r="D26" s="28">
        <v>500</v>
      </c>
      <c r="E26" s="13"/>
      <c r="F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</row>
    <row r="27" spans="1:58" x14ac:dyDescent="0.25">
      <c r="A27" s="13"/>
      <c r="B27" s="13"/>
      <c r="C27" s="13" t="s">
        <v>61</v>
      </c>
      <c r="D27" s="28">
        <v>8000</v>
      </c>
      <c r="E27" s="13"/>
      <c r="F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</row>
    <row r="28" spans="1:58" ht="18" x14ac:dyDescent="0.4">
      <c r="A28" s="13"/>
      <c r="B28" s="13"/>
      <c r="C28" s="13" t="s">
        <v>201</v>
      </c>
      <c r="D28" s="31">
        <v>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</row>
    <row r="29" spans="1:58" ht="18" x14ac:dyDescent="0.4">
      <c r="A29" s="13"/>
      <c r="B29" s="13"/>
      <c r="C29" s="38" t="s">
        <v>63</v>
      </c>
      <c r="D29" s="32">
        <f>D24-SUM(D26:D28)</f>
        <v>54084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</row>
    <row r="30" spans="1:58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</row>
    <row r="31" spans="1:58" x14ac:dyDescent="0.25">
      <c r="A31" s="13"/>
      <c r="B31" s="13"/>
      <c r="C31" s="13"/>
      <c r="D31" s="13"/>
      <c r="E31" s="13"/>
      <c r="F31" s="13"/>
      <c r="G31" s="14" t="s">
        <v>70</v>
      </c>
      <c r="H31" s="1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</row>
    <row r="32" spans="1:58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</row>
    <row r="33" spans="1:58" ht="18" x14ac:dyDescent="0.4">
      <c r="A33" s="13"/>
      <c r="B33" s="13"/>
      <c r="C33" s="13"/>
      <c r="D33" s="13"/>
      <c r="E33" s="13"/>
      <c r="F33" s="13"/>
      <c r="G33" s="34" t="s">
        <v>67</v>
      </c>
      <c r="H33" s="34" t="s">
        <v>1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</row>
    <row r="34" spans="1:58" x14ac:dyDescent="0.25">
      <c r="A34" s="13"/>
      <c r="B34" s="13"/>
      <c r="C34" s="13"/>
      <c r="D34" s="13"/>
      <c r="E34" s="13"/>
      <c r="F34" s="13"/>
      <c r="G34" s="13" t="s">
        <v>65</v>
      </c>
      <c r="H34" s="27">
        <v>10450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</row>
    <row r="35" spans="1:58" x14ac:dyDescent="0.25">
      <c r="A35" s="13"/>
      <c r="B35" s="13"/>
      <c r="C35" s="13"/>
      <c r="D35" s="13"/>
      <c r="E35" s="13"/>
      <c r="F35" s="13"/>
      <c r="G35" s="13" t="s">
        <v>66</v>
      </c>
      <c r="H35" s="28">
        <v>3000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</row>
    <row r="36" spans="1:58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</row>
    <row r="37" spans="1:58" x14ac:dyDescent="0.25">
      <c r="A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</row>
    <row r="38" spans="1:58" x14ac:dyDescent="0.25">
      <c r="A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</row>
    <row r="39" spans="1:58" x14ac:dyDescent="0.25">
      <c r="A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</row>
    <row r="40" spans="1:58" x14ac:dyDescent="0.25">
      <c r="A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</row>
    <row r="41" spans="1:58" x14ac:dyDescent="0.25">
      <c r="A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</row>
    <row r="42" spans="1:58" x14ac:dyDescent="0.25">
      <c r="A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</row>
    <row r="43" spans="1:58" x14ac:dyDescent="0.25">
      <c r="A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</row>
    <row r="44" spans="1:58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</row>
    <row r="45" spans="1:58" x14ac:dyDescent="0.25">
      <c r="A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</row>
    <row r="46" spans="1:58" x14ac:dyDescent="0.25">
      <c r="A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</row>
    <row r="47" spans="1:58" ht="49.5" customHeight="1" x14ac:dyDescent="0.25">
      <c r="A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</row>
    <row r="48" spans="1:58" ht="12" customHeight="1" x14ac:dyDescent="0.25">
      <c r="A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58" x14ac:dyDescent="0.25">
      <c r="A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</row>
    <row r="50" spans="1:58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</row>
    <row r="51" spans="1:58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</row>
    <row r="52" spans="1:58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</row>
    <row r="53" spans="1:58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</row>
    <row r="54" spans="1:58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</row>
    <row r="55" spans="1:58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</row>
    <row r="56" spans="1:58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</row>
    <row r="57" spans="1:58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</row>
    <row r="58" spans="1:58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</row>
    <row r="59" spans="1:58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</row>
    <row r="60" spans="1:58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</row>
    <row r="61" spans="1:58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</row>
    <row r="62" spans="1:58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</row>
    <row r="63" spans="1:58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</row>
    <row r="64" spans="1:58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</row>
    <row r="65" spans="1:58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</row>
    <row r="66" spans="1:58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1:58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</row>
    <row r="68" spans="1:58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</row>
    <row r="69" spans="1:58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</row>
    <row r="70" spans="1:58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</row>
    <row r="71" spans="1:58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</row>
    <row r="72" spans="1:58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</row>
    <row r="73" spans="1:58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</row>
    <row r="74" spans="1:58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</row>
    <row r="75" spans="1:58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</row>
    <row r="76" spans="1:58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</row>
    <row r="77" spans="1:58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</row>
    <row r="78" spans="1:58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1:58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</row>
    <row r="81" spans="1:58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</row>
    <row r="82" spans="1:58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</row>
    <row r="83" spans="1:58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</row>
    <row r="84" spans="1:58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</row>
    <row r="85" spans="1:58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</row>
    <row r="86" spans="1:58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</row>
    <row r="87" spans="1:58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</row>
    <row r="88" spans="1:58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</row>
    <row r="89" spans="1:58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</row>
    <row r="90" spans="1:58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</row>
    <row r="91" spans="1:58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</row>
    <row r="92" spans="1:58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</row>
    <row r="93" spans="1:58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</row>
    <row r="94" spans="1:58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</row>
    <row r="95" spans="1:58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</row>
    <row r="96" spans="1:58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</row>
    <row r="97" spans="1:58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</row>
    <row r="98" spans="1:58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</row>
    <row r="99" spans="1:58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</row>
    <row r="100" spans="1:58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</row>
    <row r="101" spans="1:58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</row>
    <row r="102" spans="1:58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</row>
    <row r="103" spans="1:58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</row>
    <row r="104" spans="1:58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</row>
    <row r="105" spans="1:58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</row>
    <row r="106" spans="1:58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</row>
    <row r="107" spans="1:58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</row>
    <row r="108" spans="1:58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</row>
    <row r="109" spans="1:58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</row>
    <row r="110" spans="1:58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</row>
    <row r="111" spans="1:58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</row>
    <row r="112" spans="1:58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</row>
    <row r="113" spans="1:58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</row>
    <row r="114" spans="1:58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</row>
    <row r="115" spans="1:58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</row>
    <row r="116" spans="1:58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</row>
    <row r="117" spans="1:58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</row>
    <row r="118" spans="1:58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</row>
    <row r="119" spans="1:58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</row>
    <row r="120" spans="1:58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</row>
    <row r="121" spans="1:58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</row>
    <row r="122" spans="1:58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</row>
    <row r="123" spans="1:58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</row>
    <row r="124" spans="1:58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</row>
    <row r="125" spans="1:58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</row>
    <row r="126" spans="1:58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</row>
    <row r="127" spans="1:58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</row>
    <row r="128" spans="1:58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</row>
    <row r="129" spans="1:58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</row>
    <row r="130" spans="1:58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</row>
    <row r="131" spans="1:58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</row>
    <row r="132" spans="1:58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</row>
    <row r="133" spans="1:58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</row>
    <row r="134" spans="1:58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</row>
    <row r="135" spans="1:58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</row>
    <row r="136" spans="1:58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</row>
    <row r="137" spans="1:58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</row>
    <row r="138" spans="1:58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</row>
    <row r="139" spans="1:58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</row>
    <row r="140" spans="1:58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</row>
    <row r="141" spans="1:58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</row>
    <row r="142" spans="1:58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</row>
    <row r="143" spans="1:58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</row>
    <row r="144" spans="1:58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</row>
    <row r="145" spans="1:58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</row>
    <row r="146" spans="1:58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</row>
    <row r="147" spans="1:58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</row>
    <row r="148" spans="1:58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</row>
    <row r="149" spans="1:58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</row>
    <row r="150" spans="1:58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</row>
    <row r="151" spans="1:58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</row>
    <row r="152" spans="1:58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</row>
    <row r="153" spans="1:58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</row>
    <row r="154" spans="1:58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</row>
    <row r="155" spans="1:58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</row>
    <row r="156" spans="1:58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</row>
    <row r="157" spans="1:58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</row>
    <row r="158" spans="1:58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</row>
    <row r="159" spans="1:58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</row>
    <row r="160" spans="1:58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</row>
    <row r="161" spans="1:58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</row>
    <row r="162" spans="1:58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</row>
    <row r="163" spans="1:58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</row>
    <row r="164" spans="1:58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</row>
    <row r="165" spans="1:58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</row>
    <row r="166" spans="1:58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</row>
    <row r="167" spans="1:58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</row>
    <row r="168" spans="1:58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</row>
    <row r="169" spans="1:58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</row>
    <row r="170" spans="1:58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</row>
    <row r="171" spans="1:58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</row>
    <row r="172" spans="1:58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</row>
    <row r="173" spans="1:58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</row>
    <row r="174" spans="1:58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</row>
    <row r="175" spans="1:58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</row>
    <row r="176" spans="1:58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</row>
    <row r="177" spans="1:58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</row>
    <row r="178" spans="1:58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</row>
    <row r="179" spans="1:58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</row>
    <row r="180" spans="1:58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</row>
    <row r="181" spans="1:58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</row>
    <row r="182" spans="1:58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</row>
    <row r="183" spans="1:58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</row>
    <row r="184" spans="1:58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</row>
    <row r="185" spans="1:58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</row>
    <row r="186" spans="1:58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</row>
    <row r="187" spans="1:58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</row>
    <row r="188" spans="1:58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</row>
    <row r="189" spans="1:58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</row>
    <row r="190" spans="1:58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</row>
    <row r="191" spans="1:58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</row>
    <row r="192" spans="1:58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</row>
    <row r="193" spans="1:58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</row>
    <row r="194" spans="1:58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</row>
    <row r="195" spans="1:58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</row>
    <row r="196" spans="1:58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</row>
    <row r="197" spans="1:58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</row>
    <row r="198" spans="1:58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</row>
    <row r="199" spans="1:58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</row>
    <row r="200" spans="1:58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</row>
    <row r="201" spans="1:58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</row>
    <row r="202" spans="1:58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</row>
    <row r="203" spans="1:58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</row>
    <row r="204" spans="1:58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</row>
    <row r="205" spans="1:58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</row>
    <row r="206" spans="1:58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</row>
    <row r="207" spans="1:58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</row>
    <row r="208" spans="1:58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</row>
    <row r="209" spans="1:58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</row>
    <row r="210" spans="1:58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</row>
    <row r="211" spans="1:58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</row>
    <row r="212" spans="1:58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</row>
    <row r="213" spans="1:58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</row>
    <row r="214" spans="1:58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</row>
    <row r="215" spans="1:58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</row>
    <row r="216" spans="1:58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</row>
    <row r="217" spans="1:58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</row>
    <row r="218" spans="1:58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</row>
    <row r="219" spans="1:58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</row>
    <row r="220" spans="1:58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</row>
    <row r="221" spans="1:58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</row>
    <row r="222" spans="1:58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</row>
    <row r="223" spans="1:58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</row>
    <row r="224" spans="1:58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</row>
    <row r="225" spans="1:58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</row>
    <row r="226" spans="1:58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</row>
    <row r="227" spans="1:58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</row>
    <row r="228" spans="1:58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</row>
    <row r="229" spans="1:58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</row>
    <row r="230" spans="1:58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</row>
    <row r="231" spans="1:58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</row>
    <row r="232" spans="1:58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</row>
    <row r="233" spans="1:58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</row>
    <row r="234" spans="1:58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</row>
    <row r="235" spans="1:58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</row>
    <row r="236" spans="1:58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</row>
    <row r="237" spans="1:58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</row>
    <row r="238" spans="1:58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</row>
    <row r="239" spans="1:58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</row>
    <row r="240" spans="1:58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</row>
    <row r="241" spans="1:58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</row>
    <row r="242" spans="1:58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</row>
    <row r="243" spans="1:58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</row>
    <row r="244" spans="1:58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</row>
    <row r="245" spans="1:58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</row>
    <row r="246" spans="1:58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</row>
    <row r="247" spans="1:58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</row>
    <row r="248" spans="1:58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</row>
    <row r="249" spans="1:58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</row>
    <row r="250" spans="1:58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</row>
    <row r="251" spans="1:58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</row>
    <row r="252" spans="1:58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</row>
    <row r="253" spans="1:58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</row>
    <row r="254" spans="1:58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</row>
    <row r="255" spans="1:58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</row>
    <row r="256" spans="1:58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</row>
    <row r="257" spans="1:58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</row>
    <row r="258" spans="1:58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</row>
    <row r="259" spans="1:58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</row>
    <row r="260" spans="1:58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</row>
    <row r="261" spans="1:58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</row>
    <row r="262" spans="1:58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</row>
    <row r="263" spans="1:58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</row>
    <row r="264" spans="1:58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</row>
    <row r="265" spans="1:58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</row>
    <row r="266" spans="1:58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</row>
    <row r="267" spans="1:58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</row>
    <row r="268" spans="1:58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</row>
    <row r="269" spans="1:58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</row>
    <row r="270" spans="1:58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</row>
    <row r="271" spans="1:58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</row>
    <row r="272" spans="1:58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</row>
    <row r="273" spans="1:58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</row>
    <row r="274" spans="1:58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</row>
    <row r="275" spans="1:58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</row>
    <row r="276" spans="1:58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</row>
    <row r="277" spans="1:58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</row>
    <row r="278" spans="1:58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</row>
    <row r="279" spans="1:58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</row>
    <row r="280" spans="1:58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</row>
    <row r="281" spans="1:58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</row>
    <row r="282" spans="1:58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</row>
    <row r="283" spans="1:58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</row>
    <row r="284" spans="1:58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</row>
    <row r="285" spans="1:58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</row>
    <row r="286" spans="1:58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</row>
    <row r="287" spans="1:58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</row>
    <row r="288" spans="1:58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</row>
    <row r="289" spans="1:58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</row>
    <row r="290" spans="1:58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</row>
    <row r="291" spans="1:58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</row>
    <row r="292" spans="1:58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</row>
    <row r="293" spans="1:58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</row>
    <row r="294" spans="1:58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</row>
    <row r="295" spans="1:58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</row>
    <row r="296" spans="1:58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</row>
    <row r="297" spans="1:58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</row>
    <row r="298" spans="1:58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</row>
    <row r="299" spans="1:58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</row>
    <row r="300" spans="1:58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</row>
    <row r="301" spans="1:58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</row>
    <row r="302" spans="1:58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</row>
    <row r="303" spans="1:58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</row>
    <row r="304" spans="1:58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</row>
    <row r="305" spans="1:58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</row>
    <row r="306" spans="1:58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</row>
    <row r="307" spans="1:58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</row>
    <row r="308" spans="1:58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</row>
    <row r="309" spans="1:58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</row>
    <row r="310" spans="1:58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</row>
    <row r="311" spans="1:58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</row>
    <row r="312" spans="1:58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</row>
    <row r="313" spans="1:58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</row>
    <row r="314" spans="1:58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</row>
    <row r="315" spans="1:58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</row>
    <row r="316" spans="1:58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</row>
    <row r="317" spans="1:58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</row>
    <row r="318" spans="1:58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</row>
    <row r="319" spans="1:58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</row>
    <row r="320" spans="1:58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</row>
    <row r="321" spans="1:58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</row>
    <row r="322" spans="1:58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</row>
    <row r="323" spans="1:58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</row>
    <row r="324" spans="1:58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</row>
    <row r="325" spans="1:58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</row>
    <row r="326" spans="1:58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</row>
    <row r="327" spans="1:58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</row>
    <row r="328" spans="1:58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</row>
    <row r="329" spans="1:58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</row>
    <row r="330" spans="1:58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</row>
    <row r="331" spans="1:58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</row>
    <row r="332" spans="1:58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</row>
    <row r="333" spans="1:58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</row>
    <row r="334" spans="1:58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</row>
    <row r="335" spans="1:58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</row>
    <row r="336" spans="1:58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</row>
    <row r="337" spans="1:58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</row>
    <row r="338" spans="1:58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</row>
    <row r="339" spans="1:58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</row>
    <row r="340" spans="1:58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</row>
    <row r="341" spans="1:58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</row>
    <row r="342" spans="1:58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</row>
    <row r="343" spans="1:58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</row>
    <row r="344" spans="1:58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</row>
    <row r="345" spans="1:58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</row>
    <row r="346" spans="1:58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</row>
    <row r="347" spans="1:58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</row>
    <row r="348" spans="1:58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</row>
    <row r="349" spans="1:58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</row>
    <row r="350" spans="1:58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</row>
    <row r="351" spans="1:58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</row>
    <row r="352" spans="1:58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</row>
    <row r="353" spans="1:58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</row>
    <row r="354" spans="1:58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</row>
    <row r="355" spans="1:58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</row>
    <row r="356" spans="1:58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</row>
    <row r="357" spans="1:58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</row>
    <row r="358" spans="1:58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</row>
    <row r="359" spans="1:58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</row>
    <row r="360" spans="1:58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</row>
    <row r="361" spans="1:58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</row>
    <row r="362" spans="1:58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</row>
    <row r="363" spans="1:58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</row>
    <row r="364" spans="1:58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</row>
    <row r="365" spans="1:58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</row>
    <row r="366" spans="1:58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</row>
    <row r="367" spans="1:58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</row>
    <row r="368" spans="1:58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</row>
    <row r="369" spans="1:58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</row>
    <row r="370" spans="1:58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</row>
    <row r="371" spans="1:58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</row>
    <row r="372" spans="1:58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</row>
    <row r="373" spans="1:58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</row>
    <row r="374" spans="1:58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</row>
    <row r="375" spans="1:58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</row>
    <row r="376" spans="1:58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</row>
    <row r="377" spans="1:58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</row>
    <row r="378" spans="1:58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</row>
    <row r="379" spans="1:58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</row>
    <row r="380" spans="1:58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</row>
    <row r="381" spans="1:58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</row>
    <row r="382" spans="1:58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</row>
    <row r="383" spans="1:58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</row>
    <row r="384" spans="1:58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</row>
    <row r="385" spans="1:58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</row>
    <row r="386" spans="1:58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</row>
    <row r="387" spans="1:58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</row>
    <row r="388" spans="1:58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</row>
    <row r="389" spans="1:58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</row>
    <row r="390" spans="1:58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</row>
    <row r="391" spans="1:58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</row>
    <row r="392" spans="1:58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</row>
    <row r="393" spans="1:58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</row>
    <row r="394" spans="1:58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</row>
    <row r="395" spans="1:58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</row>
    <row r="396" spans="1:58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</row>
    <row r="397" spans="1:58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</row>
    <row r="398" spans="1:58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</row>
    <row r="399" spans="1:58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</row>
    <row r="400" spans="1:58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</row>
    <row r="401" spans="1:58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</row>
    <row r="402" spans="1:58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</row>
    <row r="403" spans="1:58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</row>
    <row r="404" spans="1:58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</row>
    <row r="405" spans="1:58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</row>
    <row r="406" spans="1:58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</row>
    <row r="407" spans="1:58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</row>
    <row r="408" spans="1:58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</row>
    <row r="409" spans="1:58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</row>
    <row r="410" spans="1:58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</row>
    <row r="411" spans="1:58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</row>
    <row r="412" spans="1:58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</row>
    <row r="413" spans="1:58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</row>
    <row r="414" spans="1:58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</row>
    <row r="415" spans="1:58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</row>
    <row r="416" spans="1:58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</row>
    <row r="417" spans="1:58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</row>
    <row r="418" spans="1:58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</row>
    <row r="419" spans="1:58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</row>
    <row r="420" spans="1:58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</row>
    <row r="421" spans="1:58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</row>
    <row r="422" spans="1:58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</row>
    <row r="423" spans="1:58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</row>
    <row r="424" spans="1:58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</row>
    <row r="425" spans="1:58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</row>
    <row r="426" spans="1:58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</row>
    <row r="427" spans="1:58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</row>
    <row r="428" spans="1:58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</row>
    <row r="429" spans="1:58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</row>
    <row r="430" spans="1:58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</row>
    <row r="431" spans="1:58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</row>
    <row r="432" spans="1:58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</row>
    <row r="433" spans="1:58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</row>
    <row r="434" spans="1:58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</row>
    <row r="435" spans="1:58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</row>
    <row r="436" spans="1:58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</row>
    <row r="437" spans="1:58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</row>
    <row r="438" spans="1:58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</row>
    <row r="439" spans="1:58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</row>
    <row r="440" spans="1:58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</row>
    <row r="441" spans="1:58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</row>
    <row r="442" spans="1:58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</row>
    <row r="443" spans="1:58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</row>
    <row r="444" spans="1:58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</row>
    <row r="445" spans="1:58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</row>
    <row r="446" spans="1:58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</row>
    <row r="447" spans="1:58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</row>
    <row r="448" spans="1:58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</row>
    <row r="449" spans="1:58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</row>
    <row r="450" spans="1:58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</row>
    <row r="451" spans="1:58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</row>
    <row r="452" spans="1:58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</row>
    <row r="453" spans="1:58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</row>
    <row r="454" spans="1:58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</row>
    <row r="455" spans="1:58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</row>
    <row r="456" spans="1:58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</row>
    <row r="457" spans="1:58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</row>
    <row r="458" spans="1:58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</row>
    <row r="459" spans="1:58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</row>
    <row r="460" spans="1:58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</row>
    <row r="461" spans="1:58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</row>
    <row r="462" spans="1:58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</row>
    <row r="463" spans="1:58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</row>
    <row r="464" spans="1:58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</row>
    <row r="465" spans="1:58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</row>
    <row r="466" spans="1:58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</row>
    <row r="467" spans="1:58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</row>
    <row r="468" spans="1:58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</row>
    <row r="469" spans="1:58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</row>
    <row r="470" spans="1:58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</row>
    <row r="471" spans="1:58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</row>
    <row r="472" spans="1:58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</row>
    <row r="473" spans="1:58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</row>
    <row r="474" spans="1:58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</row>
    <row r="475" spans="1:58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</row>
    <row r="476" spans="1:58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</row>
    <row r="477" spans="1:58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</row>
    <row r="478" spans="1:58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</row>
    <row r="479" spans="1:58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</row>
    <row r="480" spans="1:58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</row>
    <row r="481" spans="1:58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</row>
    <row r="482" spans="1:58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</row>
    <row r="483" spans="1:58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</row>
    <row r="484" spans="1:58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</row>
    <row r="485" spans="1:58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</row>
    <row r="486" spans="1:58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</row>
    <row r="487" spans="1:58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</row>
    <row r="488" spans="1:58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</row>
    <row r="489" spans="1:58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</row>
    <row r="490" spans="1:58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</row>
    <row r="491" spans="1:58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</row>
    <row r="492" spans="1:58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</row>
    <row r="493" spans="1:58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</row>
    <row r="494" spans="1:58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</row>
    <row r="495" spans="1:58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</row>
    <row r="496" spans="1:58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</row>
    <row r="497" spans="1:58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</row>
    <row r="498" spans="1:58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</row>
    <row r="499" spans="1:58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</row>
    <row r="500" spans="1:58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</row>
    <row r="501" spans="1:58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</row>
    <row r="502" spans="1:58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</row>
    <row r="503" spans="1:58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</row>
    <row r="504" spans="1:58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</row>
    <row r="505" spans="1:58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</row>
    <row r="506" spans="1:58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</row>
    <row r="507" spans="1:58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</row>
    <row r="508" spans="1:58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</row>
    <row r="509" spans="1:58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</row>
    <row r="510" spans="1:58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</row>
    <row r="511" spans="1:58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</row>
    <row r="512" spans="1:58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</row>
    <row r="513" spans="1:58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</row>
    <row r="514" spans="1:58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</row>
    <row r="515" spans="1:58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</row>
    <row r="516" spans="1:58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</row>
    <row r="517" spans="1:58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</row>
    <row r="518" spans="1:58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</row>
    <row r="519" spans="1:58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</row>
    <row r="520" spans="1:58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</row>
    <row r="521" spans="1:58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</row>
    <row r="522" spans="1:58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</row>
    <row r="523" spans="1:58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</row>
    <row r="524" spans="1:58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</row>
    <row r="525" spans="1:58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</row>
    <row r="526" spans="1:58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</row>
    <row r="527" spans="1:58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</row>
    <row r="528" spans="1:58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</row>
    <row r="529" spans="1:58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</row>
    <row r="530" spans="1:58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</row>
    <row r="531" spans="1:58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</row>
    <row r="532" spans="1:58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</row>
    <row r="533" spans="1:58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</row>
    <row r="534" spans="1:58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</row>
    <row r="535" spans="1:58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</row>
    <row r="536" spans="1:58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</row>
    <row r="537" spans="1:58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</row>
    <row r="538" spans="1:58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</row>
    <row r="539" spans="1:58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</row>
    <row r="540" spans="1:58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</row>
    <row r="541" spans="1:58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</row>
    <row r="542" spans="1:58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</row>
    <row r="543" spans="1:58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</row>
    <row r="544" spans="1:58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</row>
    <row r="545" spans="1:58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</row>
    <row r="546" spans="1:58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</row>
    <row r="547" spans="1:58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</row>
    <row r="548" spans="1:58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</row>
    <row r="549" spans="1:58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</row>
    <row r="550" spans="1:58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</row>
    <row r="551" spans="1:58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</row>
    <row r="552" spans="1:58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</row>
    <row r="553" spans="1:58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</row>
    <row r="554" spans="1:58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</row>
    <row r="555" spans="1:58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</row>
    <row r="556" spans="1:58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</row>
    <row r="557" spans="1:58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</row>
    <row r="558" spans="1:58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</row>
    <row r="559" spans="1:58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</row>
    <row r="560" spans="1:58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</row>
    <row r="561" spans="1:58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</row>
    <row r="562" spans="1:58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</row>
    <row r="563" spans="1:58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</row>
    <row r="564" spans="1:58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</row>
    <row r="565" spans="1:58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</row>
    <row r="566" spans="1:58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</row>
    <row r="567" spans="1:58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</row>
    <row r="568" spans="1:58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</row>
    <row r="569" spans="1:58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</row>
    <row r="570" spans="1:58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</row>
    <row r="571" spans="1:58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</row>
    <row r="572" spans="1:58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</row>
    <row r="573" spans="1:58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</row>
    <row r="574" spans="1:58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</row>
    <row r="575" spans="1:58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</row>
    <row r="576" spans="1:58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</row>
    <row r="577" spans="1:58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</row>
    <row r="578" spans="1:58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</row>
    <row r="579" spans="1:58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</row>
    <row r="580" spans="1:58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</row>
    <row r="581" spans="1:58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</row>
    <row r="582" spans="1:58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</row>
    <row r="583" spans="1:58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</row>
    <row r="584" spans="1:58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</row>
    <row r="585" spans="1:58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</row>
    <row r="586" spans="1:58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</row>
    <row r="587" spans="1:58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</row>
    <row r="588" spans="1:58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</row>
    <row r="589" spans="1:58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</row>
    <row r="590" spans="1:58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</row>
    <row r="591" spans="1:58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</row>
    <row r="592" spans="1:58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</row>
    <row r="593" spans="1:58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</row>
    <row r="594" spans="1:58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</row>
    <row r="595" spans="1:58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</row>
    <row r="596" spans="1:58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</row>
    <row r="597" spans="1:58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</row>
    <row r="598" spans="1:58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</row>
    <row r="599" spans="1:58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</row>
    <row r="600" spans="1:58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</row>
    <row r="601" spans="1:58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</row>
    <row r="602" spans="1:58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</row>
    <row r="603" spans="1:58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</row>
    <row r="604" spans="1:58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</row>
    <row r="605" spans="1:58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</row>
    <row r="606" spans="1:58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</row>
    <row r="607" spans="1:58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</row>
    <row r="608" spans="1:58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</row>
    <row r="609" spans="1:58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</row>
    <row r="610" spans="1:58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</row>
    <row r="611" spans="1:58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</row>
    <row r="612" spans="1:58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</row>
    <row r="613" spans="1:58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</row>
    <row r="614" spans="1:58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</row>
    <row r="615" spans="1:58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</row>
    <row r="616" spans="1:58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</row>
    <row r="617" spans="1:58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</row>
    <row r="618" spans="1:58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</row>
    <row r="619" spans="1:58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</row>
    <row r="620" spans="1:58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</row>
    <row r="621" spans="1:58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</row>
    <row r="622" spans="1:58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</row>
    <row r="623" spans="1:58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</row>
    <row r="624" spans="1:58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</row>
    <row r="625" spans="1:58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</row>
    <row r="626" spans="1:58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</row>
    <row r="627" spans="1:58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</row>
    <row r="628" spans="1:58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</row>
    <row r="629" spans="1:58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</row>
    <row r="630" spans="1:58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</row>
    <row r="631" spans="1:58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</row>
    <row r="632" spans="1:58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</row>
    <row r="633" spans="1:58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</row>
    <row r="634" spans="1:58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</row>
    <row r="635" spans="1:58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</row>
    <row r="636" spans="1:58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</row>
    <row r="637" spans="1:58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</row>
    <row r="638" spans="1:58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</row>
    <row r="639" spans="1:58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</row>
    <row r="640" spans="1:58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</row>
    <row r="641" spans="1:58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</row>
    <row r="642" spans="1:58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</row>
    <row r="643" spans="1:58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</row>
    <row r="644" spans="1:58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</row>
    <row r="645" spans="1:58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</row>
    <row r="646" spans="1:58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</row>
    <row r="647" spans="1:58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</row>
    <row r="648" spans="1:58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</row>
    <row r="649" spans="1:58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</row>
    <row r="650" spans="1:58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</row>
    <row r="651" spans="1:58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</row>
    <row r="652" spans="1:58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</row>
    <row r="653" spans="1:58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</row>
    <row r="654" spans="1:58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</row>
    <row r="655" spans="1:58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</row>
    <row r="656" spans="1:58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</row>
    <row r="657" spans="1:58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</row>
    <row r="658" spans="1:58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</row>
    <row r="659" spans="1:58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</row>
    <row r="660" spans="1:58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</row>
    <row r="661" spans="1:58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</row>
    <row r="662" spans="1:58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</row>
    <row r="663" spans="1:58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</row>
    <row r="664" spans="1:58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</row>
    <row r="665" spans="1:58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</row>
    <row r="666" spans="1:58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</row>
    <row r="667" spans="1:58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</row>
    <row r="668" spans="1:58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</row>
    <row r="669" spans="1:58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</row>
    <row r="670" spans="1:58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</row>
    <row r="671" spans="1:58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</row>
    <row r="672" spans="1:58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</row>
    <row r="673" spans="1:58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</row>
    <row r="674" spans="1:58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</row>
    <row r="675" spans="1:58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</row>
    <row r="676" spans="1:58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</row>
    <row r="677" spans="1:58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</row>
    <row r="678" spans="1:58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</row>
    <row r="679" spans="1:58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</row>
    <row r="680" spans="1:58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</row>
    <row r="681" spans="1:58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</row>
    <row r="682" spans="1:58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</row>
    <row r="683" spans="1:58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</row>
    <row r="684" spans="1:58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</row>
    <row r="685" spans="1:58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</row>
    <row r="686" spans="1:58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</row>
    <row r="687" spans="1:58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</row>
    <row r="688" spans="1:58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</row>
    <row r="689" spans="1:58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</row>
    <row r="690" spans="1:58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</row>
    <row r="691" spans="1:58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</row>
    <row r="692" spans="1:58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</row>
    <row r="693" spans="1:58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</row>
    <row r="694" spans="1:58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</row>
    <row r="695" spans="1:58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</row>
    <row r="696" spans="1:58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</row>
    <row r="697" spans="1:58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</row>
    <row r="698" spans="1:58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</row>
    <row r="699" spans="1:58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</row>
    <row r="700" spans="1:58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</row>
    <row r="701" spans="1:58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</row>
    <row r="702" spans="1:58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</row>
    <row r="703" spans="1:58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</row>
    <row r="704" spans="1:58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</row>
    <row r="705" spans="1:58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</row>
    <row r="706" spans="1:58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</row>
    <row r="707" spans="1:58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</row>
    <row r="708" spans="1:58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</row>
    <row r="709" spans="1:58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</row>
    <row r="710" spans="1:58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</row>
    <row r="711" spans="1:58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</row>
    <row r="712" spans="1:58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</row>
    <row r="713" spans="1:58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</row>
    <row r="714" spans="1:58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</row>
    <row r="715" spans="1:58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</row>
    <row r="716" spans="1:58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</row>
    <row r="717" spans="1:58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</row>
    <row r="718" spans="1:58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</row>
    <row r="719" spans="1:58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</row>
    <row r="720" spans="1:58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</row>
    <row r="721" spans="1:58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</row>
    <row r="722" spans="1:58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</row>
    <row r="723" spans="1:58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</row>
    <row r="724" spans="1:58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</row>
    <row r="725" spans="1:58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</row>
    <row r="726" spans="1:58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</row>
    <row r="727" spans="1:58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</row>
    <row r="728" spans="1:58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</row>
    <row r="729" spans="1:58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</row>
    <row r="730" spans="1:58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</row>
    <row r="731" spans="1:58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</row>
    <row r="732" spans="1:58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</row>
    <row r="733" spans="1:58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</row>
    <row r="734" spans="1:58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</row>
    <row r="735" spans="1:58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</row>
    <row r="736" spans="1:58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</row>
    <row r="737" spans="1:58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</row>
    <row r="738" spans="1:58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</row>
    <row r="739" spans="1:58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</row>
    <row r="740" spans="1:58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</row>
    <row r="741" spans="1:58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</row>
    <row r="742" spans="1:58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</row>
    <row r="743" spans="1:58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</row>
    <row r="744" spans="1:58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</row>
    <row r="745" spans="1:58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</row>
    <row r="746" spans="1:58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</row>
    <row r="747" spans="1:58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</row>
    <row r="748" spans="1:58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</row>
    <row r="749" spans="1:58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</row>
    <row r="750" spans="1:58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</row>
    <row r="751" spans="1:58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</row>
    <row r="752" spans="1:58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</row>
    <row r="753" spans="1:58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</row>
    <row r="754" spans="1:58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</row>
    <row r="755" spans="1:58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</row>
    <row r="756" spans="1:58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</row>
    <row r="757" spans="1:58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</row>
    <row r="758" spans="1:58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</row>
    <row r="759" spans="1:58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</row>
    <row r="760" spans="1:58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</row>
    <row r="761" spans="1:58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</row>
    <row r="762" spans="1:58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</row>
    <row r="763" spans="1:58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</row>
    <row r="764" spans="1:58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</row>
    <row r="765" spans="1:58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</row>
    <row r="766" spans="1:58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</row>
    <row r="767" spans="1:58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</row>
  </sheetData>
  <mergeCells count="7">
    <mergeCell ref="B1:C1"/>
    <mergeCell ref="C19:D19"/>
    <mergeCell ref="B12:D12"/>
    <mergeCell ref="B13:D13"/>
    <mergeCell ref="B6:C6"/>
    <mergeCell ref="B7:C7"/>
    <mergeCell ref="C18:D1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823B803A-7A71-4D75-806E-4CCBB7BE4575}"/>
</file>

<file path=customXml/itemProps2.xml><?xml version="1.0" encoding="utf-8"?>
<ds:datastoreItem xmlns:ds="http://schemas.openxmlformats.org/officeDocument/2006/customXml" ds:itemID="{05F0A2A7-8E98-4196-9149-FE3100406E9B}"/>
</file>

<file path=customXml/itemProps3.xml><?xml version="1.0" encoding="utf-8"?>
<ds:datastoreItem xmlns:ds="http://schemas.openxmlformats.org/officeDocument/2006/customXml" ds:itemID="{C186E181-1A3D-4DDD-B25F-33BE49DC3F4E}"/>
</file>

<file path=customXml/itemProps4.xml><?xml version="1.0" encoding="utf-8"?>
<ds:datastoreItem xmlns:ds="http://schemas.openxmlformats.org/officeDocument/2006/customXml" ds:itemID="{95484B06-262A-4DEB-97D6-9C4E61A91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22</vt:i4>
      </vt:variant>
    </vt:vector>
  </HeadingPairs>
  <TitlesOfParts>
    <vt:vector size="28" baseType="lpstr">
      <vt:lpstr>Table Index</vt:lpstr>
      <vt:lpstr>For MD&amp;A</vt:lpstr>
      <vt:lpstr>Govt Wide - Fund Recon</vt:lpstr>
      <vt:lpstr>Capital Assets</vt:lpstr>
      <vt:lpstr>Long-Term Obligations</vt:lpstr>
      <vt:lpstr>Other Tables</vt:lpstr>
      <vt:lpstr>Asset_Useful_Life_Table_I.E.4</vt:lpstr>
      <vt:lpstr>BTA_Capital_Assets</vt:lpstr>
      <vt:lpstr>Capital_Lease_Table</vt:lpstr>
      <vt:lpstr>Deferred_Inflows_Table</vt:lpstr>
      <vt:lpstr>Depreciation_by_Program_Table</vt:lpstr>
      <vt:lpstr>Encumbrances_Note</vt:lpstr>
      <vt:lpstr>Govt_Capital_Assets</vt:lpstr>
      <vt:lpstr>Interfund_Balance_Note</vt:lpstr>
      <vt:lpstr>Interfund_Transfer_Note</vt:lpstr>
      <vt:lpstr>Lease_Minimum_Payments</vt:lpstr>
      <vt:lpstr>Leased_Assets</vt:lpstr>
      <vt:lpstr>Long_Term_Debt</vt:lpstr>
      <vt:lpstr>MDA_Figure_2</vt:lpstr>
      <vt:lpstr>MDA_Figure_3</vt:lpstr>
      <vt:lpstr>MDA_Figure_4</vt:lpstr>
      <vt:lpstr>MDA_Figure_5</vt:lpstr>
      <vt:lpstr>Payment_by_School</vt:lpstr>
      <vt:lpstr>Remaining_Fund_Balance</vt:lpstr>
      <vt:lpstr>Table_BTA_Capital_Assets</vt:lpstr>
      <vt:lpstr>Table_Govt_Capital_Assets</vt:lpstr>
      <vt:lpstr>Table_I.E.9.a</vt:lpstr>
      <vt:lpstr>Table_I.E.9.b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Jones Norris</dc:creator>
  <cp:keywords/>
  <cp:lastModifiedBy>Jones Norris</cp:lastModifiedBy>
  <cp:lastPrinted>2019-01-23T23:25:53Z</cp:lastPrinted>
  <dcterms:created xsi:type="dcterms:W3CDTF">2018-06-06T20:19:31Z</dcterms:created>
  <dcterms:modified xsi:type="dcterms:W3CDTF">2019-09-10T17:57:54Z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0x01010063E6D748AC7C9C43A96C5224165110D7</vt:lpwstr>
  </property>
</Properties>
</file>